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SEGUIMIENTO PLAN DE DESARROLLO 2018\SEGTO I TRIMESTRE 2018 - TRABAJO\SGTO I TRIMESTRE 2018 PUBLICAR\"/>
    </mc:Choice>
  </mc:AlternateContent>
  <bookViews>
    <workbookView xWindow="0" yWindow="0" windowWidth="24000" windowHeight="9435"/>
  </bookViews>
  <sheets>
    <sheet name="SGTO POAI MARZO-2018 " sheetId="4" r:id="rId1"/>
    <sheet name="EJE SECRETARIAS" sheetId="6" r:id="rId2"/>
  </sheets>
  <externalReferences>
    <externalReference r:id="rId3"/>
    <externalReference r:id="rId4"/>
    <externalReference r:id="rId5"/>
    <externalReference r:id="rId6"/>
    <externalReference r:id="rId7"/>
    <externalReference r:id="rId8"/>
  </externalReference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'EJE SECRETARIAS'!$A$2:$O$16</definedName>
    <definedName name="_xlnm.Print_Area" localSheetId="1">'EJE SECRETARIAS'!$A$1:$O$56</definedName>
    <definedName name="CODIGO_DIVIPOLA" localSheetId="1">#REF!</definedName>
    <definedName name="CODIGO_DIVIPOLA">#REF!</definedName>
    <definedName name="DboREGISTRO_LEY_617" localSheetId="1">#REF!</definedName>
    <definedName name="DboREGISTRO_LEY_617">#REF!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6" i="4" l="1"/>
  <c r="U537" i="4"/>
  <c r="AO625" i="4" l="1"/>
  <c r="CB625" i="4"/>
  <c r="CB626" i="4"/>
  <c r="CB627" i="4"/>
  <c r="CB628" i="4"/>
  <c r="CB620" i="4"/>
  <c r="CB621" i="4"/>
  <c r="CB622" i="4"/>
  <c r="CB613" i="4"/>
  <c r="CB614" i="4"/>
  <c r="CB615" i="4"/>
  <c r="CB616" i="4"/>
  <c r="CB617" i="4"/>
  <c r="CB607" i="4"/>
  <c r="CB608" i="4"/>
  <c r="CB609" i="4"/>
  <c r="CB610" i="4"/>
  <c r="CB602" i="4"/>
  <c r="CB603" i="4"/>
  <c r="CB604" i="4"/>
  <c r="CB597" i="4"/>
  <c r="CB598" i="4"/>
  <c r="CB599" i="4"/>
  <c r="CB589" i="4"/>
  <c r="CB590" i="4"/>
  <c r="CB591" i="4"/>
  <c r="CB592" i="4"/>
  <c r="CB593" i="4"/>
  <c r="CB594" i="4"/>
  <c r="CB583" i="4"/>
  <c r="CB584" i="4"/>
  <c r="CB585" i="4"/>
  <c r="CB586" i="4"/>
  <c r="CB577" i="4"/>
  <c r="CB578" i="4"/>
  <c r="CB579" i="4"/>
  <c r="CB580" i="4"/>
  <c r="CB570" i="4"/>
  <c r="CB571" i="4"/>
  <c r="CB572" i="4"/>
  <c r="CB573" i="4"/>
  <c r="CB574" i="4"/>
  <c r="CB565" i="4"/>
  <c r="CB566" i="4"/>
  <c r="CB567" i="4"/>
  <c r="CB629" i="4"/>
  <c r="CB675" i="4"/>
  <c r="CB676" i="4"/>
  <c r="CB677" i="4"/>
  <c r="CB678" i="4"/>
  <c r="CB679" i="4"/>
  <c r="CB668" i="4"/>
  <c r="CB669" i="4"/>
  <c r="CB670" i="4"/>
  <c r="CB663" i="4"/>
  <c r="CB664" i="4"/>
  <c r="CB665" i="4"/>
  <c r="CB657" i="4"/>
  <c r="CB658" i="4"/>
  <c r="CB659" i="4"/>
  <c r="CB660" i="4"/>
  <c r="CB653" i="4"/>
  <c r="CB654" i="4"/>
  <c r="CB647" i="4"/>
  <c r="CB648" i="4"/>
  <c r="CB649" i="4"/>
  <c r="CB650" i="4"/>
  <c r="CB671" i="4"/>
  <c r="CB641" i="4"/>
  <c r="CB642" i="4"/>
  <c r="CB637" i="4"/>
  <c r="CB638" i="4"/>
  <c r="CB633" i="4"/>
  <c r="CB634" i="4"/>
  <c r="CB643" i="4"/>
  <c r="CB557" i="4"/>
  <c r="CB558" i="4"/>
  <c r="CB559" i="4"/>
  <c r="CB560" i="4"/>
  <c r="CB561" i="4"/>
  <c r="CB680" i="4"/>
  <c r="CB681" i="4"/>
  <c r="BA390" i="4"/>
  <c r="CB390" i="4" s="1"/>
  <c r="CB391" i="4" s="1"/>
  <c r="CB392" i="4" s="1"/>
  <c r="CB474" i="4" s="1"/>
  <c r="CB475" i="4" s="1"/>
  <c r="BD390" i="4"/>
  <c r="BD391" i="4" s="1"/>
  <c r="BD392" i="4" s="1"/>
  <c r="BD474" i="4" s="1"/>
  <c r="BD475" i="4" s="1"/>
  <c r="BD682" i="4" s="1"/>
  <c r="BD755" i="4" s="1"/>
  <c r="CB381" i="4"/>
  <c r="CB382" i="4"/>
  <c r="CB383" i="4"/>
  <c r="CB384" i="4"/>
  <c r="CB385" i="4"/>
  <c r="CB386" i="4"/>
  <c r="CB387" i="4"/>
  <c r="CB375" i="4"/>
  <c r="CB376" i="4"/>
  <c r="CB377" i="4"/>
  <c r="CB378" i="4"/>
  <c r="CB471" i="4"/>
  <c r="CB472" i="4"/>
  <c r="CB473" i="4"/>
  <c r="CB464" i="4"/>
  <c r="CB465" i="4"/>
  <c r="CB466" i="4"/>
  <c r="CB460" i="4"/>
  <c r="CB461" i="4"/>
  <c r="CB456" i="4"/>
  <c r="CB457" i="4"/>
  <c r="CB451" i="4"/>
  <c r="CB452" i="4"/>
  <c r="CB453" i="4"/>
  <c r="CB467" i="4"/>
  <c r="CB441" i="4"/>
  <c r="CB442" i="4"/>
  <c r="CB443" i="4"/>
  <c r="CB444" i="4"/>
  <c r="CB445" i="4"/>
  <c r="CB446" i="4"/>
  <c r="CB433" i="4"/>
  <c r="CB434" i="4"/>
  <c r="CB435" i="4"/>
  <c r="CB436" i="4"/>
  <c r="CB437" i="4"/>
  <c r="CB438" i="4"/>
  <c r="CB447" i="4"/>
  <c r="CB427" i="4"/>
  <c r="CB428" i="4"/>
  <c r="CB420" i="4"/>
  <c r="CB421" i="4"/>
  <c r="CB422" i="4"/>
  <c r="CB423" i="4"/>
  <c r="CB424" i="4"/>
  <c r="CB407" i="4"/>
  <c r="CB408" i="4"/>
  <c r="CB409" i="4"/>
  <c r="CB410" i="4"/>
  <c r="CB411" i="4"/>
  <c r="CB412" i="4"/>
  <c r="CB413" i="4"/>
  <c r="CB414" i="4"/>
  <c r="CB415" i="4"/>
  <c r="CB416" i="4"/>
  <c r="CB417" i="4"/>
  <c r="CB396" i="4"/>
  <c r="CB397" i="4"/>
  <c r="CB398" i="4"/>
  <c r="CB399" i="4"/>
  <c r="CB400" i="4"/>
  <c r="CB401" i="4"/>
  <c r="CB402" i="4"/>
  <c r="CB403" i="4"/>
  <c r="CB404" i="4"/>
  <c r="CB429" i="4"/>
  <c r="CB547" i="4"/>
  <c r="CB548" i="4"/>
  <c r="CB549" i="4"/>
  <c r="CB550" i="4"/>
  <c r="CB551" i="4"/>
  <c r="CB534" i="4"/>
  <c r="CB535" i="4"/>
  <c r="CB536" i="4"/>
  <c r="CB537" i="4"/>
  <c r="CB538" i="4"/>
  <c r="CB539" i="4"/>
  <c r="CB528" i="4"/>
  <c r="CB529" i="4"/>
  <c r="CB524" i="4"/>
  <c r="CB525" i="4"/>
  <c r="CB520" i="4"/>
  <c r="CB521" i="4"/>
  <c r="CB515" i="4"/>
  <c r="CB516" i="4"/>
  <c r="CB517" i="4"/>
  <c r="CB510" i="4"/>
  <c r="CB511" i="4"/>
  <c r="CB512" i="4"/>
  <c r="CB530" i="4"/>
  <c r="CB504" i="4"/>
  <c r="CB505" i="4"/>
  <c r="CB498" i="4"/>
  <c r="CB499" i="4"/>
  <c r="CB500" i="4"/>
  <c r="CB501" i="4"/>
  <c r="CB492" i="4"/>
  <c r="CB493" i="4"/>
  <c r="CB494" i="4"/>
  <c r="CB495" i="4"/>
  <c r="CB488" i="4"/>
  <c r="CB489" i="4"/>
  <c r="CB506" i="4"/>
  <c r="CB481" i="4"/>
  <c r="CB482" i="4"/>
  <c r="CB483" i="4"/>
  <c r="CB484" i="4"/>
  <c r="CB540" i="4"/>
  <c r="CB541" i="4"/>
  <c r="CB365" i="4"/>
  <c r="CB366" i="4"/>
  <c r="CB367" i="4"/>
  <c r="CB358" i="4"/>
  <c r="CB359" i="4"/>
  <c r="CB360" i="4"/>
  <c r="CB361" i="4"/>
  <c r="CB368" i="4"/>
  <c r="CB369" i="4"/>
  <c r="CB344" i="4"/>
  <c r="CB345" i="4"/>
  <c r="CB346" i="4"/>
  <c r="CB347" i="4"/>
  <c r="CB348" i="4"/>
  <c r="CB349" i="4"/>
  <c r="CB350" i="4"/>
  <c r="CB351" i="4"/>
  <c r="CB334" i="4"/>
  <c r="CB335" i="4"/>
  <c r="CB336" i="4"/>
  <c r="CB337" i="4"/>
  <c r="CB327" i="4"/>
  <c r="CB328" i="4"/>
  <c r="CB329" i="4"/>
  <c r="CB330" i="4"/>
  <c r="CB331" i="4"/>
  <c r="CB318" i="4"/>
  <c r="CB319" i="4"/>
  <c r="CB320" i="4"/>
  <c r="CB321" i="4"/>
  <c r="CB322" i="4"/>
  <c r="CB323" i="4"/>
  <c r="CB324" i="4"/>
  <c r="CB311" i="4"/>
  <c r="CB312" i="4"/>
  <c r="CB313" i="4"/>
  <c r="CB314" i="4"/>
  <c r="CB315" i="4"/>
  <c r="CB338" i="4"/>
  <c r="CB339" i="4"/>
  <c r="CB298" i="4"/>
  <c r="CB299" i="4"/>
  <c r="CB300" i="4"/>
  <c r="CB301" i="4"/>
  <c r="CB302" i="4"/>
  <c r="CB303" i="4"/>
  <c r="CB304" i="4"/>
  <c r="CB293" i="4"/>
  <c r="CB294" i="4"/>
  <c r="CB295" i="4"/>
  <c r="CB284" i="4"/>
  <c r="CB285" i="4"/>
  <c r="CB286" i="4"/>
  <c r="CB287" i="4"/>
  <c r="CB288" i="4"/>
  <c r="CB289" i="4"/>
  <c r="CB290" i="4"/>
  <c r="CB305" i="4"/>
  <c r="CB306" i="4"/>
  <c r="CB352" i="4"/>
  <c r="CB274" i="4"/>
  <c r="CB275" i="4"/>
  <c r="CB270" i="4"/>
  <c r="CB271" i="4"/>
  <c r="CB265" i="4"/>
  <c r="CB266" i="4"/>
  <c r="CB267" i="4"/>
  <c r="CB276" i="4"/>
  <c r="CB257" i="4"/>
  <c r="CB258" i="4"/>
  <c r="CB259" i="4"/>
  <c r="CB260" i="4"/>
  <c r="CB250" i="4"/>
  <c r="CB251" i="4"/>
  <c r="CB252" i="4"/>
  <c r="CB253" i="4"/>
  <c r="CB254" i="4"/>
  <c r="CB242" i="4"/>
  <c r="CB243" i="4"/>
  <c r="CB244" i="4"/>
  <c r="CB245" i="4"/>
  <c r="CB246" i="4"/>
  <c r="CB247" i="4"/>
  <c r="CB261" i="4"/>
  <c r="CB277" i="4"/>
  <c r="CB278" i="4"/>
  <c r="CB231" i="4"/>
  <c r="CB232" i="4"/>
  <c r="CB233" i="4"/>
  <c r="CB227" i="4"/>
  <c r="CB228" i="4"/>
  <c r="CB234" i="4"/>
  <c r="CB221" i="4"/>
  <c r="CB222" i="4"/>
  <c r="CB217" i="4"/>
  <c r="CB218" i="4"/>
  <c r="CB210" i="4"/>
  <c r="CB211" i="4"/>
  <c r="CB212" i="4"/>
  <c r="CB213" i="4"/>
  <c r="CB214" i="4"/>
  <c r="CB223" i="4"/>
  <c r="CB235" i="4"/>
  <c r="CB236" i="4"/>
  <c r="CB200" i="4"/>
  <c r="CB201" i="4"/>
  <c r="CB192" i="4"/>
  <c r="CB193" i="4"/>
  <c r="CB194" i="4"/>
  <c r="CB195" i="4"/>
  <c r="CB196" i="4"/>
  <c r="CB197" i="4"/>
  <c r="CB202" i="4"/>
  <c r="CB186" i="4"/>
  <c r="CB187" i="4"/>
  <c r="CB188" i="4"/>
  <c r="CB203" i="4"/>
  <c r="CB177" i="4"/>
  <c r="CB178" i="4"/>
  <c r="CB179" i="4"/>
  <c r="CB169" i="4"/>
  <c r="CB170" i="4"/>
  <c r="CB171" i="4"/>
  <c r="CB172" i="4"/>
  <c r="CB173" i="4"/>
  <c r="CB174" i="4"/>
  <c r="CB180" i="4"/>
  <c r="CB162" i="4"/>
  <c r="CB163" i="4"/>
  <c r="CB164" i="4"/>
  <c r="CB156" i="4"/>
  <c r="CB157" i="4"/>
  <c r="CB158" i="4"/>
  <c r="CB159" i="4"/>
  <c r="CB148" i="4"/>
  <c r="CB149" i="4"/>
  <c r="CB150" i="4"/>
  <c r="CB151" i="4"/>
  <c r="CB152" i="4"/>
  <c r="CB153" i="4"/>
  <c r="CB165" i="4"/>
  <c r="CB139" i="4"/>
  <c r="CB140" i="4"/>
  <c r="CB141" i="4"/>
  <c r="CB142" i="4"/>
  <c r="CB143" i="4"/>
  <c r="CB131" i="4"/>
  <c r="CB132" i="4"/>
  <c r="CB133" i="4"/>
  <c r="CB134" i="4"/>
  <c r="CB135" i="4"/>
  <c r="CB136" i="4"/>
  <c r="CB144" i="4"/>
  <c r="CB181" i="4"/>
  <c r="CB204" i="4"/>
  <c r="CB121" i="4"/>
  <c r="CB122" i="4"/>
  <c r="CB123" i="4"/>
  <c r="CB124" i="4"/>
  <c r="CB108" i="4"/>
  <c r="CB109" i="4"/>
  <c r="CB110" i="4"/>
  <c r="CB111" i="4"/>
  <c r="CB112" i="4"/>
  <c r="CB113" i="4"/>
  <c r="CB114" i="4"/>
  <c r="CB115" i="4"/>
  <c r="CB116" i="4"/>
  <c r="Z92" i="4"/>
  <c r="CB92" i="4"/>
  <c r="CB93" i="4"/>
  <c r="Z94" i="4"/>
  <c r="CB94" i="4"/>
  <c r="CB95" i="4"/>
  <c r="BM96" i="4"/>
  <c r="CB96" i="4"/>
  <c r="CB97" i="4"/>
  <c r="CB98" i="4"/>
  <c r="CB99" i="4"/>
  <c r="CB100" i="4"/>
  <c r="CB101" i="4"/>
  <c r="AI86" i="4"/>
  <c r="CB86" i="4"/>
  <c r="CB87" i="4"/>
  <c r="CB88" i="4"/>
  <c r="CB89" i="4"/>
  <c r="CB102" i="4"/>
  <c r="CB103" i="4"/>
  <c r="CB125" i="4"/>
  <c r="CB72" i="4"/>
  <c r="CB73" i="4"/>
  <c r="CB74" i="4"/>
  <c r="CB75" i="4"/>
  <c r="CB76" i="4"/>
  <c r="CB77" i="4"/>
  <c r="CB78" i="4"/>
  <c r="CB79" i="4"/>
  <c r="CB80" i="4"/>
  <c r="CB29" i="4"/>
  <c r="CB30" i="4"/>
  <c r="CB33" i="4"/>
  <c r="CB34" i="4"/>
  <c r="CB35" i="4"/>
  <c r="CB39" i="4"/>
  <c r="CB40" i="4"/>
  <c r="CB41" i="4"/>
  <c r="CB45" i="4"/>
  <c r="CB46" i="4"/>
  <c r="CB47" i="4"/>
  <c r="CB48" i="4"/>
  <c r="CB49" i="4"/>
  <c r="CB50" i="4"/>
  <c r="CB51" i="4"/>
  <c r="CB52" i="4"/>
  <c r="CB53" i="4"/>
  <c r="CB54" i="4"/>
  <c r="CB55" i="4"/>
  <c r="CB56" i="4"/>
  <c r="CB57" i="4"/>
  <c r="CB58" i="4"/>
  <c r="CB59" i="4"/>
  <c r="CB60" i="4"/>
  <c r="CB61" i="4"/>
  <c r="CB62" i="4"/>
  <c r="CB63" i="4"/>
  <c r="CB64" i="4"/>
  <c r="CB65" i="4"/>
  <c r="CB66" i="4"/>
  <c r="CB11" i="4"/>
  <c r="CB12" i="4"/>
  <c r="CB13" i="4"/>
  <c r="CB14" i="4"/>
  <c r="CB15" i="4"/>
  <c r="CB16" i="4"/>
  <c r="CB17" i="4"/>
  <c r="CB18" i="4"/>
  <c r="CB19" i="4"/>
  <c r="CB20" i="4"/>
  <c r="CB21" i="4"/>
  <c r="CB22" i="4"/>
  <c r="CB23" i="4"/>
  <c r="CB747" i="4"/>
  <c r="CB748" i="4"/>
  <c r="CB749" i="4"/>
  <c r="CB750" i="4"/>
  <c r="CB751" i="4"/>
  <c r="CB752" i="4"/>
  <c r="CB753" i="4"/>
  <c r="CB734" i="4"/>
  <c r="CB735" i="4"/>
  <c r="CB736" i="4"/>
  <c r="CB737" i="4"/>
  <c r="CB738" i="4"/>
  <c r="CB731" i="4"/>
  <c r="CB732" i="4"/>
  <c r="CB739" i="4"/>
  <c r="CB740" i="4"/>
  <c r="CB741" i="4"/>
  <c r="CB721" i="4"/>
  <c r="CB722" i="4"/>
  <c r="CB723" i="4"/>
  <c r="CB715" i="4"/>
  <c r="CB716" i="4"/>
  <c r="CB709" i="4"/>
  <c r="CB710" i="4"/>
  <c r="CB711" i="4"/>
  <c r="CB712" i="4"/>
  <c r="CB717" i="4"/>
  <c r="CB701" i="4"/>
  <c r="CB702" i="4"/>
  <c r="CB703" i="4"/>
  <c r="CB704" i="4"/>
  <c r="CB697" i="4"/>
  <c r="CB698" i="4"/>
  <c r="CB693" i="4"/>
  <c r="CB694" i="4"/>
  <c r="CB688" i="4"/>
  <c r="CB689" i="4"/>
  <c r="CB690" i="4"/>
  <c r="CB705" i="4"/>
  <c r="CB724" i="4"/>
  <c r="CB725" i="4"/>
  <c r="CB754" i="4"/>
  <c r="AQ648" i="4"/>
  <c r="CA648" i="4"/>
  <c r="CA647" i="4"/>
  <c r="CA649" i="4"/>
  <c r="CA650" i="4"/>
  <c r="CA668" i="4"/>
  <c r="CA669" i="4"/>
  <c r="CA670" i="4"/>
  <c r="CA663" i="4"/>
  <c r="CA664" i="4"/>
  <c r="CA665" i="4"/>
  <c r="CA657" i="4"/>
  <c r="CA658" i="4"/>
  <c r="CA659" i="4"/>
  <c r="CA660" i="4"/>
  <c r="CA653" i="4"/>
  <c r="CA654" i="4"/>
  <c r="CA671" i="4"/>
  <c r="AN625" i="4"/>
  <c r="CA625" i="4"/>
  <c r="CA626" i="4"/>
  <c r="CA627" i="4"/>
  <c r="CA628" i="4"/>
  <c r="CA620" i="4"/>
  <c r="CA621" i="4"/>
  <c r="CA622" i="4"/>
  <c r="CA613" i="4"/>
  <c r="CA614" i="4"/>
  <c r="CA615" i="4"/>
  <c r="CA616" i="4"/>
  <c r="CA617" i="4"/>
  <c r="CA607" i="4"/>
  <c r="CA608" i="4"/>
  <c r="CA609" i="4"/>
  <c r="CA610" i="4"/>
  <c r="CA602" i="4"/>
  <c r="CA603" i="4"/>
  <c r="CA604" i="4"/>
  <c r="CA597" i="4"/>
  <c r="CA598" i="4"/>
  <c r="CA599" i="4"/>
  <c r="CA589" i="4"/>
  <c r="CA590" i="4"/>
  <c r="CA591" i="4"/>
  <c r="CA592" i="4"/>
  <c r="CA593" i="4"/>
  <c r="CA594" i="4"/>
  <c r="CA583" i="4"/>
  <c r="CA584" i="4"/>
  <c r="CA585" i="4"/>
  <c r="CA586" i="4"/>
  <c r="CA577" i="4"/>
  <c r="CA578" i="4"/>
  <c r="CA579" i="4"/>
  <c r="CA580" i="4"/>
  <c r="CA570" i="4"/>
  <c r="CA571" i="4"/>
  <c r="CA572" i="4"/>
  <c r="CA573" i="4"/>
  <c r="CA574" i="4"/>
  <c r="CA565" i="4"/>
  <c r="CA566" i="4"/>
  <c r="CA567" i="4"/>
  <c r="CA629" i="4"/>
  <c r="CA675" i="4"/>
  <c r="CA676" i="4"/>
  <c r="CA677" i="4"/>
  <c r="CA678" i="4"/>
  <c r="CA679" i="4"/>
  <c r="CA641" i="4"/>
  <c r="CA642" i="4"/>
  <c r="CA637" i="4"/>
  <c r="CA638" i="4"/>
  <c r="CA633" i="4"/>
  <c r="CA634" i="4"/>
  <c r="CA643" i="4"/>
  <c r="CA557" i="4"/>
  <c r="CA558" i="4"/>
  <c r="CA559" i="4"/>
  <c r="CA560" i="4"/>
  <c r="CA561" i="4"/>
  <c r="CA680" i="4"/>
  <c r="CA681" i="4"/>
  <c r="AZ390" i="4"/>
  <c r="CA390" i="4"/>
  <c r="CA391" i="4" s="1"/>
  <c r="CA392" i="4" s="1"/>
  <c r="CA474" i="4" s="1"/>
  <c r="CA475" i="4" s="1"/>
  <c r="CA381" i="4"/>
  <c r="CA382" i="4"/>
  <c r="CA383" i="4"/>
  <c r="CA384" i="4"/>
  <c r="CA385" i="4"/>
  <c r="CA386" i="4"/>
  <c r="CA387" i="4"/>
  <c r="CA375" i="4"/>
  <c r="CA376" i="4"/>
  <c r="CA377" i="4"/>
  <c r="CA378" i="4"/>
  <c r="CA471" i="4"/>
  <c r="CA472" i="4"/>
  <c r="CA473" i="4"/>
  <c r="CA464" i="4"/>
  <c r="CA465" i="4"/>
  <c r="CA466" i="4"/>
  <c r="CA460" i="4"/>
  <c r="CA461" i="4"/>
  <c r="CA456" i="4"/>
  <c r="CA457" i="4"/>
  <c r="CA451" i="4"/>
  <c r="CA452" i="4"/>
  <c r="CA453" i="4"/>
  <c r="CA467" i="4"/>
  <c r="CA441" i="4"/>
  <c r="CA442" i="4"/>
  <c r="CA443" i="4"/>
  <c r="CA444" i="4"/>
  <c r="CA445" i="4"/>
  <c r="CA446" i="4"/>
  <c r="CA433" i="4"/>
  <c r="CA434" i="4"/>
  <c r="CA435" i="4"/>
  <c r="CA436" i="4"/>
  <c r="CA437" i="4"/>
  <c r="CA438" i="4"/>
  <c r="CA447" i="4"/>
  <c r="CA427" i="4"/>
  <c r="CA428" i="4"/>
  <c r="CA420" i="4"/>
  <c r="CA421" i="4"/>
  <c r="CA422" i="4"/>
  <c r="CA423" i="4"/>
  <c r="CA424" i="4"/>
  <c r="CA407" i="4"/>
  <c r="CA408" i="4"/>
  <c r="CA409" i="4"/>
  <c r="CA410" i="4"/>
  <c r="CA411" i="4"/>
  <c r="CA412" i="4"/>
  <c r="CA413" i="4"/>
  <c r="CA414" i="4"/>
  <c r="CA415" i="4"/>
  <c r="CA416" i="4"/>
  <c r="CA417" i="4"/>
  <c r="CA396" i="4"/>
  <c r="CA397" i="4"/>
  <c r="CA398" i="4"/>
  <c r="CA399" i="4"/>
  <c r="CA400" i="4"/>
  <c r="CA401" i="4"/>
  <c r="CA402" i="4"/>
  <c r="CA403" i="4"/>
  <c r="CA404" i="4"/>
  <c r="CA429" i="4"/>
  <c r="BL257" i="4"/>
  <c r="CA257" i="4"/>
  <c r="CA260" i="4" s="1"/>
  <c r="CA261" i="4" s="1"/>
  <c r="CA277" i="4" s="1"/>
  <c r="CA278" i="4" s="1"/>
  <c r="G9" i="6" s="1"/>
  <c r="CA258" i="4"/>
  <c r="CA259" i="4"/>
  <c r="CA250" i="4"/>
  <c r="CA251" i="4"/>
  <c r="CA252" i="4"/>
  <c r="CA253" i="4"/>
  <c r="CA254" i="4"/>
  <c r="CA242" i="4"/>
  <c r="CA243" i="4"/>
  <c r="CA244" i="4"/>
  <c r="CA245" i="4"/>
  <c r="CA246" i="4"/>
  <c r="CA247" i="4"/>
  <c r="CA274" i="4"/>
  <c r="CA275" i="4"/>
  <c r="CA270" i="4"/>
  <c r="CA271" i="4"/>
  <c r="CA265" i="4"/>
  <c r="CA266" i="4"/>
  <c r="CA267" i="4"/>
  <c r="CA276" i="4"/>
  <c r="CA547" i="4"/>
  <c r="CA548" i="4"/>
  <c r="CA549" i="4"/>
  <c r="CA550" i="4"/>
  <c r="CA551" i="4"/>
  <c r="CA534" i="4"/>
  <c r="CA535" i="4"/>
  <c r="CA536" i="4"/>
  <c r="CA537" i="4"/>
  <c r="CA538" i="4"/>
  <c r="CA539" i="4"/>
  <c r="CA528" i="4"/>
  <c r="CA529" i="4"/>
  <c r="CA524" i="4"/>
  <c r="CA525" i="4"/>
  <c r="CA520" i="4"/>
  <c r="CA521" i="4"/>
  <c r="CA515" i="4"/>
  <c r="CA516" i="4"/>
  <c r="CA517" i="4"/>
  <c r="CA510" i="4"/>
  <c r="CA511" i="4"/>
  <c r="CA512" i="4"/>
  <c r="CA530" i="4"/>
  <c r="CA504" i="4"/>
  <c r="CA505" i="4"/>
  <c r="CA498" i="4"/>
  <c r="CA499" i="4"/>
  <c r="CA500" i="4"/>
  <c r="CA501" i="4"/>
  <c r="CA492" i="4"/>
  <c r="CA493" i="4"/>
  <c r="CA494" i="4"/>
  <c r="CA495" i="4"/>
  <c r="CA488" i="4"/>
  <c r="CA489" i="4"/>
  <c r="CA506" i="4"/>
  <c r="CA481" i="4"/>
  <c r="CA482" i="4"/>
  <c r="CA483" i="4"/>
  <c r="CA484" i="4"/>
  <c r="CA540" i="4"/>
  <c r="CA541" i="4"/>
  <c r="CA365" i="4"/>
  <c r="CA366" i="4"/>
  <c r="CA367" i="4"/>
  <c r="CA358" i="4"/>
  <c r="CA359" i="4"/>
  <c r="CA360" i="4"/>
  <c r="CA361" i="4"/>
  <c r="CA368" i="4"/>
  <c r="CA369" i="4"/>
  <c r="CA344" i="4"/>
  <c r="CA345" i="4"/>
  <c r="CA346" i="4"/>
  <c r="CA347" i="4"/>
  <c r="CA348" i="4"/>
  <c r="CA349" i="4"/>
  <c r="CA350" i="4"/>
  <c r="CA351" i="4"/>
  <c r="CA334" i="4"/>
  <c r="CA335" i="4"/>
  <c r="CA336" i="4"/>
  <c r="CA337" i="4"/>
  <c r="CA327" i="4"/>
  <c r="CA328" i="4"/>
  <c r="CA329" i="4"/>
  <c r="CA330" i="4"/>
  <c r="CA331" i="4"/>
  <c r="CA318" i="4"/>
  <c r="CA319" i="4"/>
  <c r="CA320" i="4"/>
  <c r="CA321" i="4"/>
  <c r="CA322" i="4"/>
  <c r="CA323" i="4"/>
  <c r="CA324" i="4"/>
  <c r="CA311" i="4"/>
  <c r="CA312" i="4"/>
  <c r="CA313" i="4"/>
  <c r="CA314" i="4"/>
  <c r="CA315" i="4"/>
  <c r="CA338" i="4"/>
  <c r="CA339" i="4"/>
  <c r="CA298" i="4"/>
  <c r="CA299" i="4"/>
  <c r="CA300" i="4"/>
  <c r="CA301" i="4"/>
  <c r="CA302" i="4"/>
  <c r="CA303" i="4"/>
  <c r="CA304" i="4"/>
  <c r="CA293" i="4"/>
  <c r="CA294" i="4"/>
  <c r="CA295" i="4"/>
  <c r="CA284" i="4"/>
  <c r="CA285" i="4"/>
  <c r="CA286" i="4"/>
  <c r="CA287" i="4"/>
  <c r="CA288" i="4"/>
  <c r="CA289" i="4"/>
  <c r="CA290" i="4"/>
  <c r="CA305" i="4"/>
  <c r="CA306" i="4"/>
  <c r="CA352" i="4"/>
  <c r="CA231" i="4"/>
  <c r="CA232" i="4"/>
  <c r="CA233" i="4"/>
  <c r="CA227" i="4"/>
  <c r="CA228" i="4"/>
  <c r="CA234" i="4"/>
  <c r="CA221" i="4"/>
  <c r="CA222" i="4"/>
  <c r="CA217" i="4"/>
  <c r="CA218" i="4"/>
  <c r="CA210" i="4"/>
  <c r="CA211" i="4"/>
  <c r="CA212" i="4"/>
  <c r="CA213" i="4"/>
  <c r="CA214" i="4"/>
  <c r="CA223" i="4"/>
  <c r="CA235" i="4"/>
  <c r="CA236" i="4"/>
  <c r="CA200" i="4"/>
  <c r="CA201" i="4"/>
  <c r="CA192" i="4"/>
  <c r="CA193" i="4"/>
  <c r="CA194" i="4"/>
  <c r="CA195" i="4"/>
  <c r="CA196" i="4"/>
  <c r="CA197" i="4"/>
  <c r="CA202" i="4"/>
  <c r="CA186" i="4"/>
  <c r="CA187" i="4"/>
  <c r="CA188" i="4"/>
  <c r="CA203" i="4"/>
  <c r="CA177" i="4"/>
  <c r="CA178" i="4"/>
  <c r="CA179" i="4"/>
  <c r="CA169" i="4"/>
  <c r="CA170" i="4"/>
  <c r="CA171" i="4"/>
  <c r="CA172" i="4"/>
  <c r="CA173" i="4"/>
  <c r="CA174" i="4"/>
  <c r="CA180" i="4"/>
  <c r="CA162" i="4"/>
  <c r="CA163" i="4"/>
  <c r="CA164" i="4"/>
  <c r="CA156" i="4"/>
  <c r="CA157" i="4"/>
  <c r="CA158" i="4"/>
  <c r="CA159" i="4"/>
  <c r="CA148" i="4"/>
  <c r="CA149" i="4"/>
  <c r="CA150" i="4"/>
  <c r="CA151" i="4"/>
  <c r="CA152" i="4"/>
  <c r="CA153" i="4"/>
  <c r="CA165" i="4"/>
  <c r="CA139" i="4"/>
  <c r="CA140" i="4"/>
  <c r="CA141" i="4"/>
  <c r="CA142" i="4"/>
  <c r="CA143" i="4"/>
  <c r="CA131" i="4"/>
  <c r="CA132" i="4"/>
  <c r="CA133" i="4"/>
  <c r="CA134" i="4"/>
  <c r="CA135" i="4"/>
  <c r="CA136" i="4"/>
  <c r="CA144" i="4"/>
  <c r="CA181" i="4"/>
  <c r="CA204" i="4"/>
  <c r="CA121" i="4"/>
  <c r="CA122" i="4"/>
  <c r="CA123" i="4"/>
  <c r="CA124" i="4"/>
  <c r="Y108" i="4"/>
  <c r="CA108" i="4"/>
  <c r="Y109" i="4"/>
  <c r="CA109" i="4"/>
  <c r="CA110" i="4"/>
  <c r="CA111" i="4"/>
  <c r="CA112" i="4"/>
  <c r="CA113" i="4"/>
  <c r="CA114" i="4"/>
  <c r="CA115" i="4"/>
  <c r="CA116" i="4"/>
  <c r="Y92" i="4"/>
  <c r="CA92" i="4"/>
  <c r="CA93" i="4"/>
  <c r="Y94" i="4"/>
  <c r="CA94" i="4"/>
  <c r="CA95" i="4"/>
  <c r="BL96" i="4"/>
  <c r="CA96" i="4"/>
  <c r="CA97" i="4"/>
  <c r="CA98" i="4"/>
  <c r="CA99" i="4"/>
  <c r="CA100" i="4"/>
  <c r="CA101" i="4"/>
  <c r="AH86" i="4"/>
  <c r="CA86" i="4"/>
  <c r="CA87" i="4"/>
  <c r="CA88" i="4"/>
  <c r="CA89" i="4"/>
  <c r="CA102" i="4"/>
  <c r="CA103" i="4"/>
  <c r="CA125" i="4"/>
  <c r="CA72" i="4"/>
  <c r="CA73" i="4"/>
  <c r="CA74" i="4"/>
  <c r="CA75" i="4"/>
  <c r="CA76" i="4"/>
  <c r="CA77" i="4"/>
  <c r="CA78" i="4"/>
  <c r="CA79" i="4"/>
  <c r="CA80" i="4"/>
  <c r="CA29" i="4"/>
  <c r="CA30" i="4"/>
  <c r="CA33" i="4"/>
  <c r="CA34" i="4"/>
  <c r="CA35" i="4"/>
  <c r="CA39" i="4"/>
  <c r="CA40" i="4"/>
  <c r="CA41" i="4"/>
  <c r="CA45" i="4"/>
  <c r="CA46" i="4"/>
  <c r="CA47" i="4"/>
  <c r="CA48" i="4"/>
  <c r="CA49" i="4"/>
  <c r="CA50" i="4"/>
  <c r="CA51" i="4"/>
  <c r="CA52" i="4"/>
  <c r="CA53" i="4"/>
  <c r="CA54" i="4"/>
  <c r="CA55" i="4"/>
  <c r="CA56" i="4"/>
  <c r="CA57" i="4"/>
  <c r="CA58" i="4"/>
  <c r="CA59" i="4"/>
  <c r="CA60" i="4"/>
  <c r="CA61" i="4"/>
  <c r="CA62" i="4"/>
  <c r="CA63" i="4"/>
  <c r="CA64" i="4"/>
  <c r="CA65" i="4"/>
  <c r="CA66" i="4"/>
  <c r="CA11" i="4"/>
  <c r="CA12" i="4"/>
  <c r="CA13" i="4"/>
  <c r="CA14" i="4"/>
  <c r="CA15" i="4"/>
  <c r="CA16" i="4"/>
  <c r="CA17" i="4"/>
  <c r="CA18" i="4"/>
  <c r="CA19" i="4"/>
  <c r="CA20" i="4"/>
  <c r="CA21" i="4" s="1"/>
  <c r="CA22" i="4" s="1"/>
  <c r="CA23" i="4" s="1"/>
  <c r="G3" i="6" s="1"/>
  <c r="CA747" i="4"/>
  <c r="CA748" i="4"/>
  <c r="CA749" i="4"/>
  <c r="CA750" i="4"/>
  <c r="CA751" i="4"/>
  <c r="CA752" i="4"/>
  <c r="CA753" i="4"/>
  <c r="CA734" i="4"/>
  <c r="CA735" i="4"/>
  <c r="CA736" i="4"/>
  <c r="CA737" i="4"/>
  <c r="CA738" i="4"/>
  <c r="CA731" i="4"/>
  <c r="CA732" i="4"/>
  <c r="CA739" i="4"/>
  <c r="CA740" i="4"/>
  <c r="CA741" i="4"/>
  <c r="CA721" i="4"/>
  <c r="CA722" i="4"/>
  <c r="CA723" i="4"/>
  <c r="CA715" i="4"/>
  <c r="CA716" i="4"/>
  <c r="CA709" i="4"/>
  <c r="CA710" i="4"/>
  <c r="CA711" i="4"/>
  <c r="CA712" i="4"/>
  <c r="CA717" i="4"/>
  <c r="CA701" i="4"/>
  <c r="CA702" i="4"/>
  <c r="CA703" i="4"/>
  <c r="CA704" i="4"/>
  <c r="CA697" i="4"/>
  <c r="CA698" i="4"/>
  <c r="CA693" i="4"/>
  <c r="CA694" i="4"/>
  <c r="CA688" i="4"/>
  <c r="CA689" i="4"/>
  <c r="CA690" i="4"/>
  <c r="CA705" i="4"/>
  <c r="CA724" i="4"/>
  <c r="CA725" i="4"/>
  <c r="CA754" i="4"/>
  <c r="K347" i="4"/>
  <c r="BZ737" i="4"/>
  <c r="BQ736" i="4"/>
  <c r="BZ736" i="4"/>
  <c r="BZ735" i="4"/>
  <c r="BZ734" i="4"/>
  <c r="BZ731" i="4"/>
  <c r="BZ721" i="4"/>
  <c r="BZ715" i="4"/>
  <c r="BW711" i="4"/>
  <c r="BZ711" i="4"/>
  <c r="BK710" i="4"/>
  <c r="BW710" i="4"/>
  <c r="BZ710" i="4"/>
  <c r="BW709" i="4"/>
  <c r="BZ709" i="4"/>
  <c r="BN703" i="4"/>
  <c r="BZ703" i="4"/>
  <c r="BN702" i="4"/>
  <c r="BQ702" i="4"/>
  <c r="BZ702" i="4"/>
  <c r="BN701" i="4"/>
  <c r="BZ701" i="4"/>
  <c r="BN697" i="4"/>
  <c r="BZ697" i="4"/>
  <c r="BZ693" i="4"/>
  <c r="BK689" i="4"/>
  <c r="BZ689" i="4"/>
  <c r="BN688" i="4"/>
  <c r="BZ688" i="4"/>
  <c r="BZ677" i="4"/>
  <c r="BK676" i="4"/>
  <c r="BZ676" i="4"/>
  <c r="BZ675" i="4"/>
  <c r="BZ669" i="4"/>
  <c r="BK668" i="4"/>
  <c r="BZ668" i="4"/>
  <c r="BZ664" i="4"/>
  <c r="BZ663" i="4"/>
  <c r="BK659" i="4"/>
  <c r="BZ659" i="4"/>
  <c r="BZ658" i="4"/>
  <c r="BZ657" i="4"/>
  <c r="BZ653" i="4"/>
  <c r="BZ649" i="4"/>
  <c r="AP648" i="4"/>
  <c r="AS648" i="4"/>
  <c r="BW648" i="4"/>
  <c r="BZ648" i="4"/>
  <c r="BZ647" i="4"/>
  <c r="AS641" i="4"/>
  <c r="BZ641" i="4"/>
  <c r="AS637" i="4"/>
  <c r="BZ637" i="4"/>
  <c r="BZ633" i="4"/>
  <c r="AM627" i="4"/>
  <c r="BZ627" i="4"/>
  <c r="AM626" i="4"/>
  <c r="BZ626" i="4"/>
  <c r="AM625" i="4"/>
  <c r="BZ625" i="4"/>
  <c r="BZ621" i="4"/>
  <c r="AM620" i="4"/>
  <c r="BZ620" i="4"/>
  <c r="AM616" i="4"/>
  <c r="BZ616" i="4"/>
  <c r="AM615" i="4"/>
  <c r="BZ615" i="4"/>
  <c r="AM614" i="4"/>
  <c r="BZ614" i="4"/>
  <c r="AM613" i="4"/>
  <c r="BZ613" i="4"/>
  <c r="AV609" i="4"/>
  <c r="BZ609" i="4"/>
  <c r="BZ608" i="4"/>
  <c r="AM607" i="4"/>
  <c r="BZ607" i="4"/>
  <c r="BZ603" i="4"/>
  <c r="BZ602" i="4"/>
  <c r="BZ598" i="4"/>
  <c r="BZ597" i="4"/>
  <c r="BZ593" i="4"/>
  <c r="AM592" i="4"/>
  <c r="BZ592" i="4"/>
  <c r="AM591" i="4"/>
  <c r="BW591" i="4"/>
  <c r="BZ591" i="4"/>
  <c r="BZ590" i="4"/>
  <c r="BZ589" i="4"/>
  <c r="BZ585" i="4"/>
  <c r="BZ584" i="4"/>
  <c r="BZ583" i="4"/>
  <c r="AM579" i="4"/>
  <c r="BZ579" i="4"/>
  <c r="AM578" i="4"/>
  <c r="BZ578" i="4"/>
  <c r="AM577" i="4"/>
  <c r="BZ577" i="4"/>
  <c r="BZ573" i="4"/>
  <c r="BZ572" i="4"/>
  <c r="BZ571" i="4"/>
  <c r="BZ570" i="4"/>
  <c r="BZ566" i="4"/>
  <c r="BZ565" i="4"/>
  <c r="BZ559" i="4"/>
  <c r="BZ558" i="4"/>
  <c r="AM557" i="4"/>
  <c r="BZ557" i="4"/>
  <c r="BZ547" i="4"/>
  <c r="BZ537" i="4"/>
  <c r="BZ538" i="4" s="1"/>
  <c r="BZ539" i="4" s="1"/>
  <c r="BZ540" i="4" s="1"/>
  <c r="BZ541" i="4" s="1"/>
  <c r="BZ536" i="4"/>
  <c r="BK535" i="4"/>
  <c r="BZ535" i="4"/>
  <c r="BK534" i="4"/>
  <c r="BZ534" i="4"/>
  <c r="BK528" i="4"/>
  <c r="BZ528" i="4"/>
  <c r="BK524" i="4"/>
  <c r="BZ524" i="4"/>
  <c r="BK520" i="4"/>
  <c r="BZ520" i="4"/>
  <c r="BK516" i="4"/>
  <c r="BZ516" i="4"/>
  <c r="BK515" i="4"/>
  <c r="BZ515" i="4"/>
  <c r="BK511" i="4"/>
  <c r="BZ511" i="4"/>
  <c r="BK510" i="4"/>
  <c r="BZ510" i="4"/>
  <c r="BK504" i="4"/>
  <c r="BZ504" i="4"/>
  <c r="BK500" i="4"/>
  <c r="BZ500" i="4"/>
  <c r="BK499" i="4"/>
  <c r="BZ499" i="4"/>
  <c r="BZ498" i="4"/>
  <c r="BK494" i="4"/>
  <c r="BZ494" i="4"/>
  <c r="BK493" i="4"/>
  <c r="BZ493" i="4"/>
  <c r="BK492" i="4"/>
  <c r="BZ492" i="4"/>
  <c r="BK488" i="4"/>
  <c r="BZ488" i="4"/>
  <c r="BK482" i="4"/>
  <c r="BZ482" i="4"/>
  <c r="BK481" i="4"/>
  <c r="BZ481" i="4"/>
  <c r="BZ471" i="4"/>
  <c r="BZ465" i="4"/>
  <c r="BZ464" i="4"/>
  <c r="BZ460" i="4"/>
  <c r="BZ456" i="4"/>
  <c r="BZ452" i="4"/>
  <c r="BK451" i="4"/>
  <c r="BZ451" i="4"/>
  <c r="AY445" i="4"/>
  <c r="BZ445" i="4"/>
  <c r="AY444" i="4"/>
  <c r="BK444" i="4"/>
  <c r="BZ444" i="4"/>
  <c r="AY443" i="4"/>
  <c r="BK443" i="4"/>
  <c r="BZ443" i="4"/>
  <c r="BZ442" i="4"/>
  <c r="BK441" i="4"/>
  <c r="BZ441" i="4"/>
  <c r="BK437" i="4"/>
  <c r="BZ437" i="4"/>
  <c r="BZ436" i="4"/>
  <c r="BK435" i="4"/>
  <c r="BZ435" i="4"/>
  <c r="BZ434" i="4"/>
  <c r="BZ433" i="4"/>
  <c r="BZ427" i="4"/>
  <c r="BZ423" i="4"/>
  <c r="BZ422" i="4"/>
  <c r="AY421" i="4"/>
  <c r="BK421" i="4"/>
  <c r="BZ421" i="4"/>
  <c r="BZ420" i="4"/>
  <c r="BZ416" i="4"/>
  <c r="BK415" i="4"/>
  <c r="BZ415" i="4"/>
  <c r="BZ414" i="4"/>
  <c r="BZ413" i="4"/>
  <c r="BZ412" i="4"/>
  <c r="BK411" i="4"/>
  <c r="BZ411" i="4"/>
  <c r="BZ410" i="4"/>
  <c r="BZ409" i="4"/>
  <c r="BZ408" i="4"/>
  <c r="BK407" i="4"/>
  <c r="BZ407" i="4"/>
  <c r="BZ403" i="4"/>
  <c r="BZ402" i="4"/>
  <c r="BZ401" i="4"/>
  <c r="BZ400" i="4"/>
  <c r="BZ399" i="4"/>
  <c r="BZ398" i="4"/>
  <c r="BK397" i="4"/>
  <c r="BZ397" i="4"/>
  <c r="BZ396" i="4"/>
  <c r="AY390" i="4"/>
  <c r="BB390" i="4"/>
  <c r="BZ390" i="4"/>
  <c r="BZ386" i="4"/>
  <c r="BZ385" i="4"/>
  <c r="BZ384" i="4"/>
  <c r="BZ383" i="4"/>
  <c r="BZ382" i="4"/>
  <c r="BZ381" i="4"/>
  <c r="AJ377" i="4"/>
  <c r="BZ377" i="4"/>
  <c r="BE376" i="4"/>
  <c r="BK376" i="4"/>
  <c r="BZ376" i="4"/>
  <c r="AJ375" i="4"/>
  <c r="BK375" i="4"/>
  <c r="BZ375" i="4"/>
  <c r="BK365" i="4"/>
  <c r="BZ365" i="4"/>
  <c r="BZ359" i="4"/>
  <c r="BK358" i="4"/>
  <c r="BZ358" i="4"/>
  <c r="BK348" i="4"/>
  <c r="BZ348" i="4"/>
  <c r="BZ347" i="4"/>
  <c r="BK346" i="4"/>
  <c r="BZ346" i="4"/>
  <c r="BZ345" i="4"/>
  <c r="BK344" i="4"/>
  <c r="BZ344" i="4"/>
  <c r="BK336" i="4"/>
  <c r="BZ336" i="4"/>
  <c r="BK335" i="4"/>
  <c r="BZ335" i="4"/>
  <c r="BK334" i="4"/>
  <c r="BZ334" i="4"/>
  <c r="BK330" i="4"/>
  <c r="BZ330" i="4"/>
  <c r="BK329" i="4"/>
  <c r="BZ329" i="4"/>
  <c r="BK328" i="4"/>
  <c r="BZ328" i="4"/>
  <c r="BK327" i="4"/>
  <c r="BZ327" i="4"/>
  <c r="BK323" i="4"/>
  <c r="BZ323" i="4"/>
  <c r="BZ322" i="4"/>
  <c r="BZ321" i="4"/>
  <c r="BZ320" i="4"/>
  <c r="BZ319" i="4"/>
  <c r="BZ318" i="4"/>
  <c r="BK314" i="4"/>
  <c r="BZ314" i="4"/>
  <c r="BK313" i="4"/>
  <c r="BZ313" i="4"/>
  <c r="BZ312" i="4"/>
  <c r="BK311" i="4"/>
  <c r="BZ311" i="4"/>
  <c r="BZ303" i="4"/>
  <c r="BZ302" i="4"/>
  <c r="BZ301" i="4"/>
  <c r="BZ300" i="4"/>
  <c r="BZ299" i="4"/>
  <c r="BK298" i="4"/>
  <c r="BZ298" i="4"/>
  <c r="BK294" i="4"/>
  <c r="BZ294" i="4"/>
  <c r="BH293" i="4"/>
  <c r="BZ293" i="4"/>
  <c r="BZ289" i="4"/>
  <c r="BK288" i="4"/>
  <c r="BZ288" i="4"/>
  <c r="BK287" i="4"/>
  <c r="BZ287" i="4"/>
  <c r="BZ286" i="4"/>
  <c r="BZ285" i="4"/>
  <c r="BK284" i="4"/>
  <c r="BZ284" i="4"/>
  <c r="BK274" i="4"/>
  <c r="BQ274" i="4"/>
  <c r="BZ274" i="4"/>
  <c r="BK270" i="4"/>
  <c r="BZ270" i="4"/>
  <c r="BZ266" i="4"/>
  <c r="BZ265" i="4"/>
  <c r="BZ259" i="4"/>
  <c r="BZ258" i="4"/>
  <c r="BK257" i="4"/>
  <c r="BZ257" i="4"/>
  <c r="BZ253" i="4"/>
  <c r="BK252" i="4"/>
  <c r="BZ252" i="4"/>
  <c r="BK251" i="4"/>
  <c r="BZ251" i="4"/>
  <c r="BK250" i="4"/>
  <c r="BZ250" i="4"/>
  <c r="BK246" i="4"/>
  <c r="BZ246" i="4"/>
  <c r="BZ245" i="4"/>
  <c r="BK244" i="4"/>
  <c r="BZ244" i="4"/>
  <c r="BK243" i="4"/>
  <c r="BZ243" i="4"/>
  <c r="BK242" i="4"/>
  <c r="BZ242" i="4"/>
  <c r="BK232" i="4"/>
  <c r="BZ232" i="4"/>
  <c r="BK231" i="4"/>
  <c r="BZ231" i="4"/>
  <c r="BK227" i="4"/>
  <c r="BQ227" i="4"/>
  <c r="BZ227" i="4"/>
  <c r="R221" i="4"/>
  <c r="BZ221" i="4"/>
  <c r="BZ217" i="4"/>
  <c r="R213" i="4"/>
  <c r="BK213" i="4"/>
  <c r="BZ213" i="4"/>
  <c r="R212" i="4"/>
  <c r="BK212" i="4"/>
  <c r="BZ212" i="4"/>
  <c r="BK211" i="4"/>
  <c r="BZ211" i="4"/>
  <c r="R210" i="4"/>
  <c r="BZ210" i="4"/>
  <c r="BK200" i="4"/>
  <c r="BZ200" i="4"/>
  <c r="BZ196" i="4"/>
  <c r="BZ195" i="4"/>
  <c r="BZ194" i="4"/>
  <c r="BZ193" i="4"/>
  <c r="BK192" i="4"/>
  <c r="BZ192" i="4"/>
  <c r="BK186" i="4"/>
  <c r="BZ186" i="4"/>
  <c r="BZ178" i="4"/>
  <c r="BK177" i="4"/>
  <c r="BZ177" i="4"/>
  <c r="BK173" i="4"/>
  <c r="BZ173" i="4"/>
  <c r="BK172" i="4"/>
  <c r="BZ172" i="4"/>
  <c r="BK171" i="4"/>
  <c r="BZ171" i="4"/>
  <c r="BK170" i="4"/>
  <c r="BZ170" i="4"/>
  <c r="BK169" i="4"/>
  <c r="BZ169" i="4"/>
  <c r="BK163" i="4"/>
  <c r="BZ163" i="4"/>
  <c r="BK162" i="4"/>
  <c r="BZ162" i="4"/>
  <c r="BK158" i="4"/>
  <c r="BZ158" i="4"/>
  <c r="BK157" i="4"/>
  <c r="BZ157" i="4"/>
  <c r="BK156" i="4"/>
  <c r="BZ156" i="4"/>
  <c r="BK152" i="4"/>
  <c r="BZ152" i="4"/>
  <c r="BK151" i="4"/>
  <c r="BZ151" i="4"/>
  <c r="BK150" i="4"/>
  <c r="BZ150" i="4"/>
  <c r="BK149" i="4"/>
  <c r="BZ149" i="4"/>
  <c r="BK148" i="4"/>
  <c r="BZ148" i="4"/>
  <c r="BZ142" i="4"/>
  <c r="BZ141" i="4"/>
  <c r="AA140" i="4"/>
  <c r="BK140" i="4"/>
  <c r="BZ140" i="4"/>
  <c r="AA139" i="4"/>
  <c r="BZ139" i="4"/>
  <c r="BZ135" i="4"/>
  <c r="AA134" i="4"/>
  <c r="BZ134" i="4"/>
  <c r="AA133" i="4"/>
  <c r="BZ133" i="4"/>
  <c r="BZ132" i="4"/>
  <c r="AA131" i="4"/>
  <c r="BK131" i="4"/>
  <c r="BZ131" i="4"/>
  <c r="BZ121" i="4"/>
  <c r="BZ113" i="4"/>
  <c r="BZ112" i="4"/>
  <c r="BZ111" i="4"/>
  <c r="BZ110" i="4"/>
  <c r="BZ109" i="4"/>
  <c r="X108" i="4"/>
  <c r="BH108" i="4"/>
  <c r="BZ108" i="4"/>
  <c r="BZ100" i="4"/>
  <c r="BZ99" i="4"/>
  <c r="BT98" i="4"/>
  <c r="BZ98" i="4"/>
  <c r="BZ97" i="4"/>
  <c r="BT96" i="4"/>
  <c r="BZ96" i="4"/>
  <c r="BT95" i="4"/>
  <c r="BZ95" i="4"/>
  <c r="X94" i="4"/>
  <c r="BT94" i="4"/>
  <c r="BZ94" i="4"/>
  <c r="BZ93" i="4"/>
  <c r="X92" i="4"/>
  <c r="BZ92" i="4"/>
  <c r="AG88" i="4"/>
  <c r="BZ88" i="4"/>
  <c r="AG87" i="4"/>
  <c r="BZ87" i="4"/>
  <c r="AG86" i="4"/>
  <c r="BK86" i="4"/>
  <c r="BZ86" i="4"/>
  <c r="BK76" i="4"/>
  <c r="BZ76" i="4"/>
  <c r="BK75" i="4"/>
  <c r="BZ75" i="4"/>
  <c r="AD74" i="4"/>
  <c r="BZ74" i="4"/>
  <c r="AD73" i="4"/>
  <c r="BK73" i="4"/>
  <c r="BZ73" i="4"/>
  <c r="BK72" i="4"/>
  <c r="BZ72" i="4"/>
  <c r="BZ62" i="4"/>
  <c r="BK61" i="4"/>
  <c r="BZ61" i="4"/>
  <c r="BZ60" i="4"/>
  <c r="BZ59" i="4"/>
  <c r="BZ58" i="4"/>
  <c r="BZ57" i="4"/>
  <c r="BK56" i="4"/>
  <c r="BZ56" i="4"/>
  <c r="BK55" i="4"/>
  <c r="BZ55" i="4"/>
  <c r="BK54" i="4"/>
  <c r="BZ54" i="4"/>
  <c r="BZ53" i="4"/>
  <c r="BK52" i="4"/>
  <c r="BZ52" i="4"/>
  <c r="BK51" i="4"/>
  <c r="BZ51" i="4"/>
  <c r="BZ39" i="4"/>
  <c r="BZ33" i="4"/>
  <c r="BZ29" i="4"/>
  <c r="BZ19" i="4"/>
  <c r="BK18" i="4"/>
  <c r="BZ18" i="4"/>
  <c r="BK17" i="4"/>
  <c r="BZ17" i="4"/>
  <c r="BK16" i="4"/>
  <c r="BZ16" i="4"/>
  <c r="BK15" i="4"/>
  <c r="BZ15" i="4"/>
  <c r="BK14" i="4"/>
  <c r="BZ14" i="4"/>
  <c r="BK13" i="4"/>
  <c r="BZ13" i="4"/>
  <c r="BK12" i="4"/>
  <c r="BZ12" i="4"/>
  <c r="BK11" i="4"/>
  <c r="BZ11" i="4"/>
  <c r="BZ49" i="4"/>
  <c r="BK48" i="4"/>
  <c r="BZ48" i="4"/>
  <c r="BZ47" i="4"/>
  <c r="BZ46" i="4"/>
  <c r="BK45" i="4"/>
  <c r="BZ45" i="4"/>
  <c r="BK50" i="4"/>
  <c r="BZ50" i="4"/>
  <c r="S678" i="4"/>
  <c r="S679" i="4"/>
  <c r="S670" i="4"/>
  <c r="S665" i="4"/>
  <c r="S660" i="4"/>
  <c r="S654" i="4"/>
  <c r="S650" i="4"/>
  <c r="S671" i="4"/>
  <c r="S642" i="4"/>
  <c r="S638" i="4"/>
  <c r="S634" i="4"/>
  <c r="S643" i="4"/>
  <c r="S628" i="4"/>
  <c r="S622" i="4"/>
  <c r="S617" i="4"/>
  <c r="S610" i="4"/>
  <c r="S604" i="4"/>
  <c r="S599" i="4"/>
  <c r="S594" i="4"/>
  <c r="S586" i="4"/>
  <c r="S580" i="4"/>
  <c r="S574" i="4"/>
  <c r="S567" i="4"/>
  <c r="S629" i="4"/>
  <c r="S560" i="4"/>
  <c r="S561" i="4"/>
  <c r="S680" i="4"/>
  <c r="S681" i="4"/>
  <c r="S548" i="4"/>
  <c r="S549" i="4"/>
  <c r="S550" i="4"/>
  <c r="S551" i="4"/>
  <c r="S538" i="4"/>
  <c r="S539" i="4"/>
  <c r="S529" i="4"/>
  <c r="S525" i="4"/>
  <c r="S521" i="4"/>
  <c r="S517" i="4"/>
  <c r="S512" i="4"/>
  <c r="S530" i="4"/>
  <c r="S505" i="4"/>
  <c r="S501" i="4"/>
  <c r="S495" i="4"/>
  <c r="S489" i="4"/>
  <c r="S506" i="4"/>
  <c r="S483" i="4"/>
  <c r="S484" i="4"/>
  <c r="S540" i="4"/>
  <c r="S541" i="4"/>
  <c r="S472" i="4"/>
  <c r="S473" i="4"/>
  <c r="S466" i="4"/>
  <c r="S457" i="4"/>
  <c r="S453" i="4"/>
  <c r="S467" i="4"/>
  <c r="S446" i="4"/>
  <c r="S438" i="4"/>
  <c r="S447" i="4"/>
  <c r="S428" i="4"/>
  <c r="S424" i="4"/>
  <c r="S417" i="4"/>
  <c r="S404" i="4"/>
  <c r="S429" i="4"/>
  <c r="S391" i="4"/>
  <c r="S387" i="4"/>
  <c r="S378" i="4"/>
  <c r="S392" i="4"/>
  <c r="S474" i="4"/>
  <c r="S475" i="4"/>
  <c r="S366" i="4"/>
  <c r="S367" i="4"/>
  <c r="S360" i="4"/>
  <c r="S361" i="4"/>
  <c r="S368" i="4"/>
  <c r="S369" i="4"/>
  <c r="S349" i="4"/>
  <c r="S350" i="4"/>
  <c r="S351" i="4"/>
  <c r="S337" i="4"/>
  <c r="S331" i="4"/>
  <c r="S324" i="4"/>
  <c r="S315" i="4"/>
  <c r="S338" i="4"/>
  <c r="S339" i="4"/>
  <c r="S304" i="4"/>
  <c r="S295" i="4"/>
  <c r="S290" i="4"/>
  <c r="S305" i="4"/>
  <c r="S306" i="4"/>
  <c r="S352" i="4"/>
  <c r="S275" i="4"/>
  <c r="S271" i="4"/>
  <c r="S267" i="4"/>
  <c r="S276" i="4"/>
  <c r="S260" i="4"/>
  <c r="S254" i="4"/>
  <c r="S247" i="4"/>
  <c r="S261" i="4"/>
  <c r="S277" i="4"/>
  <c r="S278" i="4"/>
  <c r="S233" i="4"/>
  <c r="S228" i="4"/>
  <c r="S234" i="4"/>
  <c r="S222" i="4"/>
  <c r="S218" i="4"/>
  <c r="S223" i="4"/>
  <c r="S235" i="4"/>
  <c r="S236" i="4"/>
  <c r="S201" i="4"/>
  <c r="S197" i="4"/>
  <c r="S202" i="4"/>
  <c r="S187" i="4"/>
  <c r="S188" i="4"/>
  <c r="S203" i="4"/>
  <c r="S179" i="4"/>
  <c r="S174" i="4"/>
  <c r="S180" i="4"/>
  <c r="S164" i="4"/>
  <c r="S159" i="4"/>
  <c r="S153" i="4"/>
  <c r="S165" i="4"/>
  <c r="S143" i="4"/>
  <c r="S136" i="4"/>
  <c r="S144" i="4"/>
  <c r="S181" i="4"/>
  <c r="S204" i="4"/>
  <c r="S122" i="4"/>
  <c r="S123" i="4"/>
  <c r="S124" i="4"/>
  <c r="S114" i="4"/>
  <c r="S115" i="4"/>
  <c r="S116" i="4"/>
  <c r="S101" i="4"/>
  <c r="S89" i="4"/>
  <c r="S102" i="4"/>
  <c r="S103" i="4"/>
  <c r="S125" i="4"/>
  <c r="S77" i="4"/>
  <c r="S78" i="4"/>
  <c r="S79" i="4"/>
  <c r="S80" i="4"/>
  <c r="S30" i="4"/>
  <c r="S34" i="4"/>
  <c r="S35" i="4"/>
  <c r="S40" i="4"/>
  <c r="S41" i="4"/>
  <c r="S63" i="4"/>
  <c r="S64" i="4"/>
  <c r="S65" i="4"/>
  <c r="S66" i="4"/>
  <c r="S20" i="4"/>
  <c r="S21" i="4"/>
  <c r="S22" i="4"/>
  <c r="S23" i="4"/>
  <c r="S682" i="4"/>
  <c r="S755" i="4"/>
  <c r="T678" i="4"/>
  <c r="T679" i="4"/>
  <c r="T670" i="4"/>
  <c r="T665" i="4"/>
  <c r="T660" i="4"/>
  <c r="T654" i="4"/>
  <c r="T650" i="4"/>
  <c r="T671" i="4"/>
  <c r="T642" i="4"/>
  <c r="T638" i="4"/>
  <c r="T634" i="4"/>
  <c r="T643" i="4"/>
  <c r="T628" i="4"/>
  <c r="T622" i="4"/>
  <c r="T617" i="4"/>
  <c r="T610" i="4"/>
  <c r="T604" i="4"/>
  <c r="T599" i="4"/>
  <c r="T594" i="4"/>
  <c r="T586" i="4"/>
  <c r="T580" i="4"/>
  <c r="T574" i="4"/>
  <c r="T567" i="4"/>
  <c r="T629" i="4"/>
  <c r="T560" i="4"/>
  <c r="T561" i="4"/>
  <c r="T680" i="4"/>
  <c r="T681" i="4"/>
  <c r="T548" i="4"/>
  <c r="T549" i="4"/>
  <c r="T550" i="4"/>
  <c r="T551" i="4"/>
  <c r="T538" i="4"/>
  <c r="T539" i="4"/>
  <c r="T529" i="4"/>
  <c r="T525" i="4"/>
  <c r="T521" i="4"/>
  <c r="T517" i="4"/>
  <c r="T512" i="4"/>
  <c r="T530" i="4"/>
  <c r="T505" i="4"/>
  <c r="T501" i="4"/>
  <c r="T495" i="4"/>
  <c r="T489" i="4"/>
  <c r="T506" i="4"/>
  <c r="T483" i="4"/>
  <c r="T484" i="4"/>
  <c r="T540" i="4"/>
  <c r="T541" i="4"/>
  <c r="T472" i="4"/>
  <c r="T473" i="4"/>
  <c r="T466" i="4"/>
  <c r="T457" i="4"/>
  <c r="T453" i="4"/>
  <c r="T467" i="4"/>
  <c r="T446" i="4"/>
  <c r="T438" i="4"/>
  <c r="T447" i="4"/>
  <c r="T428" i="4"/>
  <c r="T424" i="4"/>
  <c r="T417" i="4"/>
  <c r="T404" i="4"/>
  <c r="T429" i="4"/>
  <c r="T391" i="4"/>
  <c r="T387" i="4"/>
  <c r="T378" i="4"/>
  <c r="T392" i="4"/>
  <c r="T474" i="4"/>
  <c r="T475" i="4"/>
  <c r="T366" i="4"/>
  <c r="T367" i="4"/>
  <c r="T360" i="4"/>
  <c r="T361" i="4"/>
  <c r="T368" i="4"/>
  <c r="T369" i="4"/>
  <c r="T349" i="4"/>
  <c r="T350" i="4"/>
  <c r="T351" i="4"/>
  <c r="T337" i="4"/>
  <c r="T331" i="4"/>
  <c r="T324" i="4"/>
  <c r="T315" i="4"/>
  <c r="T338" i="4"/>
  <c r="T339" i="4"/>
  <c r="T304" i="4"/>
  <c r="T295" i="4"/>
  <c r="T290" i="4"/>
  <c r="T305" i="4"/>
  <c r="T306" i="4"/>
  <c r="T352" i="4"/>
  <c r="T275" i="4"/>
  <c r="T271" i="4"/>
  <c r="T267" i="4"/>
  <c r="T276" i="4"/>
  <c r="T260" i="4"/>
  <c r="T254" i="4"/>
  <c r="T247" i="4"/>
  <c r="T261" i="4"/>
  <c r="T277" i="4"/>
  <c r="T278" i="4"/>
  <c r="T233" i="4"/>
  <c r="T228" i="4"/>
  <c r="T234" i="4"/>
  <c r="T222" i="4"/>
  <c r="T218" i="4"/>
  <c r="T223" i="4"/>
  <c r="T235" i="4"/>
  <c r="T236" i="4"/>
  <c r="T201" i="4"/>
  <c r="T197" i="4"/>
  <c r="T202" i="4"/>
  <c r="T187" i="4"/>
  <c r="T188" i="4"/>
  <c r="T203" i="4"/>
  <c r="T179" i="4"/>
  <c r="T174" i="4"/>
  <c r="T180" i="4"/>
  <c r="T164" i="4"/>
  <c r="T159" i="4"/>
  <c r="T153" i="4"/>
  <c r="T165" i="4"/>
  <c r="T143" i="4"/>
  <c r="T136" i="4"/>
  <c r="T144" i="4"/>
  <c r="T181" i="4"/>
  <c r="T204" i="4"/>
  <c r="T122" i="4"/>
  <c r="T123" i="4"/>
  <c r="T124" i="4"/>
  <c r="T114" i="4"/>
  <c r="T115" i="4"/>
  <c r="T116" i="4"/>
  <c r="T101" i="4"/>
  <c r="T89" i="4"/>
  <c r="T102" i="4"/>
  <c r="T103" i="4"/>
  <c r="T125" i="4"/>
  <c r="T77" i="4"/>
  <c r="T78" i="4"/>
  <c r="T79" i="4"/>
  <c r="T80" i="4"/>
  <c r="T30" i="4"/>
  <c r="T34" i="4"/>
  <c r="T35" i="4"/>
  <c r="T40" i="4"/>
  <c r="T41" i="4"/>
  <c r="T63" i="4"/>
  <c r="T64" i="4"/>
  <c r="T65" i="4"/>
  <c r="T66" i="4"/>
  <c r="T20" i="4"/>
  <c r="T21" i="4"/>
  <c r="T22" i="4"/>
  <c r="T23" i="4"/>
  <c r="T682" i="4"/>
  <c r="T755" i="4"/>
  <c r="V678" i="4"/>
  <c r="V679" i="4"/>
  <c r="V670" i="4"/>
  <c r="V665" i="4"/>
  <c r="V660" i="4"/>
  <c r="V654" i="4"/>
  <c r="V650" i="4"/>
  <c r="V671" i="4"/>
  <c r="V642" i="4"/>
  <c r="V638" i="4"/>
  <c r="V634" i="4"/>
  <c r="V643" i="4"/>
  <c r="V628" i="4"/>
  <c r="V622" i="4"/>
  <c r="V617" i="4"/>
  <c r="V610" i="4"/>
  <c r="V604" i="4"/>
  <c r="V599" i="4"/>
  <c r="V594" i="4"/>
  <c r="V586" i="4"/>
  <c r="V580" i="4"/>
  <c r="V574" i="4"/>
  <c r="V567" i="4"/>
  <c r="V629" i="4"/>
  <c r="V560" i="4"/>
  <c r="V561" i="4"/>
  <c r="V680" i="4"/>
  <c r="V681" i="4"/>
  <c r="V548" i="4"/>
  <c r="V549" i="4"/>
  <c r="V550" i="4"/>
  <c r="V551" i="4"/>
  <c r="V538" i="4"/>
  <c r="V539" i="4"/>
  <c r="V529" i="4"/>
  <c r="V525" i="4"/>
  <c r="V521" i="4"/>
  <c r="V517" i="4"/>
  <c r="V512" i="4"/>
  <c r="V530" i="4"/>
  <c r="V505" i="4"/>
  <c r="V501" i="4"/>
  <c r="V495" i="4"/>
  <c r="V489" i="4"/>
  <c r="V506" i="4"/>
  <c r="V483" i="4"/>
  <c r="V484" i="4"/>
  <c r="V540" i="4"/>
  <c r="V541" i="4"/>
  <c r="V472" i="4"/>
  <c r="V473" i="4"/>
  <c r="V466" i="4"/>
  <c r="V457" i="4"/>
  <c r="V453" i="4"/>
  <c r="V467" i="4"/>
  <c r="V446" i="4"/>
  <c r="V438" i="4"/>
  <c r="V447" i="4"/>
  <c r="V428" i="4"/>
  <c r="V424" i="4"/>
  <c r="V417" i="4"/>
  <c r="V404" i="4"/>
  <c r="V429" i="4"/>
  <c r="V391" i="4"/>
  <c r="V387" i="4"/>
  <c r="V378" i="4"/>
  <c r="V392" i="4"/>
  <c r="V474" i="4"/>
  <c r="V475" i="4"/>
  <c r="V366" i="4"/>
  <c r="V367" i="4"/>
  <c r="V360" i="4"/>
  <c r="V361" i="4"/>
  <c r="V368" i="4"/>
  <c r="V369" i="4"/>
  <c r="V349" i="4"/>
  <c r="V350" i="4"/>
  <c r="V351" i="4"/>
  <c r="V337" i="4"/>
  <c r="V331" i="4"/>
  <c r="V324" i="4"/>
  <c r="V315" i="4"/>
  <c r="V338" i="4"/>
  <c r="V339" i="4"/>
  <c r="V304" i="4"/>
  <c r="V295" i="4"/>
  <c r="V290" i="4"/>
  <c r="V305" i="4"/>
  <c r="V306" i="4"/>
  <c r="V352" i="4"/>
  <c r="V275" i="4"/>
  <c r="V271" i="4"/>
  <c r="V267" i="4"/>
  <c r="V276" i="4"/>
  <c r="V260" i="4"/>
  <c r="V254" i="4"/>
  <c r="V247" i="4"/>
  <c r="V261" i="4"/>
  <c r="V277" i="4"/>
  <c r="V278" i="4"/>
  <c r="V233" i="4"/>
  <c r="V228" i="4"/>
  <c r="V234" i="4"/>
  <c r="V222" i="4"/>
  <c r="V218" i="4"/>
  <c r="V223" i="4"/>
  <c r="V235" i="4"/>
  <c r="V236" i="4"/>
  <c r="V201" i="4"/>
  <c r="V197" i="4"/>
  <c r="V202" i="4"/>
  <c r="V187" i="4"/>
  <c r="V188" i="4"/>
  <c r="V203" i="4"/>
  <c r="V179" i="4"/>
  <c r="V174" i="4"/>
  <c r="V180" i="4"/>
  <c r="V164" i="4"/>
  <c r="V159" i="4"/>
  <c r="V153" i="4"/>
  <c r="V165" i="4"/>
  <c r="V143" i="4"/>
  <c r="V136" i="4"/>
  <c r="V144" i="4"/>
  <c r="V181" i="4"/>
  <c r="V204" i="4"/>
  <c r="V122" i="4"/>
  <c r="V123" i="4"/>
  <c r="V124" i="4"/>
  <c r="V114" i="4"/>
  <c r="V115" i="4"/>
  <c r="V116" i="4"/>
  <c r="V101" i="4"/>
  <c r="V89" i="4"/>
  <c r="V102" i="4"/>
  <c r="V103" i="4"/>
  <c r="V125" i="4"/>
  <c r="V77" i="4"/>
  <c r="V78" i="4"/>
  <c r="V79" i="4"/>
  <c r="V80" i="4"/>
  <c r="V30" i="4"/>
  <c r="V34" i="4"/>
  <c r="V35" i="4"/>
  <c r="V40" i="4"/>
  <c r="V41" i="4"/>
  <c r="V63" i="4"/>
  <c r="V64" i="4"/>
  <c r="V65" i="4"/>
  <c r="V66" i="4"/>
  <c r="V20" i="4"/>
  <c r="V21" i="4"/>
  <c r="V22" i="4"/>
  <c r="V23" i="4"/>
  <c r="V682" i="4"/>
  <c r="V755" i="4"/>
  <c r="W678" i="4"/>
  <c r="W679" i="4"/>
  <c r="W670" i="4"/>
  <c r="W665" i="4"/>
  <c r="W660" i="4"/>
  <c r="W654" i="4"/>
  <c r="W650" i="4"/>
  <c r="W671" i="4"/>
  <c r="W642" i="4"/>
  <c r="W638" i="4"/>
  <c r="W634" i="4"/>
  <c r="W643" i="4"/>
  <c r="W628" i="4"/>
  <c r="W622" i="4"/>
  <c r="W617" i="4"/>
  <c r="W610" i="4"/>
  <c r="W604" i="4"/>
  <c r="W599" i="4"/>
  <c r="W594" i="4"/>
  <c r="W586" i="4"/>
  <c r="W580" i="4"/>
  <c r="W574" i="4"/>
  <c r="W567" i="4"/>
  <c r="W629" i="4"/>
  <c r="W560" i="4"/>
  <c r="W561" i="4"/>
  <c r="W680" i="4"/>
  <c r="W681" i="4"/>
  <c r="W548" i="4"/>
  <c r="W549" i="4"/>
  <c r="W550" i="4"/>
  <c r="W551" i="4"/>
  <c r="W538" i="4"/>
  <c r="W539" i="4"/>
  <c r="W529" i="4"/>
  <c r="W525" i="4"/>
  <c r="W521" i="4"/>
  <c r="W517" i="4"/>
  <c r="W512" i="4"/>
  <c r="W530" i="4"/>
  <c r="W505" i="4"/>
  <c r="W501" i="4"/>
  <c r="W495" i="4"/>
  <c r="W489" i="4"/>
  <c r="W506" i="4"/>
  <c r="W483" i="4"/>
  <c r="W484" i="4"/>
  <c r="W540" i="4"/>
  <c r="W541" i="4"/>
  <c r="W472" i="4"/>
  <c r="W473" i="4"/>
  <c r="W466" i="4"/>
  <c r="W457" i="4"/>
  <c r="W453" i="4"/>
  <c r="W467" i="4"/>
  <c r="W446" i="4"/>
  <c r="W438" i="4"/>
  <c r="W447" i="4"/>
  <c r="W428" i="4"/>
  <c r="W424" i="4"/>
  <c r="W417" i="4"/>
  <c r="W404" i="4"/>
  <c r="W429" i="4"/>
  <c r="W391" i="4"/>
  <c r="W387" i="4"/>
  <c r="W378" i="4"/>
  <c r="W392" i="4"/>
  <c r="W474" i="4"/>
  <c r="W475" i="4"/>
  <c r="W366" i="4"/>
  <c r="W367" i="4"/>
  <c r="W360" i="4"/>
  <c r="W361" i="4"/>
  <c r="W368" i="4"/>
  <c r="W369" i="4"/>
  <c r="W349" i="4"/>
  <c r="W350" i="4"/>
  <c r="W351" i="4"/>
  <c r="W337" i="4"/>
  <c r="W331" i="4"/>
  <c r="W324" i="4"/>
  <c r="W315" i="4"/>
  <c r="W338" i="4"/>
  <c r="W339" i="4"/>
  <c r="W304" i="4"/>
  <c r="W295" i="4"/>
  <c r="W290" i="4"/>
  <c r="W305" i="4"/>
  <c r="W306" i="4"/>
  <c r="W352" i="4"/>
  <c r="W275" i="4"/>
  <c r="W271" i="4"/>
  <c r="W267" i="4"/>
  <c r="W276" i="4"/>
  <c r="W260" i="4"/>
  <c r="W254" i="4"/>
  <c r="W247" i="4"/>
  <c r="W261" i="4"/>
  <c r="W277" i="4"/>
  <c r="W278" i="4"/>
  <c r="W233" i="4"/>
  <c r="W228" i="4"/>
  <c r="W234" i="4"/>
  <c r="W222" i="4"/>
  <c r="W218" i="4"/>
  <c r="W223" i="4"/>
  <c r="W235" i="4"/>
  <c r="W236" i="4"/>
  <c r="W201" i="4"/>
  <c r="W197" i="4"/>
  <c r="W202" i="4"/>
  <c r="W187" i="4"/>
  <c r="W188" i="4"/>
  <c r="W203" i="4"/>
  <c r="W179" i="4"/>
  <c r="W174" i="4"/>
  <c r="W180" i="4"/>
  <c r="W164" i="4"/>
  <c r="W159" i="4"/>
  <c r="W153" i="4"/>
  <c r="W165" i="4"/>
  <c r="W143" i="4"/>
  <c r="W136" i="4"/>
  <c r="W144" i="4"/>
  <c r="W181" i="4"/>
  <c r="W204" i="4"/>
  <c r="W122" i="4"/>
  <c r="W123" i="4"/>
  <c r="W124" i="4"/>
  <c r="W114" i="4"/>
  <c r="W115" i="4"/>
  <c r="W116" i="4"/>
  <c r="W101" i="4"/>
  <c r="W89" i="4"/>
  <c r="W102" i="4"/>
  <c r="W103" i="4"/>
  <c r="W125" i="4"/>
  <c r="W77" i="4"/>
  <c r="W78" i="4"/>
  <c r="W79" i="4"/>
  <c r="W80" i="4"/>
  <c r="W30" i="4"/>
  <c r="W34" i="4"/>
  <c r="W35" i="4"/>
  <c r="W40" i="4"/>
  <c r="W41" i="4"/>
  <c r="W63" i="4"/>
  <c r="W64" i="4"/>
  <c r="W65" i="4"/>
  <c r="W66" i="4"/>
  <c r="W20" i="4"/>
  <c r="W21" i="4"/>
  <c r="W22" i="4"/>
  <c r="W23" i="4"/>
  <c r="W682" i="4"/>
  <c r="W755" i="4"/>
  <c r="Y678" i="4"/>
  <c r="Y679" i="4"/>
  <c r="Y670" i="4"/>
  <c r="Y665" i="4"/>
  <c r="Y660" i="4"/>
  <c r="Y654" i="4"/>
  <c r="Y650" i="4"/>
  <c r="Y671" i="4"/>
  <c r="Y642" i="4"/>
  <c r="Y638" i="4"/>
  <c r="Y634" i="4"/>
  <c r="Y643" i="4"/>
  <c r="Y628" i="4"/>
  <c r="Y622" i="4"/>
  <c r="Y617" i="4"/>
  <c r="Y610" i="4"/>
  <c r="Y604" i="4"/>
  <c r="Y599" i="4"/>
  <c r="Y594" i="4"/>
  <c r="Y586" i="4"/>
  <c r="Y580" i="4"/>
  <c r="Y574" i="4"/>
  <c r="Y567" i="4"/>
  <c r="Y629" i="4"/>
  <c r="Y560" i="4"/>
  <c r="Y561" i="4"/>
  <c r="Y680" i="4"/>
  <c r="Y681" i="4"/>
  <c r="Y548" i="4"/>
  <c r="Y549" i="4"/>
  <c r="Y550" i="4"/>
  <c r="Y551" i="4"/>
  <c r="Y538" i="4"/>
  <c r="Y539" i="4"/>
  <c r="Y529" i="4"/>
  <c r="Y525" i="4"/>
  <c r="Y521" i="4"/>
  <c r="Y517" i="4"/>
  <c r="Y512" i="4"/>
  <c r="Y530" i="4"/>
  <c r="Y505" i="4"/>
  <c r="Y501" i="4"/>
  <c r="Y495" i="4"/>
  <c r="Y489" i="4"/>
  <c r="Y506" i="4"/>
  <c r="Y483" i="4"/>
  <c r="Y484" i="4"/>
  <c r="Y540" i="4"/>
  <c r="Y541" i="4"/>
  <c r="Y472" i="4"/>
  <c r="Y473" i="4"/>
  <c r="Y466" i="4"/>
  <c r="Y457" i="4"/>
  <c r="Y453" i="4"/>
  <c r="Y467" i="4"/>
  <c r="Y446" i="4"/>
  <c r="Y438" i="4"/>
  <c r="Y447" i="4"/>
  <c r="Y428" i="4"/>
  <c r="Y424" i="4"/>
  <c r="Y417" i="4"/>
  <c r="Y404" i="4"/>
  <c r="Y429" i="4"/>
  <c r="Y391" i="4"/>
  <c r="Y387" i="4"/>
  <c r="Y378" i="4"/>
  <c r="Y392" i="4"/>
  <c r="Y474" i="4"/>
  <c r="Y475" i="4"/>
  <c r="Y366" i="4"/>
  <c r="Y367" i="4"/>
  <c r="Y360" i="4"/>
  <c r="Y361" i="4"/>
  <c r="Y368" i="4"/>
  <c r="Y369" i="4"/>
  <c r="Y349" i="4"/>
  <c r="Y350" i="4"/>
  <c r="Y351" i="4"/>
  <c r="Y337" i="4"/>
  <c r="Y331" i="4"/>
  <c r="Y324" i="4"/>
  <c r="Y315" i="4"/>
  <c r="Y338" i="4"/>
  <c r="Y339" i="4"/>
  <c r="Y304" i="4"/>
  <c r="Y295" i="4"/>
  <c r="Y290" i="4"/>
  <c r="Y305" i="4"/>
  <c r="Y306" i="4"/>
  <c r="Y352" i="4"/>
  <c r="Y275" i="4"/>
  <c r="Y271" i="4"/>
  <c r="Y267" i="4"/>
  <c r="Y276" i="4"/>
  <c r="Y260" i="4"/>
  <c r="Y254" i="4"/>
  <c r="Y247" i="4"/>
  <c r="Y261" i="4"/>
  <c r="Y277" i="4"/>
  <c r="Y278" i="4"/>
  <c r="Y233" i="4"/>
  <c r="Y228" i="4"/>
  <c r="Y234" i="4"/>
  <c r="Y222" i="4"/>
  <c r="Y218" i="4"/>
  <c r="Y223" i="4"/>
  <c r="Y235" i="4"/>
  <c r="Y236" i="4"/>
  <c r="Y201" i="4"/>
  <c r="Y197" i="4"/>
  <c r="Y202" i="4"/>
  <c r="Y187" i="4"/>
  <c r="Y188" i="4"/>
  <c r="Y203" i="4"/>
  <c r="Y179" i="4"/>
  <c r="Y174" i="4"/>
  <c r="Y180" i="4"/>
  <c r="Y164" i="4"/>
  <c r="Y159" i="4"/>
  <c r="Y153" i="4"/>
  <c r="Y165" i="4"/>
  <c r="Y143" i="4"/>
  <c r="Y136" i="4"/>
  <c r="Y144" i="4"/>
  <c r="Y181" i="4"/>
  <c r="Y204" i="4"/>
  <c r="Y122" i="4"/>
  <c r="Y123" i="4"/>
  <c r="Y124" i="4"/>
  <c r="Y114" i="4"/>
  <c r="Y115" i="4"/>
  <c r="Y116" i="4"/>
  <c r="Y101" i="4"/>
  <c r="Y89" i="4"/>
  <c r="Y102" i="4"/>
  <c r="Y103" i="4"/>
  <c r="Y125" i="4"/>
  <c r="Y77" i="4"/>
  <c r="Y78" i="4"/>
  <c r="Y79" i="4"/>
  <c r="Y80" i="4"/>
  <c r="Y30" i="4"/>
  <c r="Y34" i="4"/>
  <c r="Y35" i="4"/>
  <c r="Y40" i="4"/>
  <c r="Y41" i="4"/>
  <c r="Y63" i="4"/>
  <c r="Y64" i="4"/>
  <c r="Y65" i="4"/>
  <c r="Y66" i="4"/>
  <c r="Y20" i="4"/>
  <c r="Y21" i="4"/>
  <c r="Y22" i="4"/>
  <c r="Y23" i="4"/>
  <c r="Y682" i="4"/>
  <c r="Y755" i="4"/>
  <c r="Z678" i="4"/>
  <c r="Z679" i="4"/>
  <c r="Z670" i="4"/>
  <c r="Z665" i="4"/>
  <c r="Z660" i="4"/>
  <c r="Z654" i="4"/>
  <c r="Z650" i="4"/>
  <c r="Z671" i="4"/>
  <c r="Z642" i="4"/>
  <c r="Z638" i="4"/>
  <c r="Z634" i="4"/>
  <c r="Z643" i="4"/>
  <c r="Z628" i="4"/>
  <c r="Z622" i="4"/>
  <c r="Z617" i="4"/>
  <c r="Z610" i="4"/>
  <c r="Z604" i="4"/>
  <c r="Z599" i="4"/>
  <c r="Z594" i="4"/>
  <c r="Z586" i="4"/>
  <c r="Z580" i="4"/>
  <c r="Z574" i="4"/>
  <c r="Z567" i="4"/>
  <c r="Z629" i="4"/>
  <c r="Z560" i="4"/>
  <c r="Z561" i="4"/>
  <c r="Z680" i="4"/>
  <c r="Z681" i="4"/>
  <c r="Z548" i="4"/>
  <c r="Z549" i="4"/>
  <c r="Z550" i="4"/>
  <c r="Z551" i="4"/>
  <c r="Z538" i="4"/>
  <c r="Z539" i="4"/>
  <c r="Z529" i="4"/>
  <c r="Z525" i="4"/>
  <c r="Z521" i="4"/>
  <c r="Z517" i="4"/>
  <c r="Z512" i="4"/>
  <c r="Z530" i="4"/>
  <c r="Z505" i="4"/>
  <c r="Z501" i="4"/>
  <c r="Z495" i="4"/>
  <c r="Z489" i="4"/>
  <c r="Z506" i="4"/>
  <c r="Z483" i="4"/>
  <c r="Z484" i="4"/>
  <c r="Z540" i="4"/>
  <c r="Z541" i="4"/>
  <c r="Z472" i="4"/>
  <c r="Z473" i="4"/>
  <c r="Z466" i="4"/>
  <c r="Z457" i="4"/>
  <c r="Z453" i="4"/>
  <c r="Z467" i="4"/>
  <c r="Z446" i="4"/>
  <c r="Z438" i="4"/>
  <c r="Z447" i="4"/>
  <c r="Z428" i="4"/>
  <c r="Z424" i="4"/>
  <c r="Z417" i="4"/>
  <c r="Z404" i="4"/>
  <c r="Z429" i="4"/>
  <c r="Z391" i="4"/>
  <c r="Z387" i="4"/>
  <c r="Z378" i="4"/>
  <c r="Z392" i="4"/>
  <c r="Z474" i="4"/>
  <c r="Z475" i="4"/>
  <c r="Z366" i="4"/>
  <c r="Z367" i="4"/>
  <c r="Z360" i="4"/>
  <c r="Z361" i="4"/>
  <c r="Z368" i="4"/>
  <c r="Z369" i="4"/>
  <c r="Z349" i="4"/>
  <c r="Z350" i="4"/>
  <c r="Z351" i="4"/>
  <c r="Z337" i="4"/>
  <c r="Z331" i="4"/>
  <c r="Z324" i="4"/>
  <c r="Z315" i="4"/>
  <c r="Z338" i="4"/>
  <c r="Z339" i="4"/>
  <c r="Z304" i="4"/>
  <c r="Z295" i="4"/>
  <c r="Z290" i="4"/>
  <c r="Z305" i="4"/>
  <c r="Z306" i="4"/>
  <c r="Z352" i="4"/>
  <c r="Z275" i="4"/>
  <c r="Z271" i="4"/>
  <c r="Z267" i="4"/>
  <c r="Z276" i="4"/>
  <c r="Z260" i="4"/>
  <c r="Z254" i="4"/>
  <c r="Z247" i="4"/>
  <c r="Z261" i="4"/>
  <c r="Z277" i="4"/>
  <c r="Z278" i="4"/>
  <c r="Z233" i="4"/>
  <c r="Z228" i="4"/>
  <c r="Z234" i="4"/>
  <c r="Z222" i="4"/>
  <c r="Z218" i="4"/>
  <c r="Z223" i="4"/>
  <c r="Z235" i="4"/>
  <c r="Z236" i="4"/>
  <c r="Z201" i="4"/>
  <c r="Z197" i="4"/>
  <c r="Z202" i="4"/>
  <c r="Z187" i="4"/>
  <c r="Z188" i="4"/>
  <c r="Z203" i="4"/>
  <c r="Z179" i="4"/>
  <c r="Z174" i="4"/>
  <c r="Z180" i="4"/>
  <c r="Z164" i="4"/>
  <c r="Z159" i="4"/>
  <c r="Z153" i="4"/>
  <c r="Z165" i="4"/>
  <c r="Z143" i="4"/>
  <c r="Z136" i="4"/>
  <c r="Z144" i="4"/>
  <c r="Z181" i="4"/>
  <c r="Z204" i="4"/>
  <c r="Z122" i="4"/>
  <c r="Z123" i="4"/>
  <c r="Z124" i="4"/>
  <c r="Z114" i="4"/>
  <c r="Z115" i="4"/>
  <c r="Z116" i="4"/>
  <c r="Z101" i="4"/>
  <c r="Z89" i="4"/>
  <c r="Z102" i="4"/>
  <c r="Z103" i="4"/>
  <c r="Z125" i="4"/>
  <c r="Z77" i="4"/>
  <c r="Z78" i="4"/>
  <c r="Z79" i="4"/>
  <c r="Z80" i="4"/>
  <c r="Z30" i="4"/>
  <c r="Z34" i="4"/>
  <c r="Z35" i="4"/>
  <c r="Z40" i="4"/>
  <c r="Z41" i="4"/>
  <c r="Z63" i="4"/>
  <c r="Z64" i="4"/>
  <c r="Z65" i="4"/>
  <c r="Z66" i="4"/>
  <c r="Z20" i="4"/>
  <c r="Z21" i="4"/>
  <c r="Z22" i="4"/>
  <c r="Z23" i="4"/>
  <c r="Z682" i="4"/>
  <c r="Z755" i="4"/>
  <c r="AB678" i="4"/>
  <c r="AB679" i="4"/>
  <c r="AB670" i="4"/>
  <c r="AB665" i="4"/>
  <c r="AB660" i="4"/>
  <c r="AB654" i="4"/>
  <c r="AB650" i="4"/>
  <c r="AB671" i="4"/>
  <c r="AB642" i="4"/>
  <c r="AB638" i="4"/>
  <c r="AB634" i="4"/>
  <c r="AB643" i="4"/>
  <c r="AB628" i="4"/>
  <c r="AB622" i="4"/>
  <c r="AB617" i="4"/>
  <c r="AB610" i="4"/>
  <c r="AB604" i="4"/>
  <c r="AB599" i="4"/>
  <c r="AB594" i="4"/>
  <c r="AB586" i="4"/>
  <c r="AB580" i="4"/>
  <c r="AB574" i="4"/>
  <c r="AB567" i="4"/>
  <c r="AB629" i="4"/>
  <c r="AB560" i="4"/>
  <c r="AB561" i="4"/>
  <c r="AB680" i="4"/>
  <c r="AB681" i="4"/>
  <c r="AB548" i="4"/>
  <c r="AB549" i="4"/>
  <c r="AB550" i="4"/>
  <c r="AB551" i="4"/>
  <c r="AB538" i="4"/>
  <c r="AB539" i="4"/>
  <c r="AB529" i="4"/>
  <c r="AB525" i="4"/>
  <c r="AB521" i="4"/>
  <c r="AB517" i="4"/>
  <c r="AB512" i="4"/>
  <c r="AB530" i="4"/>
  <c r="AB505" i="4"/>
  <c r="AB501" i="4"/>
  <c r="AB495" i="4"/>
  <c r="AB489" i="4"/>
  <c r="AB506" i="4"/>
  <c r="AB483" i="4"/>
  <c r="AB484" i="4"/>
  <c r="AB540" i="4"/>
  <c r="AB541" i="4"/>
  <c r="AB472" i="4"/>
  <c r="AB473" i="4"/>
  <c r="AB466" i="4"/>
  <c r="AB457" i="4"/>
  <c r="AB453" i="4"/>
  <c r="AB467" i="4"/>
  <c r="AB446" i="4"/>
  <c r="AB438" i="4"/>
  <c r="AB447" i="4"/>
  <c r="AB428" i="4"/>
  <c r="AB424" i="4"/>
  <c r="AB417" i="4"/>
  <c r="AB404" i="4"/>
  <c r="AB429" i="4"/>
  <c r="AB391" i="4"/>
  <c r="AB387" i="4"/>
  <c r="AB378" i="4"/>
  <c r="AB392" i="4"/>
  <c r="AB474" i="4"/>
  <c r="AB475" i="4"/>
  <c r="AB366" i="4"/>
  <c r="AB367" i="4"/>
  <c r="AB360" i="4"/>
  <c r="AB361" i="4"/>
  <c r="AB368" i="4"/>
  <c r="AB369" i="4"/>
  <c r="AB349" i="4"/>
  <c r="AB350" i="4"/>
  <c r="AB351" i="4"/>
  <c r="AB337" i="4"/>
  <c r="AB331" i="4"/>
  <c r="AB324" i="4"/>
  <c r="AB315" i="4"/>
  <c r="AB338" i="4"/>
  <c r="AB339" i="4"/>
  <c r="AB304" i="4"/>
  <c r="AB295" i="4"/>
  <c r="AB290" i="4"/>
  <c r="AB305" i="4"/>
  <c r="AB306" i="4"/>
  <c r="AB352" i="4"/>
  <c r="AB275" i="4"/>
  <c r="AB271" i="4"/>
  <c r="AB267" i="4"/>
  <c r="AB276" i="4"/>
  <c r="AB260" i="4"/>
  <c r="AB254" i="4"/>
  <c r="AB247" i="4"/>
  <c r="AB261" i="4"/>
  <c r="AB277" i="4"/>
  <c r="AB278" i="4"/>
  <c r="AB233" i="4"/>
  <c r="AB228" i="4"/>
  <c r="AB234" i="4"/>
  <c r="AB222" i="4"/>
  <c r="AB218" i="4"/>
  <c r="AB223" i="4"/>
  <c r="AB235" i="4"/>
  <c r="AB236" i="4"/>
  <c r="AB201" i="4"/>
  <c r="AB197" i="4"/>
  <c r="AB202" i="4"/>
  <c r="AB187" i="4"/>
  <c r="AB188" i="4"/>
  <c r="AB203" i="4"/>
  <c r="AB179" i="4"/>
  <c r="AB174" i="4"/>
  <c r="AB180" i="4"/>
  <c r="AB164" i="4"/>
  <c r="AB159" i="4"/>
  <c r="AB153" i="4"/>
  <c r="AB165" i="4"/>
  <c r="AB143" i="4"/>
  <c r="AB136" i="4"/>
  <c r="AB144" i="4"/>
  <c r="AB181" i="4"/>
  <c r="AB204" i="4"/>
  <c r="AB122" i="4"/>
  <c r="AB123" i="4"/>
  <c r="AB124" i="4"/>
  <c r="AB114" i="4"/>
  <c r="AB115" i="4"/>
  <c r="AB116" i="4"/>
  <c r="AB101" i="4"/>
  <c r="AB89" i="4"/>
  <c r="AB102" i="4"/>
  <c r="AB103" i="4"/>
  <c r="AB125" i="4"/>
  <c r="AB77" i="4"/>
  <c r="AB78" i="4"/>
  <c r="AB79" i="4"/>
  <c r="AB80" i="4"/>
  <c r="AB30" i="4"/>
  <c r="AB34" i="4"/>
  <c r="AB35" i="4"/>
  <c r="AB40" i="4"/>
  <c r="AB41" i="4"/>
  <c r="AB63" i="4"/>
  <c r="AB64" i="4"/>
  <c r="AB65" i="4"/>
  <c r="AB66" i="4"/>
  <c r="AB20" i="4"/>
  <c r="AB21" i="4"/>
  <c r="AB22" i="4"/>
  <c r="AB23" i="4"/>
  <c r="AB682" i="4"/>
  <c r="AB755" i="4"/>
  <c r="AC678" i="4"/>
  <c r="AC679" i="4"/>
  <c r="AC670" i="4"/>
  <c r="AC665" i="4"/>
  <c r="AC660" i="4"/>
  <c r="AC654" i="4"/>
  <c r="AC650" i="4"/>
  <c r="AC671" i="4"/>
  <c r="AC642" i="4"/>
  <c r="AC638" i="4"/>
  <c r="AC634" i="4"/>
  <c r="AC643" i="4"/>
  <c r="AC628" i="4"/>
  <c r="AC622" i="4"/>
  <c r="AC617" i="4"/>
  <c r="AC610" i="4"/>
  <c r="AC604" i="4"/>
  <c r="AC599" i="4"/>
  <c r="AC594" i="4"/>
  <c r="AC586" i="4"/>
  <c r="AC580" i="4"/>
  <c r="AC574" i="4"/>
  <c r="AC567" i="4"/>
  <c r="AC629" i="4"/>
  <c r="AC560" i="4"/>
  <c r="AC561" i="4"/>
  <c r="AC680" i="4"/>
  <c r="AC681" i="4"/>
  <c r="AC548" i="4"/>
  <c r="AC549" i="4"/>
  <c r="AC550" i="4"/>
  <c r="AC551" i="4"/>
  <c r="AC538" i="4"/>
  <c r="AC539" i="4"/>
  <c r="AC529" i="4"/>
  <c r="AC525" i="4"/>
  <c r="AC521" i="4"/>
  <c r="AC517" i="4"/>
  <c r="AC512" i="4"/>
  <c r="AC530" i="4"/>
  <c r="AC505" i="4"/>
  <c r="AC501" i="4"/>
  <c r="AC495" i="4"/>
  <c r="AC489" i="4"/>
  <c r="AC506" i="4"/>
  <c r="AC483" i="4"/>
  <c r="AC484" i="4"/>
  <c r="AC540" i="4"/>
  <c r="AC541" i="4"/>
  <c r="AC472" i="4"/>
  <c r="AC473" i="4"/>
  <c r="AC466" i="4"/>
  <c r="AC457" i="4"/>
  <c r="AC453" i="4"/>
  <c r="AC467" i="4"/>
  <c r="AC446" i="4"/>
  <c r="AC438" i="4"/>
  <c r="AC447" i="4"/>
  <c r="AC428" i="4"/>
  <c r="AC424" i="4"/>
  <c r="AC417" i="4"/>
  <c r="AC404" i="4"/>
  <c r="AC429" i="4"/>
  <c r="AC391" i="4"/>
  <c r="AC387" i="4"/>
  <c r="AC378" i="4"/>
  <c r="AC392" i="4"/>
  <c r="AC474" i="4"/>
  <c r="AC475" i="4"/>
  <c r="AC366" i="4"/>
  <c r="AC367" i="4"/>
  <c r="AC360" i="4"/>
  <c r="AC361" i="4"/>
  <c r="AC368" i="4"/>
  <c r="AC369" i="4"/>
  <c r="AC349" i="4"/>
  <c r="AC350" i="4"/>
  <c r="AC351" i="4"/>
  <c r="AC337" i="4"/>
  <c r="AC331" i="4"/>
  <c r="AC324" i="4"/>
  <c r="AC315" i="4"/>
  <c r="AC338" i="4"/>
  <c r="AC339" i="4"/>
  <c r="AC304" i="4"/>
  <c r="AC295" i="4"/>
  <c r="AC290" i="4"/>
  <c r="AC305" i="4"/>
  <c r="AC306" i="4"/>
  <c r="AC352" i="4"/>
  <c r="AC275" i="4"/>
  <c r="AC271" i="4"/>
  <c r="AC267" i="4"/>
  <c r="AC276" i="4"/>
  <c r="AC260" i="4"/>
  <c r="AC254" i="4"/>
  <c r="AC247" i="4"/>
  <c r="AC261" i="4"/>
  <c r="AC277" i="4"/>
  <c r="AC278" i="4"/>
  <c r="AC233" i="4"/>
  <c r="AC228" i="4"/>
  <c r="AC234" i="4"/>
  <c r="AC222" i="4"/>
  <c r="AC218" i="4"/>
  <c r="AC223" i="4"/>
  <c r="AC235" i="4"/>
  <c r="AC236" i="4"/>
  <c r="AC201" i="4"/>
  <c r="AC197" i="4"/>
  <c r="AC202" i="4"/>
  <c r="AC187" i="4"/>
  <c r="AC188" i="4"/>
  <c r="AC203" i="4"/>
  <c r="AC179" i="4"/>
  <c r="AC174" i="4"/>
  <c r="AC180" i="4"/>
  <c r="AC164" i="4"/>
  <c r="AC159" i="4"/>
  <c r="AC153" i="4"/>
  <c r="AC165" i="4"/>
  <c r="AC143" i="4"/>
  <c r="AC136" i="4"/>
  <c r="AC144" i="4"/>
  <c r="AC181" i="4"/>
  <c r="AC204" i="4"/>
  <c r="AC122" i="4"/>
  <c r="AC123" i="4"/>
  <c r="AC124" i="4"/>
  <c r="AC114" i="4"/>
  <c r="AC115" i="4"/>
  <c r="AC116" i="4"/>
  <c r="AC101" i="4"/>
  <c r="AC89" i="4"/>
  <c r="AC102" i="4"/>
  <c r="AC103" i="4"/>
  <c r="AC125" i="4"/>
  <c r="AC77" i="4"/>
  <c r="AC78" i="4"/>
  <c r="AC79" i="4"/>
  <c r="AC80" i="4"/>
  <c r="AC30" i="4"/>
  <c r="AC34" i="4"/>
  <c r="AC35" i="4"/>
  <c r="AC40" i="4"/>
  <c r="AC41" i="4"/>
  <c r="AC63" i="4"/>
  <c r="AC64" i="4"/>
  <c r="AC65" i="4"/>
  <c r="AC66" i="4"/>
  <c r="AC20" i="4"/>
  <c r="AC21" i="4"/>
  <c r="AC22" i="4"/>
  <c r="AC23" i="4"/>
  <c r="AC682" i="4"/>
  <c r="AC755" i="4"/>
  <c r="AE678" i="4"/>
  <c r="AE679" i="4"/>
  <c r="AE670" i="4"/>
  <c r="AE665" i="4"/>
  <c r="AE660" i="4"/>
  <c r="AE654" i="4"/>
  <c r="AE650" i="4"/>
  <c r="AE671" i="4"/>
  <c r="AE642" i="4"/>
  <c r="AE638" i="4"/>
  <c r="AE634" i="4"/>
  <c r="AE643" i="4"/>
  <c r="AE628" i="4"/>
  <c r="AE622" i="4"/>
  <c r="AE617" i="4"/>
  <c r="AE610" i="4"/>
  <c r="AE604" i="4"/>
  <c r="AE599" i="4"/>
  <c r="AE594" i="4"/>
  <c r="AE586" i="4"/>
  <c r="AE580" i="4"/>
  <c r="AE574" i="4"/>
  <c r="AE567" i="4"/>
  <c r="AE629" i="4"/>
  <c r="AE560" i="4"/>
  <c r="AE561" i="4"/>
  <c r="AE680" i="4"/>
  <c r="AE681" i="4"/>
  <c r="AE548" i="4"/>
  <c r="AE549" i="4"/>
  <c r="AE550" i="4"/>
  <c r="AE551" i="4"/>
  <c r="AE538" i="4"/>
  <c r="AE539" i="4"/>
  <c r="AE529" i="4"/>
  <c r="AE525" i="4"/>
  <c r="AE521" i="4"/>
  <c r="AE517" i="4"/>
  <c r="AE512" i="4"/>
  <c r="AE530" i="4"/>
  <c r="AE505" i="4"/>
  <c r="AE501" i="4"/>
  <c r="AE495" i="4"/>
  <c r="AE489" i="4"/>
  <c r="AE506" i="4"/>
  <c r="AE483" i="4"/>
  <c r="AE484" i="4"/>
  <c r="AE540" i="4"/>
  <c r="AE541" i="4"/>
  <c r="AE472" i="4"/>
  <c r="AE473" i="4"/>
  <c r="AE466" i="4"/>
  <c r="AE457" i="4"/>
  <c r="AE453" i="4"/>
  <c r="AE467" i="4"/>
  <c r="AE446" i="4"/>
  <c r="AE438" i="4"/>
  <c r="AE447" i="4"/>
  <c r="AE428" i="4"/>
  <c r="AE424" i="4"/>
  <c r="AE417" i="4"/>
  <c r="AE404" i="4"/>
  <c r="AE429" i="4"/>
  <c r="AE391" i="4"/>
  <c r="AE387" i="4"/>
  <c r="AE378" i="4"/>
  <c r="AE392" i="4"/>
  <c r="AE474" i="4"/>
  <c r="AE475" i="4"/>
  <c r="AE366" i="4"/>
  <c r="AE367" i="4"/>
  <c r="AE360" i="4"/>
  <c r="AE361" i="4"/>
  <c r="AE368" i="4"/>
  <c r="AE369" i="4"/>
  <c r="AE349" i="4"/>
  <c r="AE350" i="4"/>
  <c r="AE351" i="4"/>
  <c r="AE337" i="4"/>
  <c r="AE331" i="4"/>
  <c r="AE324" i="4"/>
  <c r="AE315" i="4"/>
  <c r="AE338" i="4"/>
  <c r="AE339" i="4"/>
  <c r="AE304" i="4"/>
  <c r="AE295" i="4"/>
  <c r="AE290" i="4"/>
  <c r="AE305" i="4"/>
  <c r="AE306" i="4"/>
  <c r="AE352" i="4"/>
  <c r="AE275" i="4"/>
  <c r="AE271" i="4"/>
  <c r="AE267" i="4"/>
  <c r="AE276" i="4"/>
  <c r="AE260" i="4"/>
  <c r="AE254" i="4"/>
  <c r="AE247" i="4"/>
  <c r="AE261" i="4"/>
  <c r="AE277" i="4"/>
  <c r="AE278" i="4"/>
  <c r="AE233" i="4"/>
  <c r="AE228" i="4"/>
  <c r="AE234" i="4"/>
  <c r="AE222" i="4"/>
  <c r="AE218" i="4"/>
  <c r="AE223" i="4"/>
  <c r="AE235" i="4"/>
  <c r="AE236" i="4"/>
  <c r="AE201" i="4"/>
  <c r="AE197" i="4"/>
  <c r="AE202" i="4"/>
  <c r="AE187" i="4"/>
  <c r="AE188" i="4"/>
  <c r="AE203" i="4"/>
  <c r="AE179" i="4"/>
  <c r="AE174" i="4"/>
  <c r="AE180" i="4"/>
  <c r="AE164" i="4"/>
  <c r="AE159" i="4"/>
  <c r="AE153" i="4"/>
  <c r="AE165" i="4"/>
  <c r="AE143" i="4"/>
  <c r="AE136" i="4"/>
  <c r="AE144" i="4"/>
  <c r="AE181" i="4"/>
  <c r="AE204" i="4"/>
  <c r="AE122" i="4"/>
  <c r="AE123" i="4"/>
  <c r="AE124" i="4"/>
  <c r="AE114" i="4"/>
  <c r="AE115" i="4"/>
  <c r="AE116" i="4"/>
  <c r="AE101" i="4"/>
  <c r="AE89" i="4"/>
  <c r="AE102" i="4"/>
  <c r="AE103" i="4"/>
  <c r="AE125" i="4"/>
  <c r="AE77" i="4"/>
  <c r="AE78" i="4"/>
  <c r="AE79" i="4"/>
  <c r="AE80" i="4"/>
  <c r="AE30" i="4"/>
  <c r="AE34" i="4"/>
  <c r="AE35" i="4"/>
  <c r="AE40" i="4"/>
  <c r="AE41" i="4"/>
  <c r="AE63" i="4"/>
  <c r="AE64" i="4"/>
  <c r="AE65" i="4"/>
  <c r="AE66" i="4"/>
  <c r="AE20" i="4"/>
  <c r="AE21" i="4"/>
  <c r="AE22" i="4"/>
  <c r="AE23" i="4"/>
  <c r="AE682" i="4"/>
  <c r="AE755" i="4"/>
  <c r="AF678" i="4"/>
  <c r="AF679" i="4"/>
  <c r="AF670" i="4"/>
  <c r="AF665" i="4"/>
  <c r="AF660" i="4"/>
  <c r="AF654" i="4"/>
  <c r="AF650" i="4"/>
  <c r="AF671" i="4"/>
  <c r="AF642" i="4"/>
  <c r="AF638" i="4"/>
  <c r="AF634" i="4"/>
  <c r="AF643" i="4"/>
  <c r="AF628" i="4"/>
  <c r="AF622" i="4"/>
  <c r="AF617" i="4"/>
  <c r="AF610" i="4"/>
  <c r="AF604" i="4"/>
  <c r="AF599" i="4"/>
  <c r="AF594" i="4"/>
  <c r="AF586" i="4"/>
  <c r="AF580" i="4"/>
  <c r="AF574" i="4"/>
  <c r="AF567" i="4"/>
  <c r="AF629" i="4"/>
  <c r="AF560" i="4"/>
  <c r="AF561" i="4"/>
  <c r="AF680" i="4"/>
  <c r="AF681" i="4"/>
  <c r="AF548" i="4"/>
  <c r="AF549" i="4"/>
  <c r="AF550" i="4"/>
  <c r="AF551" i="4"/>
  <c r="AF538" i="4"/>
  <c r="AF539" i="4"/>
  <c r="AF529" i="4"/>
  <c r="AF525" i="4"/>
  <c r="AF521" i="4"/>
  <c r="AF517" i="4"/>
  <c r="AF512" i="4"/>
  <c r="AF530" i="4"/>
  <c r="AF505" i="4"/>
  <c r="AF501" i="4"/>
  <c r="AF495" i="4"/>
  <c r="AF489" i="4"/>
  <c r="AF506" i="4"/>
  <c r="AF483" i="4"/>
  <c r="AF484" i="4"/>
  <c r="AF540" i="4"/>
  <c r="AF541" i="4"/>
  <c r="AF472" i="4"/>
  <c r="AF473" i="4"/>
  <c r="AF466" i="4"/>
  <c r="AF457" i="4"/>
  <c r="AF453" i="4"/>
  <c r="AF467" i="4"/>
  <c r="AF446" i="4"/>
  <c r="AF438" i="4"/>
  <c r="AF447" i="4"/>
  <c r="AF428" i="4"/>
  <c r="AF424" i="4"/>
  <c r="AF417" i="4"/>
  <c r="AF404" i="4"/>
  <c r="AF429" i="4"/>
  <c r="AF391" i="4"/>
  <c r="AF387" i="4"/>
  <c r="AF378" i="4"/>
  <c r="AF392" i="4"/>
  <c r="AF474" i="4"/>
  <c r="AF475" i="4"/>
  <c r="AF366" i="4"/>
  <c r="AF367" i="4"/>
  <c r="AF360" i="4"/>
  <c r="AF361" i="4"/>
  <c r="AF368" i="4"/>
  <c r="AF369" i="4"/>
  <c r="AF349" i="4"/>
  <c r="AF350" i="4"/>
  <c r="AF351" i="4"/>
  <c r="AF337" i="4"/>
  <c r="AF331" i="4"/>
  <c r="AF324" i="4"/>
  <c r="AF315" i="4"/>
  <c r="AF338" i="4"/>
  <c r="AF339" i="4"/>
  <c r="AF304" i="4"/>
  <c r="AF295" i="4"/>
  <c r="AF290" i="4"/>
  <c r="AF305" i="4"/>
  <c r="AF306" i="4"/>
  <c r="AF352" i="4"/>
  <c r="AF275" i="4"/>
  <c r="AF271" i="4"/>
  <c r="AF267" i="4"/>
  <c r="AF276" i="4"/>
  <c r="AF260" i="4"/>
  <c r="AF254" i="4"/>
  <c r="AF247" i="4"/>
  <c r="AF261" i="4"/>
  <c r="AF277" i="4"/>
  <c r="AF278" i="4"/>
  <c r="AF233" i="4"/>
  <c r="AF228" i="4"/>
  <c r="AF234" i="4"/>
  <c r="AF222" i="4"/>
  <c r="AF218" i="4"/>
  <c r="AF223" i="4"/>
  <c r="AF235" i="4"/>
  <c r="AF236" i="4"/>
  <c r="AF201" i="4"/>
  <c r="AF197" i="4"/>
  <c r="AF202" i="4"/>
  <c r="AF187" i="4"/>
  <c r="AF188" i="4"/>
  <c r="AF203" i="4"/>
  <c r="AF179" i="4"/>
  <c r="AF174" i="4"/>
  <c r="AF180" i="4"/>
  <c r="AF164" i="4"/>
  <c r="AF159" i="4"/>
  <c r="AF153" i="4"/>
  <c r="AF165" i="4"/>
  <c r="AF143" i="4"/>
  <c r="AF136" i="4"/>
  <c r="AF144" i="4"/>
  <c r="AF181" i="4"/>
  <c r="AF204" i="4"/>
  <c r="AF122" i="4"/>
  <c r="AF123" i="4"/>
  <c r="AF124" i="4"/>
  <c r="AF114" i="4"/>
  <c r="AF115" i="4"/>
  <c r="AF116" i="4"/>
  <c r="AF101" i="4"/>
  <c r="AF89" i="4"/>
  <c r="AF102" i="4"/>
  <c r="AF103" i="4"/>
  <c r="AF125" i="4"/>
  <c r="AF77" i="4"/>
  <c r="AF78" i="4"/>
  <c r="AF79" i="4"/>
  <c r="AF80" i="4"/>
  <c r="AF30" i="4"/>
  <c r="AF34" i="4"/>
  <c r="AF35" i="4"/>
  <c r="AF40" i="4"/>
  <c r="AF41" i="4"/>
  <c r="AF63" i="4"/>
  <c r="AF64" i="4"/>
  <c r="AF65" i="4"/>
  <c r="AF66" i="4"/>
  <c r="AF20" i="4"/>
  <c r="AF21" i="4"/>
  <c r="AF22" i="4"/>
  <c r="AF23" i="4"/>
  <c r="AF682" i="4"/>
  <c r="AF755" i="4"/>
  <c r="AH678" i="4"/>
  <c r="AH679" i="4"/>
  <c r="AH670" i="4"/>
  <c r="AH665" i="4"/>
  <c r="AH660" i="4"/>
  <c r="AH654" i="4"/>
  <c r="AH650" i="4"/>
  <c r="AH671" i="4"/>
  <c r="AH642" i="4"/>
  <c r="AH638" i="4"/>
  <c r="AH634" i="4"/>
  <c r="AH643" i="4"/>
  <c r="AH628" i="4"/>
  <c r="AH622" i="4"/>
  <c r="AH617" i="4"/>
  <c r="AH610" i="4"/>
  <c r="AH604" i="4"/>
  <c r="AH599" i="4"/>
  <c r="AH594" i="4"/>
  <c r="AH586" i="4"/>
  <c r="AH580" i="4"/>
  <c r="AH574" i="4"/>
  <c r="AH567" i="4"/>
  <c r="AH629" i="4"/>
  <c r="AH560" i="4"/>
  <c r="AH561" i="4"/>
  <c r="AH680" i="4"/>
  <c r="AH681" i="4"/>
  <c r="AH548" i="4"/>
  <c r="AH549" i="4"/>
  <c r="AH550" i="4"/>
  <c r="AH551" i="4"/>
  <c r="AH538" i="4"/>
  <c r="AH539" i="4"/>
  <c r="AH529" i="4"/>
  <c r="AH525" i="4"/>
  <c r="AH521" i="4"/>
  <c r="AH517" i="4"/>
  <c r="AH512" i="4"/>
  <c r="AH530" i="4"/>
  <c r="AH505" i="4"/>
  <c r="AH501" i="4"/>
  <c r="AH495" i="4"/>
  <c r="AH489" i="4"/>
  <c r="AH506" i="4"/>
  <c r="AH483" i="4"/>
  <c r="AH484" i="4"/>
  <c r="AH540" i="4"/>
  <c r="AH541" i="4"/>
  <c r="AH472" i="4"/>
  <c r="AH473" i="4"/>
  <c r="AH466" i="4"/>
  <c r="AH457" i="4"/>
  <c r="AH453" i="4"/>
  <c r="AH467" i="4"/>
  <c r="AH446" i="4"/>
  <c r="AH438" i="4"/>
  <c r="AH447" i="4"/>
  <c r="AH428" i="4"/>
  <c r="AH424" i="4"/>
  <c r="AH417" i="4"/>
  <c r="AH404" i="4"/>
  <c r="AH429" i="4"/>
  <c r="AH391" i="4"/>
  <c r="AH387" i="4"/>
  <c r="AH378" i="4"/>
  <c r="AH392" i="4"/>
  <c r="AH474" i="4"/>
  <c r="AH475" i="4"/>
  <c r="AH366" i="4"/>
  <c r="AH367" i="4"/>
  <c r="AH360" i="4"/>
  <c r="AH361" i="4"/>
  <c r="AH368" i="4"/>
  <c r="AH369" i="4"/>
  <c r="AH349" i="4"/>
  <c r="AH350" i="4"/>
  <c r="AH351" i="4"/>
  <c r="AH337" i="4"/>
  <c r="AH331" i="4"/>
  <c r="AH324" i="4"/>
  <c r="AH315" i="4"/>
  <c r="AH338" i="4"/>
  <c r="AH339" i="4"/>
  <c r="AH304" i="4"/>
  <c r="AH295" i="4"/>
  <c r="AH290" i="4"/>
  <c r="AH305" i="4"/>
  <c r="AH306" i="4"/>
  <c r="AH352" i="4"/>
  <c r="AH275" i="4"/>
  <c r="AH271" i="4"/>
  <c r="AH267" i="4"/>
  <c r="AH276" i="4"/>
  <c r="AH260" i="4"/>
  <c r="AH254" i="4"/>
  <c r="AH247" i="4"/>
  <c r="AH261" i="4"/>
  <c r="AH277" i="4"/>
  <c r="AH278" i="4"/>
  <c r="AH233" i="4"/>
  <c r="AH228" i="4"/>
  <c r="AH234" i="4"/>
  <c r="AH222" i="4"/>
  <c r="AH218" i="4"/>
  <c r="AH223" i="4"/>
  <c r="AH235" i="4"/>
  <c r="AH236" i="4"/>
  <c r="AH201" i="4"/>
  <c r="AH197" i="4"/>
  <c r="AH202" i="4"/>
  <c r="AH187" i="4"/>
  <c r="AH188" i="4"/>
  <c r="AH203" i="4"/>
  <c r="AH179" i="4"/>
  <c r="AH174" i="4"/>
  <c r="AH180" i="4"/>
  <c r="AH164" i="4"/>
  <c r="AH159" i="4"/>
  <c r="AH153" i="4"/>
  <c r="AH165" i="4"/>
  <c r="AH143" i="4"/>
  <c r="AH136" i="4"/>
  <c r="AH144" i="4"/>
  <c r="AH181" i="4"/>
  <c r="AH204" i="4"/>
  <c r="AH122" i="4"/>
  <c r="AH123" i="4"/>
  <c r="AH124" i="4"/>
  <c r="AH114" i="4"/>
  <c r="AH115" i="4"/>
  <c r="AH116" i="4"/>
  <c r="AH101" i="4"/>
  <c r="AH89" i="4"/>
  <c r="AH102" i="4"/>
  <c r="AH103" i="4"/>
  <c r="AH125" i="4"/>
  <c r="AH77" i="4"/>
  <c r="AH78" i="4"/>
  <c r="AH79" i="4"/>
  <c r="AH80" i="4"/>
  <c r="AH30" i="4"/>
  <c r="AH34" i="4"/>
  <c r="AH35" i="4"/>
  <c r="AH40" i="4"/>
  <c r="AH41" i="4"/>
  <c r="AH63" i="4"/>
  <c r="AH64" i="4"/>
  <c r="AH65" i="4"/>
  <c r="AH66" i="4"/>
  <c r="AH20" i="4"/>
  <c r="AH21" i="4"/>
  <c r="AH22" i="4"/>
  <c r="AH23" i="4"/>
  <c r="AH682" i="4"/>
  <c r="AH755" i="4"/>
  <c r="AI678" i="4"/>
  <c r="AI679" i="4"/>
  <c r="AI670" i="4"/>
  <c r="AI665" i="4"/>
  <c r="AI660" i="4"/>
  <c r="AI654" i="4"/>
  <c r="AI650" i="4"/>
  <c r="AI671" i="4"/>
  <c r="AI642" i="4"/>
  <c r="AI638" i="4"/>
  <c r="AI634" i="4"/>
  <c r="AI643" i="4"/>
  <c r="AI628" i="4"/>
  <c r="AI622" i="4"/>
  <c r="AI617" i="4"/>
  <c r="AI610" i="4"/>
  <c r="AI604" i="4"/>
  <c r="AI599" i="4"/>
  <c r="AI594" i="4"/>
  <c r="AI586" i="4"/>
  <c r="AI580" i="4"/>
  <c r="AI574" i="4"/>
  <c r="AI567" i="4"/>
  <c r="AI629" i="4"/>
  <c r="AI560" i="4"/>
  <c r="AI561" i="4"/>
  <c r="AI680" i="4"/>
  <c r="AI681" i="4"/>
  <c r="AI548" i="4"/>
  <c r="AI549" i="4"/>
  <c r="AI550" i="4"/>
  <c r="AI551" i="4"/>
  <c r="AI538" i="4"/>
  <c r="AI539" i="4"/>
  <c r="AI529" i="4"/>
  <c r="AI525" i="4"/>
  <c r="AI521" i="4"/>
  <c r="AI517" i="4"/>
  <c r="AI512" i="4"/>
  <c r="AI530" i="4"/>
  <c r="AI505" i="4"/>
  <c r="AI501" i="4"/>
  <c r="AI495" i="4"/>
  <c r="AI489" i="4"/>
  <c r="AI506" i="4"/>
  <c r="AI483" i="4"/>
  <c r="AI484" i="4"/>
  <c r="AI540" i="4"/>
  <c r="AI541" i="4"/>
  <c r="AI472" i="4"/>
  <c r="AI473" i="4"/>
  <c r="AI466" i="4"/>
  <c r="AI457" i="4"/>
  <c r="AI453" i="4"/>
  <c r="AI467" i="4"/>
  <c r="AI446" i="4"/>
  <c r="AI438" i="4"/>
  <c r="AI447" i="4"/>
  <c r="AI428" i="4"/>
  <c r="AI424" i="4"/>
  <c r="AI417" i="4"/>
  <c r="AI404" i="4"/>
  <c r="AI429" i="4"/>
  <c r="AI391" i="4"/>
  <c r="AI387" i="4"/>
  <c r="AI378" i="4"/>
  <c r="AI392" i="4"/>
  <c r="AI474" i="4"/>
  <c r="AI475" i="4"/>
  <c r="AI366" i="4"/>
  <c r="AI367" i="4"/>
  <c r="AI360" i="4"/>
  <c r="AI361" i="4"/>
  <c r="AI368" i="4"/>
  <c r="AI369" i="4"/>
  <c r="AI349" i="4"/>
  <c r="AI350" i="4"/>
  <c r="AI351" i="4"/>
  <c r="AI337" i="4"/>
  <c r="AI331" i="4"/>
  <c r="AI324" i="4"/>
  <c r="AI315" i="4"/>
  <c r="AI338" i="4"/>
  <c r="AI339" i="4"/>
  <c r="AI304" i="4"/>
  <c r="AI295" i="4"/>
  <c r="AI290" i="4"/>
  <c r="AI305" i="4"/>
  <c r="AI306" i="4"/>
  <c r="AI352" i="4"/>
  <c r="AI275" i="4"/>
  <c r="AI271" i="4"/>
  <c r="AI267" i="4"/>
  <c r="AI276" i="4"/>
  <c r="AI260" i="4"/>
  <c r="AI254" i="4"/>
  <c r="AI247" i="4"/>
  <c r="AI261" i="4"/>
  <c r="AI277" i="4"/>
  <c r="AI278" i="4"/>
  <c r="AI233" i="4"/>
  <c r="AI228" i="4"/>
  <c r="AI234" i="4"/>
  <c r="AI222" i="4"/>
  <c r="AI218" i="4"/>
  <c r="AI223" i="4"/>
  <c r="AI235" i="4"/>
  <c r="AI236" i="4"/>
  <c r="AI201" i="4"/>
  <c r="AI197" i="4"/>
  <c r="AI202" i="4"/>
  <c r="AI187" i="4"/>
  <c r="AI188" i="4"/>
  <c r="AI203" i="4"/>
  <c r="AI179" i="4"/>
  <c r="AI174" i="4"/>
  <c r="AI180" i="4"/>
  <c r="AI164" i="4"/>
  <c r="AI159" i="4"/>
  <c r="AI153" i="4"/>
  <c r="AI165" i="4"/>
  <c r="AI143" i="4"/>
  <c r="AI136" i="4"/>
  <c r="AI144" i="4"/>
  <c r="AI181" i="4"/>
  <c r="AI204" i="4"/>
  <c r="AI122" i="4"/>
  <c r="AI123" i="4"/>
  <c r="AI124" i="4"/>
  <c r="AI114" i="4"/>
  <c r="AI115" i="4"/>
  <c r="AI116" i="4"/>
  <c r="AI101" i="4"/>
  <c r="AI89" i="4"/>
  <c r="AI102" i="4"/>
  <c r="AI103" i="4"/>
  <c r="AI125" i="4"/>
  <c r="AI77" i="4"/>
  <c r="AI78" i="4"/>
  <c r="AI79" i="4"/>
  <c r="AI80" i="4"/>
  <c r="AI30" i="4"/>
  <c r="AI34" i="4"/>
  <c r="AI35" i="4"/>
  <c r="AI40" i="4"/>
  <c r="AI41" i="4"/>
  <c r="AI63" i="4"/>
  <c r="AI64" i="4"/>
  <c r="AI65" i="4"/>
  <c r="AI66" i="4"/>
  <c r="AI20" i="4"/>
  <c r="AI21" i="4"/>
  <c r="AI22" i="4"/>
  <c r="AI23" i="4"/>
  <c r="AI682" i="4"/>
  <c r="AI755" i="4"/>
  <c r="AK678" i="4"/>
  <c r="AK679" i="4"/>
  <c r="AK670" i="4"/>
  <c r="AK665" i="4"/>
  <c r="AK660" i="4"/>
  <c r="AK654" i="4"/>
  <c r="AK650" i="4"/>
  <c r="AK671" i="4"/>
  <c r="AK642" i="4"/>
  <c r="AK638" i="4"/>
  <c r="AK634" i="4"/>
  <c r="AK643" i="4"/>
  <c r="AK628" i="4"/>
  <c r="AK622" i="4"/>
  <c r="AK617" i="4"/>
  <c r="AK610" i="4"/>
  <c r="AK604" i="4"/>
  <c r="AK599" i="4"/>
  <c r="AK594" i="4"/>
  <c r="AK586" i="4"/>
  <c r="AK580" i="4"/>
  <c r="AK574" i="4"/>
  <c r="AK567" i="4"/>
  <c r="AK629" i="4"/>
  <c r="AK560" i="4"/>
  <c r="AK561" i="4"/>
  <c r="AK680" i="4"/>
  <c r="AK681" i="4"/>
  <c r="AK548" i="4"/>
  <c r="AK549" i="4"/>
  <c r="AK550" i="4"/>
  <c r="AK551" i="4"/>
  <c r="AK538" i="4"/>
  <c r="AK539" i="4"/>
  <c r="AK529" i="4"/>
  <c r="AK525" i="4"/>
  <c r="AK521" i="4"/>
  <c r="AK517" i="4"/>
  <c r="AK512" i="4"/>
  <c r="AK530" i="4"/>
  <c r="AK505" i="4"/>
  <c r="AK501" i="4"/>
  <c r="AK495" i="4"/>
  <c r="AK489" i="4"/>
  <c r="AK506" i="4"/>
  <c r="AK483" i="4"/>
  <c r="AK484" i="4"/>
  <c r="AK540" i="4"/>
  <c r="AK541" i="4"/>
  <c r="AK472" i="4"/>
  <c r="AK473" i="4"/>
  <c r="AK466" i="4"/>
  <c r="AK457" i="4"/>
  <c r="AK453" i="4"/>
  <c r="AK467" i="4"/>
  <c r="AK446" i="4"/>
  <c r="AK438" i="4"/>
  <c r="AK447" i="4"/>
  <c r="AK428" i="4"/>
  <c r="AK424" i="4"/>
  <c r="AK417" i="4"/>
  <c r="AK404" i="4"/>
  <c r="AK429" i="4"/>
  <c r="AK391" i="4"/>
  <c r="AK387" i="4"/>
  <c r="AK378" i="4"/>
  <c r="AK392" i="4"/>
  <c r="AK474" i="4"/>
  <c r="AK475" i="4"/>
  <c r="AK366" i="4"/>
  <c r="AK367" i="4"/>
  <c r="AK360" i="4"/>
  <c r="AK361" i="4"/>
  <c r="AK368" i="4"/>
  <c r="AK369" i="4"/>
  <c r="AK349" i="4"/>
  <c r="AK350" i="4"/>
  <c r="AK351" i="4"/>
  <c r="AK337" i="4"/>
  <c r="AK331" i="4"/>
  <c r="AK324" i="4"/>
  <c r="AK315" i="4"/>
  <c r="AK338" i="4"/>
  <c r="AK339" i="4"/>
  <c r="AK304" i="4"/>
  <c r="AK295" i="4"/>
  <c r="AK290" i="4"/>
  <c r="AK305" i="4"/>
  <c r="AK306" i="4"/>
  <c r="AK352" i="4"/>
  <c r="AK275" i="4"/>
  <c r="AK271" i="4"/>
  <c r="AK267" i="4"/>
  <c r="AK276" i="4"/>
  <c r="AK260" i="4"/>
  <c r="AK254" i="4"/>
  <c r="AK247" i="4"/>
  <c r="AK261" i="4"/>
  <c r="AK277" i="4"/>
  <c r="AK278" i="4"/>
  <c r="AK233" i="4"/>
  <c r="AK228" i="4"/>
  <c r="AK234" i="4"/>
  <c r="AK222" i="4"/>
  <c r="AK218" i="4"/>
  <c r="AK223" i="4"/>
  <c r="AK235" i="4"/>
  <c r="AK236" i="4"/>
  <c r="AK201" i="4"/>
  <c r="AK197" i="4"/>
  <c r="AK202" i="4"/>
  <c r="AK187" i="4"/>
  <c r="AK188" i="4"/>
  <c r="AK203" i="4"/>
  <c r="AK179" i="4"/>
  <c r="AK174" i="4"/>
  <c r="AK180" i="4"/>
  <c r="AK164" i="4"/>
  <c r="AK159" i="4"/>
  <c r="AK153" i="4"/>
  <c r="AK165" i="4"/>
  <c r="AK143" i="4"/>
  <c r="AK136" i="4"/>
  <c r="AK144" i="4"/>
  <c r="AK181" i="4"/>
  <c r="AK204" i="4"/>
  <c r="AK122" i="4"/>
  <c r="AK123" i="4"/>
  <c r="AK124" i="4"/>
  <c r="AK114" i="4"/>
  <c r="AK115" i="4"/>
  <c r="AK116" i="4"/>
  <c r="AK101" i="4"/>
  <c r="AK89" i="4"/>
  <c r="AK102" i="4"/>
  <c r="AK103" i="4"/>
  <c r="AK125" i="4"/>
  <c r="AK77" i="4"/>
  <c r="AK78" i="4"/>
  <c r="AK79" i="4"/>
  <c r="AK80" i="4"/>
  <c r="AK30" i="4"/>
  <c r="AK34" i="4"/>
  <c r="AK35" i="4"/>
  <c r="AK40" i="4"/>
  <c r="AK41" i="4"/>
  <c r="AK63" i="4"/>
  <c r="AK64" i="4"/>
  <c r="AK65" i="4"/>
  <c r="AK66" i="4"/>
  <c r="AK20" i="4"/>
  <c r="AK21" i="4"/>
  <c r="AK22" i="4"/>
  <c r="AK23" i="4"/>
  <c r="AK682" i="4"/>
  <c r="AK755" i="4"/>
  <c r="AL678" i="4"/>
  <c r="AL679" i="4"/>
  <c r="AL670" i="4"/>
  <c r="AL665" i="4"/>
  <c r="AL660" i="4"/>
  <c r="AL654" i="4"/>
  <c r="AL650" i="4"/>
  <c r="AL671" i="4"/>
  <c r="AL642" i="4"/>
  <c r="AL638" i="4"/>
  <c r="AL634" i="4"/>
  <c r="AL643" i="4"/>
  <c r="AL628" i="4"/>
  <c r="AL622" i="4"/>
  <c r="AL617" i="4"/>
  <c r="AL610" i="4"/>
  <c r="AL604" i="4"/>
  <c r="AL599" i="4"/>
  <c r="AL594" i="4"/>
  <c r="AL586" i="4"/>
  <c r="AL580" i="4"/>
  <c r="AL574" i="4"/>
  <c r="AL567" i="4"/>
  <c r="AL629" i="4"/>
  <c r="AL560" i="4"/>
  <c r="AL561" i="4"/>
  <c r="AL680" i="4"/>
  <c r="AL681" i="4"/>
  <c r="AL548" i="4"/>
  <c r="AL549" i="4"/>
  <c r="AL550" i="4"/>
  <c r="AL551" i="4"/>
  <c r="AL538" i="4"/>
  <c r="AL539" i="4"/>
  <c r="AL529" i="4"/>
  <c r="AL525" i="4"/>
  <c r="AL521" i="4"/>
  <c r="AL517" i="4"/>
  <c r="AL512" i="4"/>
  <c r="AL530" i="4"/>
  <c r="AL505" i="4"/>
  <c r="AL501" i="4"/>
  <c r="AL495" i="4"/>
  <c r="AL489" i="4"/>
  <c r="AL506" i="4"/>
  <c r="AL483" i="4"/>
  <c r="AL484" i="4"/>
  <c r="AL540" i="4"/>
  <c r="AL541" i="4"/>
  <c r="AL472" i="4"/>
  <c r="AL473" i="4"/>
  <c r="AL466" i="4"/>
  <c r="AL457" i="4"/>
  <c r="AL453" i="4"/>
  <c r="AL467" i="4"/>
  <c r="AL446" i="4"/>
  <c r="AL438" i="4"/>
  <c r="AL447" i="4"/>
  <c r="AL428" i="4"/>
  <c r="AL424" i="4"/>
  <c r="AL417" i="4"/>
  <c r="AL404" i="4"/>
  <c r="AL429" i="4"/>
  <c r="AL391" i="4"/>
  <c r="AL387" i="4"/>
  <c r="AL378" i="4"/>
  <c r="AL392" i="4"/>
  <c r="AL474" i="4"/>
  <c r="AL475" i="4"/>
  <c r="AL366" i="4"/>
  <c r="AL367" i="4"/>
  <c r="AL360" i="4"/>
  <c r="AL361" i="4"/>
  <c r="AL368" i="4"/>
  <c r="AL369" i="4"/>
  <c r="AL349" i="4"/>
  <c r="AL350" i="4"/>
  <c r="AL351" i="4"/>
  <c r="AL337" i="4"/>
  <c r="AL331" i="4"/>
  <c r="AL324" i="4"/>
  <c r="AL315" i="4"/>
  <c r="AL338" i="4"/>
  <c r="AL339" i="4"/>
  <c r="AL304" i="4"/>
  <c r="AL295" i="4"/>
  <c r="AL290" i="4"/>
  <c r="AL305" i="4"/>
  <c r="AL306" i="4"/>
  <c r="AL352" i="4"/>
  <c r="AL275" i="4"/>
  <c r="AL271" i="4"/>
  <c r="AL267" i="4"/>
  <c r="AL276" i="4"/>
  <c r="AL260" i="4"/>
  <c r="AL254" i="4"/>
  <c r="AL247" i="4"/>
  <c r="AL261" i="4"/>
  <c r="AL277" i="4"/>
  <c r="AL278" i="4"/>
  <c r="AL233" i="4"/>
  <c r="AL228" i="4"/>
  <c r="AL234" i="4"/>
  <c r="AL222" i="4"/>
  <c r="AL218" i="4"/>
  <c r="AL223" i="4"/>
  <c r="AL235" i="4"/>
  <c r="AL236" i="4"/>
  <c r="AL201" i="4"/>
  <c r="AL197" i="4"/>
  <c r="AL202" i="4"/>
  <c r="AL187" i="4"/>
  <c r="AL188" i="4"/>
  <c r="AL203" i="4"/>
  <c r="AL179" i="4"/>
  <c r="AL174" i="4"/>
  <c r="AL180" i="4"/>
  <c r="AL164" i="4"/>
  <c r="AL159" i="4"/>
  <c r="AL153" i="4"/>
  <c r="AL165" i="4"/>
  <c r="AL143" i="4"/>
  <c r="AL136" i="4"/>
  <c r="AL144" i="4"/>
  <c r="AL181" i="4"/>
  <c r="AL204" i="4"/>
  <c r="AL122" i="4"/>
  <c r="AL123" i="4"/>
  <c r="AL124" i="4"/>
  <c r="AL114" i="4"/>
  <c r="AL115" i="4"/>
  <c r="AL116" i="4"/>
  <c r="AL101" i="4"/>
  <c r="AL89" i="4"/>
  <c r="AL102" i="4"/>
  <c r="AL103" i="4"/>
  <c r="AL125" i="4"/>
  <c r="AL77" i="4"/>
  <c r="AL78" i="4"/>
  <c r="AL79" i="4"/>
  <c r="AL80" i="4"/>
  <c r="AL30" i="4"/>
  <c r="AL34" i="4"/>
  <c r="AL35" i="4"/>
  <c r="AL40" i="4"/>
  <c r="AL41" i="4"/>
  <c r="AL63" i="4"/>
  <c r="AL64" i="4"/>
  <c r="AL65" i="4"/>
  <c r="AL66" i="4"/>
  <c r="AL20" i="4"/>
  <c r="AL21" i="4"/>
  <c r="AL22" i="4"/>
  <c r="AL23" i="4"/>
  <c r="AL682" i="4"/>
  <c r="AL755" i="4"/>
  <c r="AN628" i="4"/>
  <c r="AN622" i="4"/>
  <c r="AN617" i="4"/>
  <c r="AN610" i="4"/>
  <c r="AN604" i="4"/>
  <c r="AN599" i="4"/>
  <c r="AN594" i="4"/>
  <c r="AN586" i="4"/>
  <c r="AN580" i="4"/>
  <c r="AN574" i="4"/>
  <c r="AN567" i="4"/>
  <c r="AN629" i="4"/>
  <c r="AN678" i="4"/>
  <c r="AN679" i="4"/>
  <c r="AN670" i="4"/>
  <c r="AN665" i="4"/>
  <c r="AN660" i="4"/>
  <c r="AN654" i="4"/>
  <c r="AN650" i="4"/>
  <c r="AN671" i="4"/>
  <c r="AN642" i="4"/>
  <c r="AN638" i="4"/>
  <c r="AN634" i="4"/>
  <c r="AN643" i="4"/>
  <c r="AN560" i="4"/>
  <c r="AN561" i="4"/>
  <c r="AN680" i="4"/>
  <c r="AN681" i="4"/>
  <c r="AN548" i="4"/>
  <c r="AN549" i="4"/>
  <c r="AN550" i="4"/>
  <c r="AN551" i="4"/>
  <c r="AN538" i="4"/>
  <c r="AN539" i="4"/>
  <c r="AN529" i="4"/>
  <c r="AN525" i="4"/>
  <c r="AN521" i="4"/>
  <c r="AN517" i="4"/>
  <c r="AN512" i="4"/>
  <c r="AN530" i="4"/>
  <c r="AN505" i="4"/>
  <c r="AN501" i="4"/>
  <c r="AN495" i="4"/>
  <c r="AN489" i="4"/>
  <c r="AN506" i="4"/>
  <c r="AN483" i="4"/>
  <c r="AN484" i="4"/>
  <c r="AN540" i="4"/>
  <c r="AN541" i="4"/>
  <c r="AN472" i="4"/>
  <c r="AN473" i="4"/>
  <c r="AN466" i="4"/>
  <c r="AN457" i="4"/>
  <c r="AN453" i="4"/>
  <c r="AN467" i="4"/>
  <c r="AN446" i="4"/>
  <c r="AN438" i="4"/>
  <c r="AN447" i="4"/>
  <c r="AN428" i="4"/>
  <c r="AN424" i="4"/>
  <c r="AN417" i="4"/>
  <c r="AN404" i="4"/>
  <c r="AN429" i="4"/>
  <c r="AN391" i="4"/>
  <c r="AN387" i="4"/>
  <c r="AN378" i="4"/>
  <c r="AN392" i="4"/>
  <c r="AN474" i="4"/>
  <c r="AN475" i="4"/>
  <c r="AN366" i="4"/>
  <c r="AN367" i="4"/>
  <c r="AN360" i="4"/>
  <c r="AN361" i="4"/>
  <c r="AN368" i="4"/>
  <c r="AN369" i="4"/>
  <c r="AN349" i="4"/>
  <c r="AN350" i="4"/>
  <c r="AN351" i="4"/>
  <c r="AN337" i="4"/>
  <c r="AN331" i="4"/>
  <c r="AN324" i="4"/>
  <c r="AN315" i="4"/>
  <c r="AN338" i="4"/>
  <c r="AN339" i="4"/>
  <c r="AN304" i="4"/>
  <c r="AN295" i="4"/>
  <c r="AN290" i="4"/>
  <c r="AN305" i="4"/>
  <c r="AN306" i="4"/>
  <c r="AN352" i="4"/>
  <c r="AN275" i="4"/>
  <c r="AN271" i="4"/>
  <c r="AN267" i="4"/>
  <c r="AN276" i="4"/>
  <c r="AN260" i="4"/>
  <c r="AN254" i="4"/>
  <c r="AN247" i="4"/>
  <c r="AN261" i="4"/>
  <c r="AN277" i="4"/>
  <c r="AN278" i="4"/>
  <c r="AN233" i="4"/>
  <c r="AN228" i="4"/>
  <c r="AN234" i="4"/>
  <c r="AN222" i="4"/>
  <c r="AN218" i="4"/>
  <c r="AN223" i="4"/>
  <c r="AN235" i="4"/>
  <c r="AN236" i="4"/>
  <c r="AN201" i="4"/>
  <c r="AN197" i="4"/>
  <c r="AN202" i="4"/>
  <c r="AN187" i="4"/>
  <c r="AN188" i="4"/>
  <c r="AN203" i="4"/>
  <c r="AN179" i="4"/>
  <c r="AN174" i="4"/>
  <c r="AN180" i="4"/>
  <c r="AN164" i="4"/>
  <c r="AN159" i="4"/>
  <c r="AN153" i="4"/>
  <c r="AN165" i="4"/>
  <c r="AN143" i="4"/>
  <c r="AN136" i="4"/>
  <c r="AN144" i="4"/>
  <c r="AN181" i="4"/>
  <c r="AN204" i="4"/>
  <c r="AN122" i="4"/>
  <c r="AN123" i="4"/>
  <c r="AN124" i="4"/>
  <c r="AN114" i="4"/>
  <c r="AN115" i="4"/>
  <c r="AN116" i="4"/>
  <c r="AN101" i="4"/>
  <c r="AN89" i="4"/>
  <c r="AN102" i="4"/>
  <c r="AN103" i="4"/>
  <c r="AN125" i="4"/>
  <c r="AN77" i="4"/>
  <c r="AN78" i="4"/>
  <c r="AN79" i="4"/>
  <c r="AN80" i="4"/>
  <c r="AN30" i="4"/>
  <c r="AN34" i="4"/>
  <c r="AN35" i="4"/>
  <c r="AN40" i="4"/>
  <c r="AN41" i="4"/>
  <c r="AN63" i="4"/>
  <c r="AN64" i="4"/>
  <c r="AN65" i="4"/>
  <c r="AN66" i="4"/>
  <c r="AN20" i="4"/>
  <c r="AN21" i="4"/>
  <c r="AN22" i="4"/>
  <c r="AN23" i="4"/>
  <c r="AN682" i="4"/>
  <c r="AN755" i="4"/>
  <c r="AO628" i="4"/>
  <c r="AO622" i="4"/>
  <c r="AO617" i="4"/>
  <c r="AO610" i="4"/>
  <c r="AO604" i="4"/>
  <c r="AO599" i="4"/>
  <c r="AO594" i="4"/>
  <c r="AO586" i="4"/>
  <c r="AO580" i="4"/>
  <c r="AO574" i="4"/>
  <c r="AO567" i="4"/>
  <c r="AO629" i="4"/>
  <c r="AO678" i="4"/>
  <c r="AO679" i="4"/>
  <c r="AO670" i="4"/>
  <c r="AO665" i="4"/>
  <c r="AO660" i="4"/>
  <c r="AO654" i="4"/>
  <c r="AO650" i="4"/>
  <c r="AO671" i="4"/>
  <c r="AO642" i="4"/>
  <c r="AO638" i="4"/>
  <c r="AO634" i="4"/>
  <c r="AO643" i="4"/>
  <c r="AO560" i="4"/>
  <c r="AO561" i="4"/>
  <c r="AO680" i="4"/>
  <c r="AO681" i="4"/>
  <c r="AO548" i="4"/>
  <c r="AO549" i="4"/>
  <c r="AO550" i="4"/>
  <c r="AO551" i="4"/>
  <c r="AO538" i="4"/>
  <c r="AO539" i="4"/>
  <c r="AO529" i="4"/>
  <c r="AO525" i="4"/>
  <c r="AO521" i="4"/>
  <c r="AO517" i="4"/>
  <c r="AO512" i="4"/>
  <c r="AO530" i="4"/>
  <c r="AO505" i="4"/>
  <c r="AO501" i="4"/>
  <c r="AO495" i="4"/>
  <c r="AO489" i="4"/>
  <c r="AO506" i="4"/>
  <c r="AO483" i="4"/>
  <c r="AO484" i="4"/>
  <c r="AO540" i="4"/>
  <c r="AO541" i="4"/>
  <c r="AO472" i="4"/>
  <c r="AO473" i="4"/>
  <c r="AO466" i="4"/>
  <c r="AO457" i="4"/>
  <c r="AO453" i="4"/>
  <c r="AO467" i="4"/>
  <c r="AO446" i="4"/>
  <c r="AO438" i="4"/>
  <c r="AO447" i="4"/>
  <c r="AO428" i="4"/>
  <c r="AO424" i="4"/>
  <c r="AO417" i="4"/>
  <c r="AO404" i="4"/>
  <c r="AO429" i="4"/>
  <c r="AO391" i="4"/>
  <c r="AO387" i="4"/>
  <c r="AO378" i="4"/>
  <c r="AO392" i="4"/>
  <c r="AO474" i="4"/>
  <c r="AO475" i="4"/>
  <c r="AO366" i="4"/>
  <c r="AO367" i="4"/>
  <c r="AO360" i="4"/>
  <c r="AO361" i="4"/>
  <c r="AO368" i="4"/>
  <c r="AO369" i="4"/>
  <c r="AO349" i="4"/>
  <c r="AO350" i="4"/>
  <c r="AO351" i="4"/>
  <c r="AO337" i="4"/>
  <c r="AO331" i="4"/>
  <c r="AO324" i="4"/>
  <c r="AO315" i="4"/>
  <c r="AO338" i="4"/>
  <c r="AO339" i="4"/>
  <c r="AO304" i="4"/>
  <c r="AO295" i="4"/>
  <c r="AO290" i="4"/>
  <c r="AO305" i="4"/>
  <c r="AO306" i="4"/>
  <c r="AO352" i="4"/>
  <c r="AO275" i="4"/>
  <c r="AO271" i="4"/>
  <c r="AO267" i="4"/>
  <c r="AO276" i="4"/>
  <c r="AO260" i="4"/>
  <c r="AO254" i="4"/>
  <c r="AO247" i="4"/>
  <c r="AO261" i="4"/>
  <c r="AO277" i="4"/>
  <c r="AO278" i="4"/>
  <c r="AO233" i="4"/>
  <c r="AO228" i="4"/>
  <c r="AO234" i="4"/>
  <c r="AO222" i="4"/>
  <c r="AO218" i="4"/>
  <c r="AO223" i="4"/>
  <c r="AO235" i="4"/>
  <c r="AO236" i="4"/>
  <c r="AO201" i="4"/>
  <c r="AO197" i="4"/>
  <c r="AO202" i="4"/>
  <c r="AO187" i="4"/>
  <c r="AO188" i="4"/>
  <c r="AO203" i="4"/>
  <c r="AO179" i="4"/>
  <c r="AO174" i="4"/>
  <c r="AO180" i="4"/>
  <c r="AO164" i="4"/>
  <c r="AO159" i="4"/>
  <c r="AO153" i="4"/>
  <c r="AO165" i="4"/>
  <c r="AO143" i="4"/>
  <c r="AO136" i="4"/>
  <c r="AO144" i="4"/>
  <c r="AO181" i="4"/>
  <c r="AO204" i="4"/>
  <c r="AO122" i="4"/>
  <c r="AO123" i="4"/>
  <c r="AO124" i="4"/>
  <c r="AO114" i="4"/>
  <c r="AO115" i="4"/>
  <c r="AO116" i="4"/>
  <c r="AO101" i="4"/>
  <c r="AO89" i="4"/>
  <c r="AO102" i="4"/>
  <c r="AO103" i="4"/>
  <c r="AO125" i="4"/>
  <c r="AO77" i="4"/>
  <c r="AO78" i="4"/>
  <c r="AO79" i="4"/>
  <c r="AO80" i="4"/>
  <c r="AO30" i="4"/>
  <c r="AO34" i="4"/>
  <c r="AO35" i="4"/>
  <c r="AO40" i="4"/>
  <c r="AO41" i="4"/>
  <c r="AO63" i="4"/>
  <c r="AO64" i="4"/>
  <c r="AO65" i="4"/>
  <c r="AO66" i="4"/>
  <c r="AO20" i="4"/>
  <c r="AO21" i="4"/>
  <c r="AO22" i="4"/>
  <c r="AO23" i="4"/>
  <c r="AO682" i="4"/>
  <c r="AO755" i="4"/>
  <c r="AQ650" i="4"/>
  <c r="AQ670" i="4"/>
  <c r="AQ665" i="4"/>
  <c r="AQ660" i="4"/>
  <c r="AQ654" i="4"/>
  <c r="AQ671" i="4"/>
  <c r="AQ678" i="4"/>
  <c r="AQ679" i="4"/>
  <c r="AQ642" i="4"/>
  <c r="AQ638" i="4"/>
  <c r="AQ634" i="4"/>
  <c r="AQ643" i="4"/>
  <c r="AQ628" i="4"/>
  <c r="AQ622" i="4"/>
  <c r="AQ617" i="4"/>
  <c r="AQ610" i="4"/>
  <c r="AQ604" i="4"/>
  <c r="AQ599" i="4"/>
  <c r="AQ594" i="4"/>
  <c r="AQ586" i="4"/>
  <c r="AQ580" i="4"/>
  <c r="AQ574" i="4"/>
  <c r="AQ567" i="4"/>
  <c r="AQ629" i="4"/>
  <c r="AQ560" i="4"/>
  <c r="AQ561" i="4"/>
  <c r="AQ680" i="4"/>
  <c r="AQ681" i="4"/>
  <c r="AQ548" i="4"/>
  <c r="AQ549" i="4"/>
  <c r="AQ550" i="4"/>
  <c r="AQ551" i="4"/>
  <c r="AQ538" i="4"/>
  <c r="AQ539" i="4"/>
  <c r="AQ529" i="4"/>
  <c r="AQ525" i="4"/>
  <c r="AQ521" i="4"/>
  <c r="AQ517" i="4"/>
  <c r="AQ512" i="4"/>
  <c r="AQ530" i="4"/>
  <c r="AQ505" i="4"/>
  <c r="AQ501" i="4"/>
  <c r="AQ495" i="4"/>
  <c r="AQ489" i="4"/>
  <c r="AQ506" i="4"/>
  <c r="AQ483" i="4"/>
  <c r="AQ484" i="4"/>
  <c r="AQ540" i="4"/>
  <c r="AQ541" i="4"/>
  <c r="AQ472" i="4"/>
  <c r="AQ473" i="4"/>
  <c r="AQ466" i="4"/>
  <c r="AQ457" i="4"/>
  <c r="AQ453" i="4"/>
  <c r="AQ467" i="4"/>
  <c r="AQ446" i="4"/>
  <c r="AQ438" i="4"/>
  <c r="AQ447" i="4"/>
  <c r="AQ428" i="4"/>
  <c r="AQ424" i="4"/>
  <c r="AQ417" i="4"/>
  <c r="AQ404" i="4"/>
  <c r="AQ429" i="4"/>
  <c r="AQ391" i="4"/>
  <c r="AQ387" i="4"/>
  <c r="AQ378" i="4"/>
  <c r="AQ392" i="4"/>
  <c r="AQ474" i="4"/>
  <c r="AQ475" i="4"/>
  <c r="AQ366" i="4"/>
  <c r="AQ367" i="4"/>
  <c r="AQ360" i="4"/>
  <c r="AQ361" i="4"/>
  <c r="AQ368" i="4"/>
  <c r="AQ369" i="4"/>
  <c r="AQ349" i="4"/>
  <c r="AQ350" i="4"/>
  <c r="AQ351" i="4"/>
  <c r="AQ337" i="4"/>
  <c r="AQ331" i="4"/>
  <c r="AQ324" i="4"/>
  <c r="AQ315" i="4"/>
  <c r="AQ338" i="4"/>
  <c r="AQ339" i="4"/>
  <c r="AQ304" i="4"/>
  <c r="AQ295" i="4"/>
  <c r="AQ290" i="4"/>
  <c r="AQ305" i="4"/>
  <c r="AQ306" i="4"/>
  <c r="AQ352" i="4"/>
  <c r="AQ275" i="4"/>
  <c r="AQ271" i="4"/>
  <c r="AQ267" i="4"/>
  <c r="AQ276" i="4"/>
  <c r="AQ260" i="4"/>
  <c r="AQ254" i="4"/>
  <c r="AQ247" i="4"/>
  <c r="AQ261" i="4"/>
  <c r="AQ277" i="4"/>
  <c r="AQ278" i="4"/>
  <c r="AQ233" i="4"/>
  <c r="AQ228" i="4"/>
  <c r="AQ234" i="4"/>
  <c r="AQ222" i="4"/>
  <c r="AQ218" i="4"/>
  <c r="AQ223" i="4"/>
  <c r="AQ235" i="4"/>
  <c r="AQ236" i="4"/>
  <c r="AQ201" i="4"/>
  <c r="AQ197" i="4"/>
  <c r="AQ202" i="4"/>
  <c r="AQ187" i="4"/>
  <c r="AQ188" i="4"/>
  <c r="AQ203" i="4"/>
  <c r="AQ179" i="4"/>
  <c r="AQ174" i="4"/>
  <c r="AQ180" i="4"/>
  <c r="AQ164" i="4"/>
  <c r="AQ159" i="4"/>
  <c r="AQ153" i="4"/>
  <c r="AQ165" i="4"/>
  <c r="AQ143" i="4"/>
  <c r="AQ136" i="4"/>
  <c r="AQ144" i="4"/>
  <c r="AQ181" i="4"/>
  <c r="AQ204" i="4"/>
  <c r="AQ122" i="4"/>
  <c r="AQ123" i="4"/>
  <c r="AQ124" i="4"/>
  <c r="AQ114" i="4"/>
  <c r="AQ115" i="4"/>
  <c r="AQ116" i="4"/>
  <c r="AQ101" i="4"/>
  <c r="AQ89" i="4"/>
  <c r="AQ102" i="4"/>
  <c r="AQ103" i="4"/>
  <c r="AQ125" i="4"/>
  <c r="AQ77" i="4"/>
  <c r="AQ78" i="4"/>
  <c r="AQ79" i="4"/>
  <c r="AQ80" i="4"/>
  <c r="AQ30" i="4"/>
  <c r="AQ34" i="4"/>
  <c r="AQ35" i="4"/>
  <c r="AQ40" i="4"/>
  <c r="AQ41" i="4"/>
  <c r="AQ63" i="4"/>
  <c r="AQ64" i="4"/>
  <c r="AQ65" i="4"/>
  <c r="AQ66" i="4"/>
  <c r="AQ20" i="4"/>
  <c r="AQ21" i="4"/>
  <c r="AQ22" i="4"/>
  <c r="AQ23" i="4"/>
  <c r="AQ682" i="4"/>
  <c r="AQ755" i="4"/>
  <c r="AR678" i="4"/>
  <c r="AR679" i="4"/>
  <c r="AR670" i="4"/>
  <c r="AR665" i="4"/>
  <c r="AR660" i="4"/>
  <c r="AR654" i="4"/>
  <c r="AR650" i="4"/>
  <c r="AR671" i="4"/>
  <c r="AR642" i="4"/>
  <c r="AR638" i="4"/>
  <c r="AR634" i="4"/>
  <c r="AR643" i="4"/>
  <c r="AR628" i="4"/>
  <c r="AR622" i="4"/>
  <c r="AR617" i="4"/>
  <c r="AR610" i="4"/>
  <c r="AR604" i="4"/>
  <c r="AR599" i="4"/>
  <c r="AR594" i="4"/>
  <c r="AR586" i="4"/>
  <c r="AR580" i="4"/>
  <c r="AR574" i="4"/>
  <c r="AR567" i="4"/>
  <c r="AR629" i="4"/>
  <c r="AR560" i="4"/>
  <c r="AR561" i="4"/>
  <c r="AR680" i="4"/>
  <c r="AR681" i="4"/>
  <c r="AR548" i="4"/>
  <c r="AR549" i="4"/>
  <c r="AR550" i="4"/>
  <c r="AR551" i="4"/>
  <c r="AR538" i="4"/>
  <c r="AR539" i="4"/>
  <c r="AR529" i="4"/>
  <c r="AR525" i="4"/>
  <c r="AR521" i="4"/>
  <c r="AR517" i="4"/>
  <c r="AR512" i="4"/>
  <c r="AR530" i="4"/>
  <c r="AR505" i="4"/>
  <c r="AR501" i="4"/>
  <c r="AR495" i="4"/>
  <c r="AR489" i="4"/>
  <c r="AR506" i="4"/>
  <c r="AR483" i="4"/>
  <c r="AR484" i="4"/>
  <c r="AR540" i="4"/>
  <c r="AR541" i="4"/>
  <c r="AR472" i="4"/>
  <c r="AR473" i="4"/>
  <c r="AR466" i="4"/>
  <c r="AR457" i="4"/>
  <c r="AR453" i="4"/>
  <c r="AR467" i="4"/>
  <c r="AR446" i="4"/>
  <c r="AR438" i="4"/>
  <c r="AR447" i="4"/>
  <c r="AR428" i="4"/>
  <c r="AR424" i="4"/>
  <c r="AR417" i="4"/>
  <c r="AR404" i="4"/>
  <c r="AR429" i="4"/>
  <c r="AR391" i="4"/>
  <c r="AR387" i="4"/>
  <c r="AR378" i="4"/>
  <c r="AR392" i="4"/>
  <c r="AR474" i="4"/>
  <c r="AR475" i="4"/>
  <c r="AR366" i="4"/>
  <c r="AR367" i="4"/>
  <c r="AR360" i="4"/>
  <c r="AR361" i="4"/>
  <c r="AR368" i="4"/>
  <c r="AR369" i="4"/>
  <c r="AR349" i="4"/>
  <c r="AR350" i="4"/>
  <c r="AR351" i="4"/>
  <c r="AR337" i="4"/>
  <c r="AR331" i="4"/>
  <c r="AR324" i="4"/>
  <c r="AR315" i="4"/>
  <c r="AR338" i="4"/>
  <c r="AR339" i="4"/>
  <c r="AR304" i="4"/>
  <c r="AR295" i="4"/>
  <c r="AR290" i="4"/>
  <c r="AR305" i="4"/>
  <c r="AR306" i="4"/>
  <c r="AR352" i="4"/>
  <c r="AR275" i="4"/>
  <c r="AR271" i="4"/>
  <c r="AR267" i="4"/>
  <c r="AR276" i="4"/>
  <c r="AR260" i="4"/>
  <c r="AR254" i="4"/>
  <c r="AR247" i="4"/>
  <c r="AR261" i="4"/>
  <c r="AR277" i="4"/>
  <c r="AR278" i="4"/>
  <c r="AR233" i="4"/>
  <c r="AR228" i="4"/>
  <c r="AR234" i="4"/>
  <c r="AR222" i="4"/>
  <c r="AR218" i="4"/>
  <c r="AR223" i="4"/>
  <c r="AR235" i="4"/>
  <c r="AR236" i="4"/>
  <c r="AR201" i="4"/>
  <c r="AR197" i="4"/>
  <c r="AR202" i="4"/>
  <c r="AR187" i="4"/>
  <c r="AR188" i="4"/>
  <c r="AR203" i="4"/>
  <c r="AR179" i="4"/>
  <c r="AR174" i="4"/>
  <c r="AR180" i="4"/>
  <c r="AR164" i="4"/>
  <c r="AR159" i="4"/>
  <c r="AR153" i="4"/>
  <c r="AR165" i="4"/>
  <c r="AR143" i="4"/>
  <c r="AR136" i="4"/>
  <c r="AR144" i="4"/>
  <c r="AR181" i="4"/>
  <c r="AR204" i="4"/>
  <c r="AR122" i="4"/>
  <c r="AR123" i="4"/>
  <c r="AR124" i="4"/>
  <c r="AR114" i="4"/>
  <c r="AR115" i="4"/>
  <c r="AR116" i="4"/>
  <c r="AR101" i="4"/>
  <c r="AR89" i="4"/>
  <c r="AR102" i="4"/>
  <c r="AR103" i="4"/>
  <c r="AR125" i="4"/>
  <c r="AR77" i="4"/>
  <c r="AR78" i="4"/>
  <c r="AR79" i="4"/>
  <c r="AR80" i="4"/>
  <c r="AR30" i="4"/>
  <c r="AR34" i="4"/>
  <c r="AR35" i="4"/>
  <c r="AR40" i="4"/>
  <c r="AR41" i="4"/>
  <c r="AR63" i="4"/>
  <c r="AR64" i="4"/>
  <c r="AR65" i="4"/>
  <c r="AR66" i="4"/>
  <c r="AR20" i="4"/>
  <c r="AR21" i="4"/>
  <c r="AR22" i="4"/>
  <c r="AR23" i="4"/>
  <c r="AR682" i="4"/>
  <c r="AR755" i="4"/>
  <c r="AT678" i="4"/>
  <c r="AT679" i="4"/>
  <c r="AT670" i="4"/>
  <c r="AT665" i="4"/>
  <c r="AT660" i="4"/>
  <c r="AT654" i="4"/>
  <c r="AT650" i="4"/>
  <c r="AT671" i="4"/>
  <c r="AT642" i="4"/>
  <c r="AT638" i="4"/>
  <c r="AT634" i="4"/>
  <c r="AT643" i="4"/>
  <c r="AT628" i="4"/>
  <c r="AT622" i="4"/>
  <c r="AT617" i="4"/>
  <c r="AT610" i="4"/>
  <c r="AT604" i="4"/>
  <c r="AT599" i="4"/>
  <c r="AT594" i="4"/>
  <c r="AT586" i="4"/>
  <c r="AT580" i="4"/>
  <c r="AT574" i="4"/>
  <c r="AT567" i="4"/>
  <c r="AT629" i="4"/>
  <c r="AT560" i="4"/>
  <c r="AT561" i="4"/>
  <c r="AT680" i="4"/>
  <c r="AT681" i="4"/>
  <c r="AT548" i="4"/>
  <c r="AT549" i="4"/>
  <c r="AT550" i="4"/>
  <c r="AT551" i="4"/>
  <c r="AT538" i="4"/>
  <c r="AT539" i="4"/>
  <c r="AT529" i="4"/>
  <c r="AT525" i="4"/>
  <c r="AT521" i="4"/>
  <c r="AT517" i="4"/>
  <c r="AT512" i="4"/>
  <c r="AT530" i="4"/>
  <c r="AT505" i="4"/>
  <c r="AT501" i="4"/>
  <c r="AT495" i="4"/>
  <c r="AT489" i="4"/>
  <c r="AT506" i="4"/>
  <c r="AT483" i="4"/>
  <c r="AT484" i="4"/>
  <c r="AT540" i="4"/>
  <c r="AT541" i="4"/>
  <c r="AT472" i="4"/>
  <c r="AT473" i="4"/>
  <c r="AT466" i="4"/>
  <c r="AT457" i="4"/>
  <c r="AT453" i="4"/>
  <c r="AT467" i="4"/>
  <c r="AT446" i="4"/>
  <c r="AT438" i="4"/>
  <c r="AT447" i="4"/>
  <c r="AT428" i="4"/>
  <c r="AT424" i="4"/>
  <c r="AT417" i="4"/>
  <c r="AT404" i="4"/>
  <c r="AT429" i="4"/>
  <c r="AT391" i="4"/>
  <c r="AT387" i="4"/>
  <c r="AT378" i="4"/>
  <c r="AT392" i="4"/>
  <c r="AT474" i="4"/>
  <c r="AT475" i="4"/>
  <c r="AT366" i="4"/>
  <c r="AT367" i="4"/>
  <c r="AT360" i="4"/>
  <c r="AT361" i="4"/>
  <c r="AT368" i="4"/>
  <c r="AT369" i="4"/>
  <c r="AT349" i="4"/>
  <c r="AT350" i="4"/>
  <c r="AT351" i="4"/>
  <c r="AT337" i="4"/>
  <c r="AT331" i="4"/>
  <c r="AT324" i="4"/>
  <c r="AT315" i="4"/>
  <c r="AT338" i="4"/>
  <c r="AT339" i="4"/>
  <c r="AT304" i="4"/>
  <c r="AT295" i="4"/>
  <c r="AT290" i="4"/>
  <c r="AT305" i="4"/>
  <c r="AT306" i="4"/>
  <c r="AT352" i="4"/>
  <c r="AT275" i="4"/>
  <c r="AT271" i="4"/>
  <c r="AT267" i="4"/>
  <c r="AT276" i="4"/>
  <c r="AT260" i="4"/>
  <c r="AT254" i="4"/>
  <c r="AT247" i="4"/>
  <c r="AT261" i="4"/>
  <c r="AT277" i="4"/>
  <c r="AT278" i="4"/>
  <c r="AT233" i="4"/>
  <c r="AT228" i="4"/>
  <c r="AT234" i="4"/>
  <c r="AT222" i="4"/>
  <c r="AT218" i="4"/>
  <c r="AT223" i="4"/>
  <c r="AT235" i="4"/>
  <c r="AT236" i="4"/>
  <c r="AT201" i="4"/>
  <c r="AT197" i="4"/>
  <c r="AT202" i="4"/>
  <c r="AT187" i="4"/>
  <c r="AT188" i="4"/>
  <c r="AT203" i="4"/>
  <c r="AT179" i="4"/>
  <c r="AT174" i="4"/>
  <c r="AT180" i="4"/>
  <c r="AT164" i="4"/>
  <c r="AT159" i="4"/>
  <c r="AT153" i="4"/>
  <c r="AT165" i="4"/>
  <c r="AT143" i="4"/>
  <c r="AT136" i="4"/>
  <c r="AT144" i="4"/>
  <c r="AT181" i="4"/>
  <c r="AT204" i="4"/>
  <c r="AT122" i="4"/>
  <c r="AT123" i="4"/>
  <c r="AT124" i="4"/>
  <c r="AT114" i="4"/>
  <c r="AT115" i="4"/>
  <c r="AT116" i="4"/>
  <c r="AT101" i="4"/>
  <c r="AT89" i="4"/>
  <c r="AT102" i="4"/>
  <c r="AT103" i="4"/>
  <c r="AT125" i="4"/>
  <c r="AT77" i="4"/>
  <c r="AT78" i="4"/>
  <c r="AT79" i="4"/>
  <c r="AT80" i="4"/>
  <c r="AT30" i="4"/>
  <c r="AT34" i="4"/>
  <c r="AT35" i="4"/>
  <c r="AT40" i="4"/>
  <c r="AT41" i="4"/>
  <c r="AT63" i="4"/>
  <c r="AT64" i="4"/>
  <c r="AT65" i="4"/>
  <c r="AT66" i="4"/>
  <c r="AT20" i="4"/>
  <c r="AT21" i="4"/>
  <c r="AT22" i="4"/>
  <c r="AT23" i="4"/>
  <c r="AT682" i="4"/>
  <c r="AT755" i="4"/>
  <c r="AU678" i="4"/>
  <c r="AU679" i="4"/>
  <c r="AU670" i="4"/>
  <c r="AU665" i="4"/>
  <c r="AU660" i="4"/>
  <c r="AU654" i="4"/>
  <c r="AU650" i="4"/>
  <c r="AU671" i="4"/>
  <c r="AU642" i="4"/>
  <c r="AU638" i="4"/>
  <c r="AU634" i="4"/>
  <c r="AU643" i="4"/>
  <c r="AU628" i="4"/>
  <c r="AU622" i="4"/>
  <c r="AU617" i="4"/>
  <c r="AU610" i="4"/>
  <c r="AU604" i="4"/>
  <c r="AU599" i="4"/>
  <c r="AU594" i="4"/>
  <c r="AU586" i="4"/>
  <c r="AU580" i="4"/>
  <c r="AU574" i="4"/>
  <c r="AU567" i="4"/>
  <c r="AU629" i="4"/>
  <c r="AU560" i="4"/>
  <c r="AU561" i="4"/>
  <c r="AU680" i="4"/>
  <c r="AU681" i="4"/>
  <c r="AU548" i="4"/>
  <c r="AU549" i="4"/>
  <c r="AU550" i="4"/>
  <c r="AU551" i="4"/>
  <c r="AU538" i="4"/>
  <c r="AU539" i="4"/>
  <c r="AU529" i="4"/>
  <c r="AU525" i="4"/>
  <c r="AU521" i="4"/>
  <c r="AU517" i="4"/>
  <c r="AU512" i="4"/>
  <c r="AU530" i="4"/>
  <c r="AU505" i="4"/>
  <c r="AU501" i="4"/>
  <c r="AU495" i="4"/>
  <c r="AU489" i="4"/>
  <c r="AU506" i="4"/>
  <c r="AU483" i="4"/>
  <c r="AU484" i="4"/>
  <c r="AU540" i="4"/>
  <c r="AU541" i="4"/>
  <c r="AU472" i="4"/>
  <c r="AU473" i="4"/>
  <c r="AU466" i="4"/>
  <c r="AU457" i="4"/>
  <c r="AU453" i="4"/>
  <c r="AU467" i="4"/>
  <c r="AU446" i="4"/>
  <c r="AU438" i="4"/>
  <c r="AU447" i="4"/>
  <c r="AU428" i="4"/>
  <c r="AU424" i="4"/>
  <c r="AU417" i="4"/>
  <c r="AU404" i="4"/>
  <c r="AU429" i="4"/>
  <c r="AU391" i="4"/>
  <c r="AU387" i="4"/>
  <c r="AU378" i="4"/>
  <c r="AU392" i="4"/>
  <c r="AU474" i="4"/>
  <c r="AU475" i="4"/>
  <c r="AU366" i="4"/>
  <c r="AU367" i="4"/>
  <c r="AU360" i="4"/>
  <c r="AU361" i="4"/>
  <c r="AU368" i="4"/>
  <c r="AU369" i="4"/>
  <c r="AU349" i="4"/>
  <c r="AU350" i="4"/>
  <c r="AU351" i="4"/>
  <c r="AU337" i="4"/>
  <c r="AU331" i="4"/>
  <c r="AU324" i="4"/>
  <c r="AU315" i="4"/>
  <c r="AU338" i="4"/>
  <c r="AU339" i="4"/>
  <c r="AU304" i="4"/>
  <c r="AU295" i="4"/>
  <c r="AU290" i="4"/>
  <c r="AU305" i="4"/>
  <c r="AU306" i="4"/>
  <c r="AU352" i="4"/>
  <c r="AU275" i="4"/>
  <c r="AU271" i="4"/>
  <c r="AU267" i="4"/>
  <c r="AU276" i="4"/>
  <c r="AU260" i="4"/>
  <c r="AU254" i="4"/>
  <c r="AU247" i="4"/>
  <c r="AU261" i="4"/>
  <c r="AU277" i="4"/>
  <c r="AU278" i="4"/>
  <c r="AU233" i="4"/>
  <c r="AU228" i="4"/>
  <c r="AU234" i="4"/>
  <c r="AU222" i="4"/>
  <c r="AU218" i="4"/>
  <c r="AU223" i="4"/>
  <c r="AU235" i="4"/>
  <c r="AU236" i="4"/>
  <c r="AU201" i="4"/>
  <c r="AU197" i="4"/>
  <c r="AU202" i="4"/>
  <c r="AU187" i="4"/>
  <c r="AU188" i="4"/>
  <c r="AU203" i="4"/>
  <c r="AU179" i="4"/>
  <c r="AU174" i="4"/>
  <c r="AU180" i="4"/>
  <c r="AU164" i="4"/>
  <c r="AU159" i="4"/>
  <c r="AU153" i="4"/>
  <c r="AU165" i="4"/>
  <c r="AU143" i="4"/>
  <c r="AU136" i="4"/>
  <c r="AU144" i="4"/>
  <c r="AU181" i="4"/>
  <c r="AU204" i="4"/>
  <c r="AU122" i="4"/>
  <c r="AU123" i="4"/>
  <c r="AU124" i="4"/>
  <c r="AU114" i="4"/>
  <c r="AU115" i="4"/>
  <c r="AU116" i="4"/>
  <c r="AU101" i="4"/>
  <c r="AU89" i="4"/>
  <c r="AU102" i="4"/>
  <c r="AU103" i="4"/>
  <c r="AU125" i="4"/>
  <c r="AU77" i="4"/>
  <c r="AU78" i="4"/>
  <c r="AU79" i="4"/>
  <c r="AU80" i="4"/>
  <c r="AU30" i="4"/>
  <c r="AU34" i="4"/>
  <c r="AU35" i="4"/>
  <c r="AU40" i="4"/>
  <c r="AU41" i="4"/>
  <c r="AU63" i="4"/>
  <c r="AU64" i="4"/>
  <c r="AU65" i="4"/>
  <c r="AU66" i="4"/>
  <c r="AU20" i="4"/>
  <c r="AU21" i="4"/>
  <c r="AU22" i="4"/>
  <c r="AU23" i="4"/>
  <c r="AU682" i="4"/>
  <c r="AU755" i="4"/>
  <c r="AW678" i="4"/>
  <c r="AW679" i="4"/>
  <c r="AW670" i="4"/>
  <c r="AW665" i="4"/>
  <c r="AW660" i="4"/>
  <c r="AW654" i="4"/>
  <c r="AW650" i="4"/>
  <c r="AW671" i="4"/>
  <c r="AW642" i="4"/>
  <c r="AW638" i="4"/>
  <c r="AW634" i="4"/>
  <c r="AW643" i="4"/>
  <c r="AW628" i="4"/>
  <c r="AW622" i="4"/>
  <c r="AW617" i="4"/>
  <c r="AW610" i="4"/>
  <c r="AW604" i="4"/>
  <c r="AW599" i="4"/>
  <c r="AW594" i="4"/>
  <c r="AW586" i="4"/>
  <c r="AW580" i="4"/>
  <c r="AW574" i="4"/>
  <c r="AW567" i="4"/>
  <c r="AW629" i="4"/>
  <c r="AW560" i="4"/>
  <c r="AW561" i="4"/>
  <c r="AW680" i="4"/>
  <c r="AW681" i="4"/>
  <c r="AW548" i="4"/>
  <c r="AW549" i="4"/>
  <c r="AW550" i="4"/>
  <c r="AW551" i="4"/>
  <c r="AW538" i="4"/>
  <c r="AW539" i="4"/>
  <c r="AW529" i="4"/>
  <c r="AW525" i="4"/>
  <c r="AW521" i="4"/>
  <c r="AW517" i="4"/>
  <c r="AW512" i="4"/>
  <c r="AW530" i="4"/>
  <c r="AW505" i="4"/>
  <c r="AW501" i="4"/>
  <c r="AW495" i="4"/>
  <c r="AW489" i="4"/>
  <c r="AW506" i="4"/>
  <c r="AW483" i="4"/>
  <c r="AW484" i="4"/>
  <c r="AW540" i="4"/>
  <c r="AW541" i="4"/>
  <c r="AW472" i="4"/>
  <c r="AW473" i="4"/>
  <c r="AW466" i="4"/>
  <c r="AW457" i="4"/>
  <c r="AW453" i="4"/>
  <c r="AW467" i="4"/>
  <c r="AW446" i="4"/>
  <c r="AW438" i="4"/>
  <c r="AW447" i="4"/>
  <c r="AW428" i="4"/>
  <c r="AW424" i="4"/>
  <c r="AW417" i="4"/>
  <c r="AW404" i="4"/>
  <c r="AW429" i="4"/>
  <c r="AW391" i="4"/>
  <c r="AW387" i="4"/>
  <c r="AW378" i="4"/>
  <c r="AW392" i="4"/>
  <c r="AW474" i="4"/>
  <c r="AW475" i="4"/>
  <c r="AW366" i="4"/>
  <c r="AW367" i="4"/>
  <c r="AW360" i="4"/>
  <c r="AW361" i="4"/>
  <c r="AW368" i="4"/>
  <c r="AW369" i="4"/>
  <c r="AW349" i="4"/>
  <c r="AW350" i="4"/>
  <c r="AW351" i="4"/>
  <c r="AW337" i="4"/>
  <c r="AW331" i="4"/>
  <c r="AW324" i="4"/>
  <c r="AW315" i="4"/>
  <c r="AW338" i="4"/>
  <c r="AW339" i="4"/>
  <c r="AW304" i="4"/>
  <c r="AW295" i="4"/>
  <c r="AW290" i="4"/>
  <c r="AW305" i="4"/>
  <c r="AW306" i="4"/>
  <c r="AW352" i="4"/>
  <c r="AW275" i="4"/>
  <c r="AW271" i="4"/>
  <c r="AW267" i="4"/>
  <c r="AW276" i="4"/>
  <c r="AW260" i="4"/>
  <c r="AW254" i="4"/>
  <c r="AW247" i="4"/>
  <c r="AW261" i="4"/>
  <c r="AW277" i="4"/>
  <c r="AW278" i="4"/>
  <c r="AW233" i="4"/>
  <c r="AW228" i="4"/>
  <c r="AW234" i="4"/>
  <c r="AW222" i="4"/>
  <c r="AW218" i="4"/>
  <c r="AW223" i="4"/>
  <c r="AW235" i="4"/>
  <c r="AW236" i="4"/>
  <c r="AW201" i="4"/>
  <c r="AW197" i="4"/>
  <c r="AW202" i="4"/>
  <c r="AW187" i="4"/>
  <c r="AW188" i="4"/>
  <c r="AW203" i="4"/>
  <c r="AW179" i="4"/>
  <c r="AW174" i="4"/>
  <c r="AW180" i="4"/>
  <c r="AW164" i="4"/>
  <c r="AW159" i="4"/>
  <c r="AW153" i="4"/>
  <c r="AW165" i="4"/>
  <c r="AW143" i="4"/>
  <c r="AW136" i="4"/>
  <c r="AW144" i="4"/>
  <c r="AW181" i="4"/>
  <c r="AW204" i="4"/>
  <c r="AW122" i="4"/>
  <c r="AW123" i="4"/>
  <c r="AW124" i="4"/>
  <c r="AW114" i="4"/>
  <c r="AW115" i="4"/>
  <c r="AW116" i="4"/>
  <c r="AW101" i="4"/>
  <c r="AW89" i="4"/>
  <c r="AW102" i="4"/>
  <c r="AW103" i="4"/>
  <c r="AW125" i="4"/>
  <c r="AW77" i="4"/>
  <c r="AW78" i="4"/>
  <c r="AW79" i="4"/>
  <c r="AW80" i="4"/>
  <c r="AW30" i="4"/>
  <c r="AW34" i="4"/>
  <c r="AW35" i="4"/>
  <c r="AW40" i="4"/>
  <c r="AW41" i="4"/>
  <c r="AW63" i="4"/>
  <c r="AW64" i="4"/>
  <c r="AW65" i="4"/>
  <c r="AW66" i="4"/>
  <c r="AW20" i="4"/>
  <c r="AW21" i="4"/>
  <c r="AW22" i="4"/>
  <c r="AW23" i="4"/>
  <c r="AW682" i="4"/>
  <c r="AW755" i="4"/>
  <c r="AX678" i="4"/>
  <c r="AX679" i="4"/>
  <c r="AX670" i="4"/>
  <c r="AX665" i="4"/>
  <c r="AX660" i="4"/>
  <c r="AX654" i="4"/>
  <c r="AX650" i="4"/>
  <c r="AX671" i="4"/>
  <c r="AX642" i="4"/>
  <c r="AX638" i="4"/>
  <c r="AX634" i="4"/>
  <c r="AX643" i="4"/>
  <c r="AX628" i="4"/>
  <c r="AX622" i="4"/>
  <c r="AX617" i="4"/>
  <c r="AX610" i="4"/>
  <c r="AX604" i="4"/>
  <c r="AX599" i="4"/>
  <c r="AX594" i="4"/>
  <c r="AX586" i="4"/>
  <c r="AX580" i="4"/>
  <c r="AX574" i="4"/>
  <c r="AX567" i="4"/>
  <c r="AX629" i="4"/>
  <c r="AX560" i="4"/>
  <c r="AX561" i="4"/>
  <c r="AX680" i="4"/>
  <c r="AX681" i="4"/>
  <c r="AX548" i="4"/>
  <c r="AX549" i="4"/>
  <c r="AX550" i="4"/>
  <c r="AX551" i="4"/>
  <c r="AX538" i="4"/>
  <c r="AX539" i="4"/>
  <c r="AX529" i="4"/>
  <c r="AX525" i="4"/>
  <c r="AX521" i="4"/>
  <c r="AX517" i="4"/>
  <c r="AX512" i="4"/>
  <c r="AX530" i="4"/>
  <c r="AX505" i="4"/>
  <c r="AX501" i="4"/>
  <c r="AX495" i="4"/>
  <c r="AX489" i="4"/>
  <c r="AX506" i="4"/>
  <c r="AX483" i="4"/>
  <c r="AX484" i="4"/>
  <c r="AX540" i="4"/>
  <c r="AX541" i="4"/>
  <c r="AX472" i="4"/>
  <c r="AX473" i="4"/>
  <c r="AX466" i="4"/>
  <c r="AX457" i="4"/>
  <c r="AX453" i="4"/>
  <c r="AX467" i="4"/>
  <c r="AX446" i="4"/>
  <c r="AX438" i="4"/>
  <c r="AX447" i="4"/>
  <c r="AX428" i="4"/>
  <c r="AX424" i="4"/>
  <c r="AX417" i="4"/>
  <c r="AX404" i="4"/>
  <c r="AX429" i="4"/>
  <c r="AX391" i="4"/>
  <c r="AX387" i="4"/>
  <c r="AX378" i="4"/>
  <c r="AX392" i="4"/>
  <c r="AX474" i="4"/>
  <c r="AX475" i="4"/>
  <c r="AX366" i="4"/>
  <c r="AX367" i="4"/>
  <c r="AX360" i="4"/>
  <c r="AX361" i="4"/>
  <c r="AX368" i="4"/>
  <c r="AX369" i="4"/>
  <c r="AX349" i="4"/>
  <c r="AX350" i="4"/>
  <c r="AX351" i="4"/>
  <c r="AX337" i="4"/>
  <c r="AX331" i="4"/>
  <c r="AX324" i="4"/>
  <c r="AX315" i="4"/>
  <c r="AX338" i="4"/>
  <c r="AX339" i="4"/>
  <c r="AX304" i="4"/>
  <c r="AX295" i="4"/>
  <c r="AX290" i="4"/>
  <c r="AX305" i="4"/>
  <c r="AX306" i="4"/>
  <c r="AX352" i="4"/>
  <c r="AX275" i="4"/>
  <c r="AX271" i="4"/>
  <c r="AX267" i="4"/>
  <c r="AX276" i="4"/>
  <c r="AX260" i="4"/>
  <c r="AX254" i="4"/>
  <c r="AX247" i="4"/>
  <c r="AX261" i="4"/>
  <c r="AX277" i="4"/>
  <c r="AX278" i="4"/>
  <c r="AX233" i="4"/>
  <c r="AX228" i="4"/>
  <c r="AX234" i="4"/>
  <c r="AX222" i="4"/>
  <c r="AX218" i="4"/>
  <c r="AX223" i="4"/>
  <c r="AX235" i="4"/>
  <c r="AX236" i="4"/>
  <c r="AX201" i="4"/>
  <c r="AX197" i="4"/>
  <c r="AX202" i="4"/>
  <c r="AX187" i="4"/>
  <c r="AX188" i="4"/>
  <c r="AX203" i="4"/>
  <c r="AX179" i="4"/>
  <c r="AX174" i="4"/>
  <c r="AX180" i="4"/>
  <c r="AX164" i="4"/>
  <c r="AX159" i="4"/>
  <c r="AX153" i="4"/>
  <c r="AX165" i="4"/>
  <c r="AX143" i="4"/>
  <c r="AX136" i="4"/>
  <c r="AX144" i="4"/>
  <c r="AX181" i="4"/>
  <c r="AX204" i="4"/>
  <c r="AX122" i="4"/>
  <c r="AX123" i="4"/>
  <c r="AX124" i="4"/>
  <c r="AX114" i="4"/>
  <c r="AX115" i="4"/>
  <c r="AX116" i="4"/>
  <c r="AX101" i="4"/>
  <c r="AX89" i="4"/>
  <c r="AX102" i="4"/>
  <c r="AX103" i="4"/>
  <c r="AX125" i="4"/>
  <c r="AX77" i="4"/>
  <c r="AX78" i="4"/>
  <c r="AX79" i="4"/>
  <c r="AX80" i="4"/>
  <c r="AX30" i="4"/>
  <c r="AX34" i="4"/>
  <c r="AX35" i="4"/>
  <c r="AX40" i="4"/>
  <c r="AX41" i="4"/>
  <c r="AX63" i="4"/>
  <c r="AX64" i="4"/>
  <c r="AX65" i="4"/>
  <c r="AX66" i="4"/>
  <c r="AX20" i="4"/>
  <c r="AX21" i="4"/>
  <c r="AX22" i="4"/>
  <c r="AX23" i="4"/>
  <c r="AX682" i="4"/>
  <c r="AX755" i="4"/>
  <c r="BZ749" i="4"/>
  <c r="BZ748" i="4"/>
  <c r="BZ747" i="4"/>
  <c r="BX678" i="4"/>
  <c r="BX679" i="4"/>
  <c r="BX670" i="4"/>
  <c r="BX665" i="4"/>
  <c r="BX660" i="4"/>
  <c r="BX654" i="4"/>
  <c r="BX650" i="4"/>
  <c r="BX671" i="4"/>
  <c r="BX642" i="4"/>
  <c r="BX638" i="4"/>
  <c r="BX634" i="4"/>
  <c r="BX643" i="4"/>
  <c r="BX628" i="4"/>
  <c r="BX622" i="4"/>
  <c r="BX617" i="4"/>
  <c r="BX610" i="4"/>
  <c r="BX604" i="4"/>
  <c r="BX599" i="4"/>
  <c r="BX594" i="4"/>
  <c r="BX586" i="4"/>
  <c r="BX580" i="4"/>
  <c r="BX574" i="4"/>
  <c r="BX567" i="4"/>
  <c r="BX629" i="4"/>
  <c r="BX560" i="4"/>
  <c r="BX561" i="4"/>
  <c r="BX680" i="4"/>
  <c r="BX681" i="4"/>
  <c r="BX548" i="4"/>
  <c r="BX549" i="4"/>
  <c r="BX550" i="4"/>
  <c r="BX551" i="4"/>
  <c r="BX538" i="4"/>
  <c r="BX539" i="4"/>
  <c r="BX529" i="4"/>
  <c r="BX525" i="4"/>
  <c r="BX521" i="4"/>
  <c r="BX517" i="4"/>
  <c r="BX512" i="4"/>
  <c r="BX530" i="4"/>
  <c r="BX505" i="4"/>
  <c r="BX501" i="4"/>
  <c r="BX495" i="4"/>
  <c r="BX489" i="4"/>
  <c r="BX506" i="4"/>
  <c r="BX483" i="4"/>
  <c r="BX484" i="4"/>
  <c r="BX540" i="4"/>
  <c r="BX541" i="4"/>
  <c r="BX472" i="4"/>
  <c r="BX473" i="4"/>
  <c r="BX466" i="4"/>
  <c r="BX457" i="4"/>
  <c r="BX453" i="4"/>
  <c r="BX467" i="4"/>
  <c r="BX446" i="4"/>
  <c r="BX438" i="4"/>
  <c r="BX447" i="4"/>
  <c r="BX428" i="4"/>
  <c r="BX424" i="4"/>
  <c r="BX417" i="4"/>
  <c r="BX404" i="4"/>
  <c r="BX429" i="4"/>
  <c r="BX391" i="4"/>
  <c r="BX387" i="4"/>
  <c r="BX378" i="4"/>
  <c r="BX392" i="4"/>
  <c r="BX474" i="4"/>
  <c r="BX475" i="4"/>
  <c r="BX366" i="4"/>
  <c r="BX367" i="4"/>
  <c r="BX360" i="4"/>
  <c r="BX361" i="4"/>
  <c r="BX368" i="4"/>
  <c r="BX369" i="4"/>
  <c r="BX349" i="4"/>
  <c r="BX350" i="4"/>
  <c r="BX351" i="4"/>
  <c r="BX337" i="4"/>
  <c r="BX331" i="4"/>
  <c r="BX324" i="4"/>
  <c r="BX315" i="4"/>
  <c r="BX338" i="4"/>
  <c r="BX339" i="4"/>
  <c r="BX304" i="4"/>
  <c r="BX295" i="4"/>
  <c r="BX290" i="4"/>
  <c r="BX305" i="4"/>
  <c r="BX306" i="4"/>
  <c r="BX352" i="4"/>
  <c r="BX275" i="4"/>
  <c r="BX271" i="4"/>
  <c r="BX267" i="4"/>
  <c r="BX276" i="4"/>
  <c r="BX260" i="4"/>
  <c r="BX254" i="4"/>
  <c r="BX247" i="4"/>
  <c r="BX261" i="4"/>
  <c r="BX277" i="4"/>
  <c r="BX278" i="4"/>
  <c r="BX233" i="4"/>
  <c r="BX228" i="4"/>
  <c r="BX234" i="4"/>
  <c r="BX222" i="4"/>
  <c r="BX218" i="4"/>
  <c r="BX223" i="4"/>
  <c r="BX235" i="4"/>
  <c r="BX236" i="4"/>
  <c r="BX201" i="4"/>
  <c r="BX197" i="4"/>
  <c r="BX202" i="4"/>
  <c r="BX187" i="4"/>
  <c r="BX188" i="4"/>
  <c r="BX203" i="4"/>
  <c r="BX179" i="4"/>
  <c r="BX174" i="4"/>
  <c r="BX180" i="4"/>
  <c r="BX164" i="4"/>
  <c r="BX159" i="4"/>
  <c r="BX153" i="4"/>
  <c r="BX165" i="4"/>
  <c r="BX143" i="4"/>
  <c r="BX136" i="4"/>
  <c r="BX144" i="4"/>
  <c r="BX181" i="4"/>
  <c r="BX204" i="4"/>
  <c r="BX122" i="4"/>
  <c r="BX123" i="4"/>
  <c r="BX124" i="4"/>
  <c r="BX114" i="4"/>
  <c r="BX115" i="4"/>
  <c r="BX116" i="4"/>
  <c r="BX101" i="4"/>
  <c r="BX89" i="4"/>
  <c r="BX102" i="4"/>
  <c r="BX103" i="4"/>
  <c r="BX125" i="4"/>
  <c r="BX77" i="4"/>
  <c r="BX78" i="4"/>
  <c r="BX79" i="4"/>
  <c r="BX80" i="4"/>
  <c r="BX30" i="4"/>
  <c r="BX34" i="4"/>
  <c r="BX35" i="4"/>
  <c r="BX40" i="4"/>
  <c r="BX41" i="4"/>
  <c r="BX63" i="4"/>
  <c r="BX64" i="4"/>
  <c r="BX65" i="4"/>
  <c r="BX66" i="4"/>
  <c r="BX20" i="4"/>
  <c r="BX21" i="4"/>
  <c r="BX22" i="4"/>
  <c r="BX23" i="4"/>
  <c r="BX682" i="4"/>
  <c r="BX755" i="4"/>
  <c r="BY678" i="4"/>
  <c r="BY679" i="4"/>
  <c r="BY670" i="4"/>
  <c r="BY665" i="4"/>
  <c r="BY660" i="4"/>
  <c r="BY654" i="4"/>
  <c r="BY650" i="4"/>
  <c r="BY671" i="4"/>
  <c r="BY642" i="4"/>
  <c r="BY638" i="4"/>
  <c r="BY634" i="4"/>
  <c r="BY643" i="4"/>
  <c r="BY628" i="4"/>
  <c r="BY622" i="4"/>
  <c r="BY617" i="4"/>
  <c r="BY610" i="4"/>
  <c r="BY604" i="4"/>
  <c r="BY599" i="4"/>
  <c r="BY594" i="4"/>
  <c r="BY586" i="4"/>
  <c r="BY580" i="4"/>
  <c r="BY574" i="4"/>
  <c r="BY567" i="4"/>
  <c r="BY629" i="4"/>
  <c r="BY560" i="4"/>
  <c r="BY561" i="4"/>
  <c r="BY680" i="4"/>
  <c r="BY681" i="4"/>
  <c r="BY548" i="4"/>
  <c r="BY549" i="4"/>
  <c r="BY550" i="4"/>
  <c r="BY551" i="4"/>
  <c r="BY538" i="4"/>
  <c r="BY539" i="4"/>
  <c r="BY529" i="4"/>
  <c r="BY525" i="4"/>
  <c r="BY521" i="4"/>
  <c r="BY517" i="4"/>
  <c r="BY512" i="4"/>
  <c r="BY530" i="4"/>
  <c r="BY505" i="4"/>
  <c r="BY501" i="4"/>
  <c r="BY495" i="4"/>
  <c r="BY489" i="4"/>
  <c r="BY506" i="4"/>
  <c r="BY483" i="4"/>
  <c r="BY484" i="4"/>
  <c r="BY540" i="4"/>
  <c r="BY541" i="4"/>
  <c r="BY472" i="4"/>
  <c r="BY473" i="4"/>
  <c r="BY466" i="4"/>
  <c r="BY457" i="4"/>
  <c r="BY453" i="4"/>
  <c r="BY467" i="4"/>
  <c r="BY446" i="4"/>
  <c r="BY438" i="4"/>
  <c r="BY447" i="4"/>
  <c r="BY428" i="4"/>
  <c r="BY424" i="4"/>
  <c r="BY417" i="4"/>
  <c r="BY404" i="4"/>
  <c r="BY429" i="4"/>
  <c r="BY391" i="4"/>
  <c r="BY387" i="4"/>
  <c r="BY378" i="4"/>
  <c r="BY392" i="4"/>
  <c r="BY474" i="4"/>
  <c r="BY475" i="4"/>
  <c r="BY366" i="4"/>
  <c r="BY367" i="4"/>
  <c r="BY360" i="4"/>
  <c r="BY361" i="4"/>
  <c r="BY368" i="4"/>
  <c r="BY369" i="4"/>
  <c r="BY349" i="4"/>
  <c r="BY350" i="4"/>
  <c r="BY351" i="4"/>
  <c r="BY337" i="4"/>
  <c r="BY331" i="4"/>
  <c r="BY324" i="4"/>
  <c r="BY315" i="4"/>
  <c r="BY338" i="4"/>
  <c r="BY339" i="4"/>
  <c r="BY304" i="4"/>
  <c r="BY295" i="4"/>
  <c r="BY290" i="4"/>
  <c r="BY305" i="4"/>
  <c r="BY306" i="4"/>
  <c r="BY352" i="4"/>
  <c r="BY275" i="4"/>
  <c r="BY271" i="4"/>
  <c r="BY267" i="4"/>
  <c r="BY276" i="4"/>
  <c r="BY260" i="4"/>
  <c r="BY254" i="4"/>
  <c r="BY247" i="4"/>
  <c r="BY261" i="4"/>
  <c r="BY277" i="4"/>
  <c r="BY278" i="4"/>
  <c r="BY233" i="4"/>
  <c r="BY228" i="4"/>
  <c r="BY234" i="4"/>
  <c r="BY222" i="4"/>
  <c r="BY218" i="4"/>
  <c r="BY223" i="4"/>
  <c r="BY235" i="4"/>
  <c r="BY236" i="4"/>
  <c r="BY201" i="4"/>
  <c r="BY197" i="4"/>
  <c r="BY202" i="4"/>
  <c r="BY187" i="4"/>
  <c r="BY188" i="4"/>
  <c r="BY203" i="4"/>
  <c r="BY179" i="4"/>
  <c r="BY174" i="4"/>
  <c r="BY180" i="4"/>
  <c r="BY164" i="4"/>
  <c r="BY159" i="4"/>
  <c r="BY153" i="4"/>
  <c r="BY165" i="4"/>
  <c r="BY143" i="4"/>
  <c r="BY136" i="4"/>
  <c r="BY144" i="4"/>
  <c r="BY181" i="4"/>
  <c r="BY204" i="4"/>
  <c r="BY122" i="4"/>
  <c r="BY123" i="4"/>
  <c r="BY124" i="4"/>
  <c r="BY114" i="4"/>
  <c r="BY115" i="4"/>
  <c r="BY116" i="4"/>
  <c r="BY101" i="4"/>
  <c r="BY89" i="4"/>
  <c r="BY102" i="4"/>
  <c r="BY103" i="4"/>
  <c r="BY125" i="4"/>
  <c r="BY77" i="4"/>
  <c r="BY78" i="4"/>
  <c r="BY79" i="4"/>
  <c r="BY80" i="4"/>
  <c r="BY30" i="4"/>
  <c r="BY34" i="4"/>
  <c r="BY35" i="4"/>
  <c r="BY40" i="4"/>
  <c r="BY41" i="4"/>
  <c r="BY63" i="4"/>
  <c r="BY64" i="4"/>
  <c r="BY65" i="4"/>
  <c r="BY66" i="4"/>
  <c r="BY20" i="4"/>
  <c r="BY21" i="4"/>
  <c r="BY22" i="4"/>
  <c r="BY23" i="4"/>
  <c r="BY682" i="4"/>
  <c r="BY755" i="4"/>
  <c r="BU678" i="4"/>
  <c r="BU679" i="4"/>
  <c r="BU670" i="4"/>
  <c r="BU665" i="4"/>
  <c r="BU660" i="4"/>
  <c r="BU654" i="4"/>
  <c r="BU650" i="4"/>
  <c r="BU671" i="4"/>
  <c r="BU642" i="4"/>
  <c r="BU638" i="4"/>
  <c r="BU634" i="4"/>
  <c r="BU643" i="4"/>
  <c r="BU628" i="4"/>
  <c r="BU622" i="4"/>
  <c r="BU617" i="4"/>
  <c r="BU610" i="4"/>
  <c r="BU604" i="4"/>
  <c r="BU599" i="4"/>
  <c r="BU594" i="4"/>
  <c r="BU586" i="4"/>
  <c r="BU580" i="4"/>
  <c r="BU574" i="4"/>
  <c r="BU567" i="4"/>
  <c r="BU629" i="4"/>
  <c r="BU560" i="4"/>
  <c r="BU561" i="4"/>
  <c r="BU680" i="4"/>
  <c r="BU681" i="4"/>
  <c r="BU548" i="4"/>
  <c r="BU549" i="4"/>
  <c r="BU550" i="4"/>
  <c r="BU551" i="4"/>
  <c r="BU538" i="4"/>
  <c r="BU539" i="4"/>
  <c r="BU529" i="4"/>
  <c r="BU525" i="4"/>
  <c r="BU521" i="4"/>
  <c r="BU517" i="4"/>
  <c r="BU512" i="4"/>
  <c r="BU530" i="4"/>
  <c r="BU505" i="4"/>
  <c r="BU501" i="4"/>
  <c r="BU495" i="4"/>
  <c r="BU489" i="4"/>
  <c r="BU506" i="4"/>
  <c r="BU483" i="4"/>
  <c r="BU484" i="4"/>
  <c r="BU540" i="4"/>
  <c r="BU541" i="4"/>
  <c r="BU472" i="4"/>
  <c r="BU473" i="4"/>
  <c r="BU466" i="4"/>
  <c r="BU457" i="4"/>
  <c r="BU453" i="4"/>
  <c r="BU467" i="4"/>
  <c r="BU446" i="4"/>
  <c r="BU438" i="4"/>
  <c r="BU447" i="4"/>
  <c r="BU428" i="4"/>
  <c r="BU424" i="4"/>
  <c r="BU417" i="4"/>
  <c r="BU404" i="4"/>
  <c r="BU429" i="4"/>
  <c r="BU391" i="4"/>
  <c r="BU387" i="4"/>
  <c r="BU378" i="4"/>
  <c r="BU392" i="4"/>
  <c r="BU474" i="4"/>
  <c r="BU475" i="4"/>
  <c r="BU366" i="4"/>
  <c r="BU367" i="4"/>
  <c r="BU360" i="4"/>
  <c r="BU361" i="4"/>
  <c r="BU368" i="4"/>
  <c r="BU369" i="4"/>
  <c r="BU349" i="4"/>
  <c r="BU350" i="4"/>
  <c r="BU351" i="4"/>
  <c r="BU337" i="4"/>
  <c r="BU331" i="4"/>
  <c r="BU324" i="4"/>
  <c r="BU315" i="4"/>
  <c r="BU338" i="4"/>
  <c r="BU339" i="4"/>
  <c r="BU304" i="4"/>
  <c r="BU295" i="4"/>
  <c r="BU290" i="4"/>
  <c r="BU305" i="4"/>
  <c r="BU306" i="4"/>
  <c r="BU352" i="4"/>
  <c r="BU275" i="4"/>
  <c r="BU271" i="4"/>
  <c r="BU267" i="4"/>
  <c r="BU276" i="4"/>
  <c r="BU260" i="4"/>
  <c r="BU254" i="4"/>
  <c r="BU247" i="4"/>
  <c r="BU261" i="4"/>
  <c r="BU277" i="4"/>
  <c r="BU278" i="4"/>
  <c r="BU233" i="4"/>
  <c r="BU228" i="4"/>
  <c r="BU234" i="4"/>
  <c r="BU222" i="4"/>
  <c r="BU218" i="4"/>
  <c r="BU223" i="4"/>
  <c r="BU235" i="4"/>
  <c r="BU236" i="4"/>
  <c r="BU201" i="4"/>
  <c r="BU197" i="4"/>
  <c r="BU202" i="4"/>
  <c r="BU187" i="4"/>
  <c r="BU188" i="4"/>
  <c r="BU203" i="4"/>
  <c r="BU179" i="4"/>
  <c r="BU174" i="4"/>
  <c r="BU180" i="4"/>
  <c r="BU164" i="4"/>
  <c r="BU159" i="4"/>
  <c r="BU153" i="4"/>
  <c r="BU165" i="4"/>
  <c r="BU143" i="4"/>
  <c r="BU136" i="4"/>
  <c r="BU144" i="4"/>
  <c r="BU181" i="4"/>
  <c r="BU204" i="4"/>
  <c r="BU122" i="4"/>
  <c r="BU123" i="4"/>
  <c r="BU124" i="4"/>
  <c r="BU114" i="4"/>
  <c r="BU115" i="4"/>
  <c r="BU116" i="4"/>
  <c r="BU101" i="4"/>
  <c r="BU89" i="4"/>
  <c r="BU102" i="4"/>
  <c r="BU103" i="4"/>
  <c r="BU125" i="4"/>
  <c r="BU77" i="4"/>
  <c r="BU78" i="4"/>
  <c r="BU79" i="4"/>
  <c r="BU80" i="4"/>
  <c r="BU30" i="4"/>
  <c r="BU34" i="4"/>
  <c r="BU35" i="4"/>
  <c r="BU40" i="4"/>
  <c r="BU41" i="4"/>
  <c r="BU63" i="4"/>
  <c r="BU64" i="4"/>
  <c r="BU65" i="4"/>
  <c r="BU66" i="4"/>
  <c r="BU20" i="4"/>
  <c r="BU21" i="4"/>
  <c r="BU22" i="4"/>
  <c r="BU23" i="4"/>
  <c r="BU682" i="4"/>
  <c r="BU755" i="4"/>
  <c r="BV678" i="4"/>
  <c r="BV679" i="4"/>
  <c r="BV670" i="4"/>
  <c r="BV665" i="4"/>
  <c r="BV660" i="4"/>
  <c r="BV654" i="4"/>
  <c r="BV650" i="4"/>
  <c r="BV671" i="4"/>
  <c r="BV642" i="4"/>
  <c r="BV638" i="4"/>
  <c r="BV634" i="4"/>
  <c r="BV643" i="4"/>
  <c r="BV628" i="4"/>
  <c r="BV622" i="4"/>
  <c r="BV617" i="4"/>
  <c r="BV610" i="4"/>
  <c r="BV604" i="4"/>
  <c r="BV599" i="4"/>
  <c r="BV594" i="4"/>
  <c r="BV586" i="4"/>
  <c r="BV580" i="4"/>
  <c r="BV574" i="4"/>
  <c r="BV567" i="4"/>
  <c r="BV629" i="4"/>
  <c r="BV560" i="4"/>
  <c r="BV561" i="4"/>
  <c r="BV680" i="4"/>
  <c r="BV681" i="4"/>
  <c r="BV548" i="4"/>
  <c r="BV549" i="4"/>
  <c r="BV550" i="4"/>
  <c r="BV551" i="4"/>
  <c r="BV538" i="4"/>
  <c r="BV539" i="4"/>
  <c r="BV529" i="4"/>
  <c r="BV525" i="4"/>
  <c r="BV521" i="4"/>
  <c r="BV517" i="4"/>
  <c r="BV512" i="4"/>
  <c r="BV530" i="4"/>
  <c r="BV505" i="4"/>
  <c r="BV501" i="4"/>
  <c r="BV495" i="4"/>
  <c r="BV489" i="4"/>
  <c r="BV506" i="4"/>
  <c r="BV483" i="4"/>
  <c r="BV484" i="4"/>
  <c r="BV540" i="4"/>
  <c r="BV541" i="4"/>
  <c r="BV472" i="4"/>
  <c r="BV473" i="4"/>
  <c r="BV466" i="4"/>
  <c r="BV457" i="4"/>
  <c r="BV453" i="4"/>
  <c r="BV467" i="4"/>
  <c r="BV446" i="4"/>
  <c r="BV438" i="4"/>
  <c r="BV447" i="4"/>
  <c r="BV428" i="4"/>
  <c r="BV424" i="4"/>
  <c r="BV417" i="4"/>
  <c r="BV404" i="4"/>
  <c r="BV429" i="4"/>
  <c r="BV391" i="4"/>
  <c r="BV387" i="4"/>
  <c r="BV378" i="4"/>
  <c r="BV392" i="4"/>
  <c r="BV474" i="4"/>
  <c r="BV475" i="4"/>
  <c r="BV366" i="4"/>
  <c r="BV367" i="4"/>
  <c r="BV360" i="4"/>
  <c r="BV361" i="4"/>
  <c r="BV368" i="4"/>
  <c r="BV369" i="4"/>
  <c r="BV349" i="4"/>
  <c r="BV350" i="4"/>
  <c r="BV351" i="4"/>
  <c r="BV337" i="4"/>
  <c r="BV331" i="4"/>
  <c r="BV324" i="4"/>
  <c r="BV315" i="4"/>
  <c r="BV338" i="4"/>
  <c r="BV339" i="4"/>
  <c r="BV304" i="4"/>
  <c r="BV295" i="4"/>
  <c r="BV290" i="4"/>
  <c r="BV305" i="4"/>
  <c r="BV306" i="4"/>
  <c r="BV352" i="4"/>
  <c r="BV275" i="4"/>
  <c r="BV271" i="4"/>
  <c r="BV267" i="4"/>
  <c r="BV276" i="4"/>
  <c r="BV260" i="4"/>
  <c r="BV254" i="4"/>
  <c r="BV247" i="4"/>
  <c r="BV261" i="4"/>
  <c r="BV277" i="4"/>
  <c r="BV278" i="4"/>
  <c r="BV233" i="4"/>
  <c r="BV228" i="4"/>
  <c r="BV234" i="4"/>
  <c r="BV222" i="4"/>
  <c r="BV218" i="4"/>
  <c r="BV223" i="4"/>
  <c r="BV235" i="4"/>
  <c r="BV236" i="4"/>
  <c r="BV201" i="4"/>
  <c r="BV197" i="4"/>
  <c r="BV202" i="4"/>
  <c r="BV187" i="4"/>
  <c r="BV188" i="4"/>
  <c r="BV203" i="4"/>
  <c r="BV179" i="4"/>
  <c r="BV174" i="4"/>
  <c r="BV180" i="4"/>
  <c r="BV164" i="4"/>
  <c r="BV159" i="4"/>
  <c r="BV153" i="4"/>
  <c r="BV165" i="4"/>
  <c r="BV143" i="4"/>
  <c r="BV136" i="4"/>
  <c r="BV144" i="4"/>
  <c r="BV181" i="4"/>
  <c r="BV204" i="4"/>
  <c r="BV122" i="4"/>
  <c r="BV123" i="4"/>
  <c r="BV124" i="4"/>
  <c r="BV114" i="4"/>
  <c r="BV115" i="4"/>
  <c r="BV116" i="4"/>
  <c r="BV101" i="4"/>
  <c r="BV89" i="4"/>
  <c r="BV102" i="4"/>
  <c r="BV103" i="4"/>
  <c r="BV125" i="4"/>
  <c r="BV77" i="4"/>
  <c r="BV78" i="4"/>
  <c r="BV79" i="4"/>
  <c r="BV80" i="4"/>
  <c r="BV30" i="4"/>
  <c r="BV34" i="4"/>
  <c r="BV35" i="4"/>
  <c r="BV40" i="4"/>
  <c r="BV41" i="4"/>
  <c r="BV63" i="4"/>
  <c r="BV64" i="4"/>
  <c r="BV65" i="4"/>
  <c r="BV66" i="4"/>
  <c r="BV20" i="4"/>
  <c r="BV21" i="4"/>
  <c r="BV22" i="4"/>
  <c r="BV23" i="4"/>
  <c r="BV682" i="4"/>
  <c r="BV755" i="4"/>
  <c r="BR678" i="4"/>
  <c r="BR679" i="4"/>
  <c r="BR670" i="4"/>
  <c r="BR665" i="4"/>
  <c r="BR660" i="4"/>
  <c r="BR654" i="4"/>
  <c r="BR650" i="4"/>
  <c r="BR671" i="4"/>
  <c r="BR642" i="4"/>
  <c r="BR638" i="4"/>
  <c r="BR634" i="4"/>
  <c r="BR643" i="4"/>
  <c r="BR628" i="4"/>
  <c r="BR622" i="4"/>
  <c r="BR617" i="4"/>
  <c r="BR610" i="4"/>
  <c r="BR604" i="4"/>
  <c r="BR599" i="4"/>
  <c r="BR594" i="4"/>
  <c r="BR586" i="4"/>
  <c r="BR580" i="4"/>
  <c r="BR574" i="4"/>
  <c r="BR567" i="4"/>
  <c r="BR629" i="4"/>
  <c r="BR560" i="4"/>
  <c r="BR561" i="4"/>
  <c r="BR680" i="4"/>
  <c r="BR681" i="4"/>
  <c r="BR548" i="4"/>
  <c r="BR549" i="4"/>
  <c r="BR550" i="4"/>
  <c r="BR551" i="4"/>
  <c r="BR538" i="4"/>
  <c r="BR539" i="4"/>
  <c r="BR529" i="4"/>
  <c r="BR525" i="4"/>
  <c r="BR521" i="4"/>
  <c r="BR517" i="4"/>
  <c r="BR512" i="4"/>
  <c r="BR530" i="4"/>
  <c r="BR505" i="4"/>
  <c r="BR501" i="4"/>
  <c r="BR495" i="4"/>
  <c r="BR489" i="4"/>
  <c r="BR506" i="4"/>
  <c r="BR483" i="4"/>
  <c r="BR484" i="4"/>
  <c r="BR540" i="4"/>
  <c r="BR541" i="4"/>
  <c r="BR472" i="4"/>
  <c r="BR473" i="4"/>
  <c r="BR466" i="4"/>
  <c r="BR457" i="4"/>
  <c r="BR453" i="4"/>
  <c r="BR467" i="4"/>
  <c r="BR446" i="4"/>
  <c r="BR438" i="4"/>
  <c r="BR447" i="4"/>
  <c r="BR428" i="4"/>
  <c r="BR424" i="4"/>
  <c r="BR417" i="4"/>
  <c r="BR404" i="4"/>
  <c r="BR429" i="4"/>
  <c r="BR391" i="4"/>
  <c r="BR387" i="4"/>
  <c r="BR378" i="4"/>
  <c r="BR392" i="4"/>
  <c r="BR474" i="4"/>
  <c r="BR475" i="4"/>
  <c r="BR366" i="4"/>
  <c r="BR367" i="4"/>
  <c r="BR360" i="4"/>
  <c r="BR361" i="4"/>
  <c r="BR368" i="4"/>
  <c r="BR369" i="4"/>
  <c r="BR349" i="4"/>
  <c r="BR350" i="4"/>
  <c r="BR351" i="4"/>
  <c r="BR337" i="4"/>
  <c r="BR331" i="4"/>
  <c r="BR324" i="4"/>
  <c r="BR315" i="4"/>
  <c r="BR338" i="4"/>
  <c r="BR339" i="4"/>
  <c r="BR304" i="4"/>
  <c r="BR295" i="4"/>
  <c r="BR290" i="4"/>
  <c r="BR305" i="4"/>
  <c r="BR306" i="4"/>
  <c r="BR352" i="4"/>
  <c r="BR275" i="4"/>
  <c r="BR271" i="4"/>
  <c r="BR267" i="4"/>
  <c r="BR276" i="4"/>
  <c r="BR260" i="4"/>
  <c r="BR254" i="4"/>
  <c r="BR247" i="4"/>
  <c r="BR261" i="4"/>
  <c r="BR277" i="4"/>
  <c r="BR278" i="4"/>
  <c r="BR233" i="4"/>
  <c r="BR228" i="4"/>
  <c r="BR234" i="4"/>
  <c r="BR222" i="4"/>
  <c r="BR218" i="4"/>
  <c r="BR223" i="4"/>
  <c r="BR235" i="4"/>
  <c r="BR236" i="4"/>
  <c r="BR201" i="4"/>
  <c r="BR197" i="4"/>
  <c r="BR202" i="4"/>
  <c r="BR187" i="4"/>
  <c r="BR188" i="4"/>
  <c r="BR203" i="4"/>
  <c r="BR179" i="4"/>
  <c r="BR174" i="4"/>
  <c r="BR180" i="4"/>
  <c r="BR164" i="4"/>
  <c r="BR159" i="4"/>
  <c r="BR153" i="4"/>
  <c r="BR165" i="4"/>
  <c r="BR143" i="4"/>
  <c r="BR136" i="4"/>
  <c r="BR144" i="4"/>
  <c r="BR181" i="4"/>
  <c r="BR204" i="4"/>
  <c r="BR122" i="4"/>
  <c r="BR123" i="4"/>
  <c r="BR124" i="4"/>
  <c r="BR114" i="4"/>
  <c r="BR115" i="4"/>
  <c r="BR116" i="4"/>
  <c r="BR101" i="4"/>
  <c r="BR89" i="4"/>
  <c r="BR102" i="4"/>
  <c r="BR103" i="4"/>
  <c r="BR125" i="4"/>
  <c r="BR77" i="4"/>
  <c r="BR78" i="4"/>
  <c r="BR79" i="4"/>
  <c r="BR80" i="4"/>
  <c r="BR30" i="4"/>
  <c r="BR34" i="4"/>
  <c r="BR35" i="4"/>
  <c r="BR40" i="4"/>
  <c r="BR41" i="4"/>
  <c r="BR63" i="4"/>
  <c r="BR64" i="4"/>
  <c r="BR65" i="4"/>
  <c r="BR66" i="4"/>
  <c r="BR20" i="4"/>
  <c r="BR21" i="4"/>
  <c r="BR22" i="4"/>
  <c r="BR23" i="4"/>
  <c r="BR682" i="4"/>
  <c r="BR755" i="4"/>
  <c r="BS678" i="4"/>
  <c r="BS679" i="4"/>
  <c r="BS670" i="4"/>
  <c r="BS665" i="4"/>
  <c r="BS660" i="4"/>
  <c r="BS654" i="4"/>
  <c r="BS650" i="4"/>
  <c r="BS671" i="4"/>
  <c r="BS642" i="4"/>
  <c r="BS638" i="4"/>
  <c r="BS634" i="4"/>
  <c r="BS643" i="4"/>
  <c r="BS628" i="4"/>
  <c r="BS622" i="4"/>
  <c r="BS617" i="4"/>
  <c r="BS610" i="4"/>
  <c r="BS604" i="4"/>
  <c r="BS599" i="4"/>
  <c r="BS594" i="4"/>
  <c r="BS586" i="4"/>
  <c r="BS580" i="4"/>
  <c r="BS574" i="4"/>
  <c r="BS567" i="4"/>
  <c r="BS629" i="4"/>
  <c r="BS560" i="4"/>
  <c r="BS561" i="4"/>
  <c r="BS680" i="4"/>
  <c r="BS681" i="4"/>
  <c r="BS548" i="4"/>
  <c r="BS549" i="4"/>
  <c r="BS550" i="4"/>
  <c r="BS551" i="4"/>
  <c r="BS538" i="4"/>
  <c r="BS539" i="4"/>
  <c r="BS529" i="4"/>
  <c r="BS525" i="4"/>
  <c r="BS521" i="4"/>
  <c r="BS517" i="4"/>
  <c r="BS512" i="4"/>
  <c r="BS530" i="4"/>
  <c r="BS505" i="4"/>
  <c r="BS501" i="4"/>
  <c r="BS495" i="4"/>
  <c r="BS489" i="4"/>
  <c r="BS506" i="4"/>
  <c r="BS483" i="4"/>
  <c r="BS484" i="4"/>
  <c r="BS540" i="4"/>
  <c r="BS541" i="4"/>
  <c r="BS472" i="4"/>
  <c r="BS473" i="4"/>
  <c r="BS466" i="4"/>
  <c r="BS457" i="4"/>
  <c r="BS453" i="4"/>
  <c r="BS467" i="4"/>
  <c r="BS446" i="4"/>
  <c r="BS438" i="4"/>
  <c r="BS447" i="4"/>
  <c r="BS428" i="4"/>
  <c r="BS424" i="4"/>
  <c r="BS417" i="4"/>
  <c r="BS404" i="4"/>
  <c r="BS429" i="4"/>
  <c r="BS391" i="4"/>
  <c r="BS387" i="4"/>
  <c r="BS378" i="4"/>
  <c r="BS392" i="4"/>
  <c r="BS474" i="4"/>
  <c r="BS475" i="4"/>
  <c r="BS366" i="4"/>
  <c r="BS367" i="4"/>
  <c r="BS360" i="4"/>
  <c r="BS361" i="4"/>
  <c r="BS368" i="4"/>
  <c r="BS369" i="4"/>
  <c r="BS349" i="4"/>
  <c r="BS350" i="4"/>
  <c r="BS351" i="4"/>
  <c r="BS337" i="4"/>
  <c r="BS331" i="4"/>
  <c r="BS324" i="4"/>
  <c r="BS315" i="4"/>
  <c r="BS338" i="4"/>
  <c r="BS339" i="4"/>
  <c r="BS304" i="4"/>
  <c r="BS295" i="4"/>
  <c r="BS290" i="4"/>
  <c r="BS305" i="4"/>
  <c r="BS306" i="4"/>
  <c r="BS352" i="4"/>
  <c r="BS275" i="4"/>
  <c r="BS271" i="4"/>
  <c r="BS267" i="4"/>
  <c r="BS276" i="4"/>
  <c r="BS260" i="4"/>
  <c r="BS254" i="4"/>
  <c r="BS247" i="4"/>
  <c r="BS261" i="4"/>
  <c r="BS277" i="4"/>
  <c r="BS278" i="4"/>
  <c r="BS233" i="4"/>
  <c r="BS228" i="4"/>
  <c r="BS234" i="4"/>
  <c r="BS222" i="4"/>
  <c r="BS218" i="4"/>
  <c r="BS223" i="4"/>
  <c r="BS235" i="4"/>
  <c r="BS236" i="4"/>
  <c r="BS201" i="4"/>
  <c r="BS197" i="4"/>
  <c r="BS202" i="4"/>
  <c r="BS187" i="4"/>
  <c r="BS188" i="4"/>
  <c r="BS203" i="4"/>
  <c r="BS179" i="4"/>
  <c r="BS174" i="4"/>
  <c r="BS180" i="4"/>
  <c r="BS164" i="4"/>
  <c r="BS159" i="4"/>
  <c r="BS153" i="4"/>
  <c r="BS165" i="4"/>
  <c r="BS143" i="4"/>
  <c r="BS136" i="4"/>
  <c r="BS144" i="4"/>
  <c r="BS181" i="4"/>
  <c r="BS204" i="4"/>
  <c r="BS122" i="4"/>
  <c r="BS123" i="4"/>
  <c r="BS124" i="4"/>
  <c r="BS114" i="4"/>
  <c r="BS115" i="4"/>
  <c r="BS116" i="4"/>
  <c r="BS101" i="4"/>
  <c r="BS89" i="4"/>
  <c r="BS102" i="4"/>
  <c r="BS103" i="4"/>
  <c r="BS125" i="4"/>
  <c r="BS77" i="4"/>
  <c r="BS78" i="4"/>
  <c r="BS79" i="4"/>
  <c r="BS80" i="4"/>
  <c r="BS30" i="4"/>
  <c r="BS34" i="4"/>
  <c r="BS35" i="4"/>
  <c r="BS40" i="4"/>
  <c r="BS41" i="4"/>
  <c r="BS63" i="4"/>
  <c r="BS64" i="4"/>
  <c r="BS65" i="4"/>
  <c r="BS66" i="4"/>
  <c r="BS20" i="4"/>
  <c r="BS21" i="4"/>
  <c r="BS22" i="4"/>
  <c r="BS23" i="4"/>
  <c r="BS682" i="4"/>
  <c r="BS755" i="4"/>
  <c r="BO678" i="4"/>
  <c r="BO679" i="4"/>
  <c r="BO670" i="4"/>
  <c r="BO665" i="4"/>
  <c r="BO660" i="4"/>
  <c r="BO654" i="4"/>
  <c r="BO650" i="4"/>
  <c r="BO671" i="4"/>
  <c r="BO642" i="4"/>
  <c r="BO638" i="4"/>
  <c r="BO634" i="4"/>
  <c r="BO643" i="4"/>
  <c r="BO628" i="4"/>
  <c r="BO622" i="4"/>
  <c r="BO617" i="4"/>
  <c r="BO610" i="4"/>
  <c r="BO604" i="4"/>
  <c r="BO599" i="4"/>
  <c r="BO594" i="4"/>
  <c r="BO586" i="4"/>
  <c r="BO580" i="4"/>
  <c r="BO574" i="4"/>
  <c r="BO567" i="4"/>
  <c r="BO629" i="4"/>
  <c r="BO560" i="4"/>
  <c r="BO561" i="4"/>
  <c r="BO680" i="4"/>
  <c r="BO681" i="4"/>
  <c r="BO548" i="4"/>
  <c r="BO549" i="4"/>
  <c r="BO550" i="4"/>
  <c r="BO551" i="4"/>
  <c r="BO538" i="4"/>
  <c r="BO539" i="4"/>
  <c r="BO529" i="4"/>
  <c r="BO525" i="4"/>
  <c r="BO521" i="4"/>
  <c r="BO517" i="4"/>
  <c r="BO512" i="4"/>
  <c r="BO530" i="4"/>
  <c r="BO505" i="4"/>
  <c r="BO501" i="4"/>
  <c r="BO495" i="4"/>
  <c r="BO489" i="4"/>
  <c r="BO506" i="4"/>
  <c r="BO483" i="4"/>
  <c r="BO484" i="4"/>
  <c r="BO540" i="4"/>
  <c r="BO541" i="4"/>
  <c r="BO472" i="4"/>
  <c r="BO473" i="4"/>
  <c r="BO466" i="4"/>
  <c r="BO457" i="4"/>
  <c r="BO453" i="4"/>
  <c r="BO467" i="4"/>
  <c r="BO446" i="4"/>
  <c r="BO438" i="4"/>
  <c r="BO447" i="4"/>
  <c r="BO428" i="4"/>
  <c r="BO424" i="4"/>
  <c r="BO417" i="4"/>
  <c r="BO404" i="4"/>
  <c r="BO429" i="4"/>
  <c r="BO391" i="4"/>
  <c r="BO387" i="4"/>
  <c r="BO378" i="4"/>
  <c r="BO392" i="4"/>
  <c r="BO474" i="4"/>
  <c r="BO475" i="4"/>
  <c r="BO366" i="4"/>
  <c r="BO367" i="4"/>
  <c r="BO360" i="4"/>
  <c r="BO361" i="4"/>
  <c r="BO368" i="4"/>
  <c r="BO369" i="4"/>
  <c r="BO349" i="4"/>
  <c r="BO350" i="4"/>
  <c r="BO351" i="4"/>
  <c r="BO337" i="4"/>
  <c r="BO331" i="4"/>
  <c r="BO324" i="4"/>
  <c r="BO315" i="4"/>
  <c r="BO338" i="4"/>
  <c r="BO339" i="4"/>
  <c r="BO304" i="4"/>
  <c r="BO295" i="4"/>
  <c r="BO290" i="4"/>
  <c r="BO305" i="4"/>
  <c r="BO306" i="4"/>
  <c r="BO352" i="4"/>
  <c r="BO275" i="4"/>
  <c r="BO271" i="4"/>
  <c r="BO267" i="4"/>
  <c r="BO276" i="4"/>
  <c r="BO260" i="4"/>
  <c r="BO254" i="4"/>
  <c r="BO247" i="4"/>
  <c r="BO261" i="4"/>
  <c r="BO277" i="4"/>
  <c r="BO278" i="4"/>
  <c r="BO233" i="4"/>
  <c r="BO228" i="4"/>
  <c r="BO234" i="4"/>
  <c r="BO222" i="4"/>
  <c r="BO218" i="4"/>
  <c r="BO223" i="4"/>
  <c r="BO235" i="4"/>
  <c r="BO236" i="4"/>
  <c r="BO201" i="4"/>
  <c r="BO197" i="4"/>
  <c r="BO202" i="4"/>
  <c r="BO187" i="4"/>
  <c r="BO188" i="4"/>
  <c r="BO203" i="4"/>
  <c r="BO179" i="4"/>
  <c r="BO174" i="4"/>
  <c r="BO180" i="4"/>
  <c r="BO164" i="4"/>
  <c r="BO159" i="4"/>
  <c r="BO153" i="4"/>
  <c r="BO165" i="4"/>
  <c r="BO143" i="4"/>
  <c r="BO136" i="4"/>
  <c r="BO144" i="4"/>
  <c r="BO181" i="4"/>
  <c r="BO204" i="4"/>
  <c r="BO122" i="4"/>
  <c r="BO123" i="4"/>
  <c r="BO124" i="4"/>
  <c r="BO114" i="4"/>
  <c r="BO115" i="4"/>
  <c r="BO116" i="4"/>
  <c r="BO101" i="4"/>
  <c r="BO89" i="4"/>
  <c r="BO102" i="4"/>
  <c r="BO103" i="4"/>
  <c r="BO125" i="4"/>
  <c r="BO77" i="4"/>
  <c r="BO78" i="4"/>
  <c r="BO79" i="4"/>
  <c r="BO80" i="4"/>
  <c r="BO30" i="4"/>
  <c r="BO34" i="4"/>
  <c r="BO35" i="4"/>
  <c r="BO40" i="4"/>
  <c r="BO41" i="4"/>
  <c r="BO63" i="4"/>
  <c r="BO64" i="4"/>
  <c r="BO65" i="4"/>
  <c r="BO66" i="4"/>
  <c r="BO20" i="4"/>
  <c r="BO21" i="4"/>
  <c r="BO22" i="4"/>
  <c r="BO23" i="4"/>
  <c r="BO682" i="4"/>
  <c r="BO755" i="4"/>
  <c r="BP678" i="4"/>
  <c r="BP679" i="4"/>
  <c r="BP670" i="4"/>
  <c r="BP665" i="4"/>
  <c r="BP660" i="4"/>
  <c r="BP654" i="4"/>
  <c r="BP650" i="4"/>
  <c r="BP671" i="4"/>
  <c r="BP642" i="4"/>
  <c r="BP638" i="4"/>
  <c r="BP634" i="4"/>
  <c r="BP643" i="4"/>
  <c r="BP628" i="4"/>
  <c r="BP622" i="4"/>
  <c r="BP617" i="4"/>
  <c r="BP610" i="4"/>
  <c r="BP604" i="4"/>
  <c r="BP599" i="4"/>
  <c r="BP594" i="4"/>
  <c r="BP586" i="4"/>
  <c r="BP580" i="4"/>
  <c r="BP574" i="4"/>
  <c r="BP567" i="4"/>
  <c r="BP629" i="4"/>
  <c r="BP560" i="4"/>
  <c r="BP561" i="4"/>
  <c r="BP680" i="4"/>
  <c r="BP681" i="4"/>
  <c r="BP548" i="4"/>
  <c r="BP549" i="4"/>
  <c r="BP550" i="4"/>
  <c r="BP551" i="4"/>
  <c r="BP538" i="4"/>
  <c r="BP539" i="4"/>
  <c r="BP529" i="4"/>
  <c r="BP525" i="4"/>
  <c r="BP521" i="4"/>
  <c r="BP517" i="4"/>
  <c r="BP512" i="4"/>
  <c r="BP530" i="4"/>
  <c r="BP505" i="4"/>
  <c r="BP501" i="4"/>
  <c r="BP495" i="4"/>
  <c r="BP489" i="4"/>
  <c r="BP506" i="4"/>
  <c r="BP483" i="4"/>
  <c r="BP484" i="4"/>
  <c r="BP540" i="4"/>
  <c r="BP541" i="4"/>
  <c r="BP472" i="4"/>
  <c r="BP473" i="4"/>
  <c r="BP466" i="4"/>
  <c r="BP457" i="4"/>
  <c r="BP453" i="4"/>
  <c r="BP467" i="4"/>
  <c r="BP446" i="4"/>
  <c r="BP438" i="4"/>
  <c r="BP447" i="4"/>
  <c r="BP428" i="4"/>
  <c r="BP424" i="4"/>
  <c r="BP417" i="4"/>
  <c r="BP404" i="4"/>
  <c r="BP429" i="4"/>
  <c r="BP391" i="4"/>
  <c r="BP387" i="4"/>
  <c r="BP378" i="4"/>
  <c r="BP392" i="4"/>
  <c r="BP474" i="4"/>
  <c r="BP475" i="4"/>
  <c r="BP366" i="4"/>
  <c r="BP367" i="4"/>
  <c r="BP360" i="4"/>
  <c r="BP361" i="4"/>
  <c r="BP368" i="4"/>
  <c r="BP369" i="4"/>
  <c r="BP349" i="4"/>
  <c r="BP350" i="4"/>
  <c r="BP351" i="4"/>
  <c r="BP337" i="4"/>
  <c r="BP331" i="4"/>
  <c r="BP324" i="4"/>
  <c r="BP315" i="4"/>
  <c r="BP338" i="4"/>
  <c r="BP339" i="4"/>
  <c r="BP304" i="4"/>
  <c r="BP295" i="4"/>
  <c r="BP290" i="4"/>
  <c r="BP305" i="4"/>
  <c r="BP306" i="4"/>
  <c r="BP352" i="4"/>
  <c r="BP275" i="4"/>
  <c r="BP271" i="4"/>
  <c r="BP267" i="4"/>
  <c r="BP276" i="4"/>
  <c r="BP260" i="4"/>
  <c r="BP254" i="4"/>
  <c r="BP247" i="4"/>
  <c r="BP261" i="4"/>
  <c r="BP277" i="4"/>
  <c r="BP278" i="4"/>
  <c r="BP233" i="4"/>
  <c r="BP228" i="4"/>
  <c r="BP234" i="4"/>
  <c r="BP222" i="4"/>
  <c r="BP218" i="4"/>
  <c r="BP223" i="4"/>
  <c r="BP235" i="4"/>
  <c r="BP236" i="4"/>
  <c r="BP201" i="4"/>
  <c r="BP197" i="4"/>
  <c r="BP202" i="4"/>
  <c r="BP187" i="4"/>
  <c r="BP188" i="4"/>
  <c r="BP203" i="4"/>
  <c r="BP179" i="4"/>
  <c r="BP174" i="4"/>
  <c r="BP180" i="4"/>
  <c r="BP164" i="4"/>
  <c r="BP159" i="4"/>
  <c r="BP153" i="4"/>
  <c r="BP165" i="4"/>
  <c r="BP143" i="4"/>
  <c r="BP136" i="4"/>
  <c r="BP144" i="4"/>
  <c r="BP181" i="4"/>
  <c r="BP204" i="4"/>
  <c r="BP122" i="4"/>
  <c r="BP123" i="4"/>
  <c r="BP124" i="4"/>
  <c r="BP114" i="4"/>
  <c r="BP115" i="4"/>
  <c r="BP116" i="4"/>
  <c r="BP101" i="4"/>
  <c r="BP89" i="4"/>
  <c r="BP102" i="4"/>
  <c r="BP103" i="4"/>
  <c r="BP125" i="4"/>
  <c r="BP77" i="4"/>
  <c r="BP78" i="4"/>
  <c r="BP79" i="4"/>
  <c r="BP80" i="4"/>
  <c r="BP30" i="4"/>
  <c r="BP34" i="4"/>
  <c r="BP35" i="4"/>
  <c r="BP40" i="4"/>
  <c r="BP41" i="4"/>
  <c r="BP63" i="4"/>
  <c r="BP64" i="4"/>
  <c r="BP65" i="4"/>
  <c r="BP66" i="4"/>
  <c r="BP20" i="4"/>
  <c r="BP21" i="4"/>
  <c r="BP22" i="4"/>
  <c r="BP23" i="4"/>
  <c r="BP682" i="4"/>
  <c r="BP755" i="4"/>
  <c r="BL290" i="4"/>
  <c r="BL295" i="4"/>
  <c r="BL304" i="4"/>
  <c r="BL305" i="4"/>
  <c r="BL306" i="4"/>
  <c r="BL315" i="4"/>
  <c r="BL324" i="4"/>
  <c r="BL331" i="4"/>
  <c r="BL337" i="4"/>
  <c r="BL338" i="4"/>
  <c r="BL339" i="4"/>
  <c r="BL349" i="4"/>
  <c r="BL350" i="4"/>
  <c r="BL351" i="4"/>
  <c r="BL352" i="4"/>
  <c r="BL260" i="4"/>
  <c r="BL261" i="4" s="1"/>
  <c r="BL277" i="4" s="1"/>
  <c r="BL278" i="4" s="1"/>
  <c r="BL254" i="4"/>
  <c r="BL247" i="4"/>
  <c r="BL275" i="4"/>
  <c r="BL271" i="4"/>
  <c r="BL267" i="4"/>
  <c r="BL276" i="4"/>
  <c r="BL678" i="4"/>
  <c r="BL679" i="4"/>
  <c r="BL670" i="4"/>
  <c r="BL665" i="4"/>
  <c r="BL660" i="4"/>
  <c r="BL654" i="4"/>
  <c r="BL650" i="4"/>
  <c r="BL671" i="4"/>
  <c r="BL642" i="4"/>
  <c r="BL638" i="4"/>
  <c r="BL634" i="4"/>
  <c r="BL643" i="4"/>
  <c r="BL628" i="4"/>
  <c r="BL622" i="4"/>
  <c r="BL617" i="4"/>
  <c r="BL610" i="4"/>
  <c r="BL604" i="4"/>
  <c r="BL599" i="4"/>
  <c r="BL594" i="4"/>
  <c r="BL586" i="4"/>
  <c r="BL580" i="4"/>
  <c r="BL574" i="4"/>
  <c r="BL567" i="4"/>
  <c r="BL629" i="4"/>
  <c r="BL560" i="4"/>
  <c r="BL561" i="4"/>
  <c r="BL680" i="4"/>
  <c r="BL681" i="4"/>
  <c r="BL548" i="4"/>
  <c r="BL549" i="4"/>
  <c r="BL550" i="4"/>
  <c r="BL551" i="4"/>
  <c r="BL538" i="4"/>
  <c r="BL539" i="4"/>
  <c r="BL529" i="4"/>
  <c r="BL525" i="4"/>
  <c r="BL521" i="4"/>
  <c r="BL517" i="4"/>
  <c r="BL512" i="4"/>
  <c r="BL530" i="4"/>
  <c r="BL505" i="4"/>
  <c r="BL501" i="4"/>
  <c r="BL495" i="4"/>
  <c r="BL489" i="4"/>
  <c r="BL506" i="4"/>
  <c r="BL483" i="4"/>
  <c r="BL484" i="4"/>
  <c r="BL540" i="4"/>
  <c r="BL541" i="4"/>
  <c r="BL472" i="4"/>
  <c r="BL473" i="4"/>
  <c r="BL466" i="4"/>
  <c r="BL457" i="4"/>
  <c r="BL453" i="4"/>
  <c r="BL467" i="4"/>
  <c r="BL446" i="4"/>
  <c r="BL438" i="4"/>
  <c r="BL447" i="4"/>
  <c r="BL428" i="4"/>
  <c r="BL424" i="4"/>
  <c r="BL417" i="4"/>
  <c r="BL404" i="4"/>
  <c r="BL429" i="4"/>
  <c r="BL391" i="4"/>
  <c r="BL387" i="4"/>
  <c r="BL378" i="4"/>
  <c r="BL392" i="4"/>
  <c r="BL474" i="4"/>
  <c r="BL475" i="4"/>
  <c r="BL366" i="4"/>
  <c r="BL367" i="4"/>
  <c r="BL360" i="4"/>
  <c r="BL361" i="4"/>
  <c r="BL368" i="4"/>
  <c r="BL369" i="4"/>
  <c r="BL233" i="4"/>
  <c r="BL228" i="4"/>
  <c r="BL234" i="4"/>
  <c r="BL222" i="4"/>
  <c r="BL218" i="4"/>
  <c r="BL223" i="4"/>
  <c r="BL235" i="4"/>
  <c r="BL236" i="4"/>
  <c r="BL201" i="4"/>
  <c r="BL197" i="4"/>
  <c r="BL202" i="4"/>
  <c r="BL187" i="4"/>
  <c r="BL188" i="4"/>
  <c r="BL203" i="4"/>
  <c r="BL179" i="4"/>
  <c r="BL174" i="4"/>
  <c r="BL180" i="4"/>
  <c r="BL164" i="4"/>
  <c r="BL159" i="4"/>
  <c r="BL153" i="4"/>
  <c r="BL165" i="4"/>
  <c r="BL143" i="4"/>
  <c r="BL136" i="4"/>
  <c r="BL144" i="4"/>
  <c r="BL181" i="4"/>
  <c r="BL204" i="4"/>
  <c r="BL122" i="4"/>
  <c r="BL123" i="4"/>
  <c r="BL124" i="4"/>
  <c r="BL114" i="4"/>
  <c r="BL115" i="4"/>
  <c r="BL116" i="4"/>
  <c r="BL101" i="4"/>
  <c r="BL89" i="4"/>
  <c r="BL102" i="4"/>
  <c r="BL103" i="4"/>
  <c r="BL125" i="4"/>
  <c r="BL77" i="4"/>
  <c r="BL78" i="4"/>
  <c r="BL79" i="4"/>
  <c r="BL80" i="4"/>
  <c r="BL30" i="4"/>
  <c r="BL34" i="4"/>
  <c r="BL35" i="4"/>
  <c r="BL40" i="4"/>
  <c r="BL41" i="4"/>
  <c r="BL63" i="4"/>
  <c r="BL64" i="4"/>
  <c r="BL65" i="4"/>
  <c r="BL66" i="4"/>
  <c r="BL20" i="4"/>
  <c r="BL21" i="4" s="1"/>
  <c r="BL22" i="4" s="1"/>
  <c r="BL23" i="4" s="1"/>
  <c r="BM290" i="4"/>
  <c r="BM295" i="4"/>
  <c r="BM304" i="4"/>
  <c r="BM305" i="4"/>
  <c r="BM306" i="4"/>
  <c r="BM315" i="4"/>
  <c r="BM324" i="4"/>
  <c r="BM331" i="4"/>
  <c r="BM337" i="4"/>
  <c r="BM338" i="4"/>
  <c r="BM339" i="4"/>
  <c r="BM349" i="4"/>
  <c r="BM350" i="4"/>
  <c r="BM351" i="4"/>
  <c r="BM352" i="4"/>
  <c r="BM678" i="4"/>
  <c r="BM679" i="4"/>
  <c r="BM670" i="4"/>
  <c r="BM665" i="4"/>
  <c r="BM660" i="4"/>
  <c r="BM654" i="4"/>
  <c r="BM650" i="4"/>
  <c r="BM671" i="4"/>
  <c r="BM642" i="4"/>
  <c r="BM638" i="4"/>
  <c r="BM634" i="4"/>
  <c r="BM643" i="4"/>
  <c r="BM628" i="4"/>
  <c r="BM622" i="4"/>
  <c r="BM617" i="4"/>
  <c r="BM610" i="4"/>
  <c r="BM604" i="4"/>
  <c r="BM599" i="4"/>
  <c r="BM594" i="4"/>
  <c r="BM586" i="4"/>
  <c r="BM580" i="4"/>
  <c r="BM574" i="4"/>
  <c r="BM567" i="4"/>
  <c r="BM629" i="4"/>
  <c r="BM560" i="4"/>
  <c r="BM561" i="4"/>
  <c r="BM680" i="4"/>
  <c r="BM681" i="4"/>
  <c r="BM548" i="4"/>
  <c r="BM549" i="4"/>
  <c r="BM550" i="4"/>
  <c r="BM551" i="4"/>
  <c r="BM538" i="4"/>
  <c r="BM539" i="4"/>
  <c r="BM529" i="4"/>
  <c r="BM525" i="4"/>
  <c r="BM521" i="4"/>
  <c r="BM517" i="4"/>
  <c r="BM512" i="4"/>
  <c r="BM530" i="4"/>
  <c r="BM505" i="4"/>
  <c r="BM501" i="4"/>
  <c r="BM495" i="4"/>
  <c r="BM489" i="4"/>
  <c r="BM506" i="4"/>
  <c r="BM483" i="4"/>
  <c r="BM484" i="4"/>
  <c r="BM540" i="4"/>
  <c r="BM541" i="4"/>
  <c r="BM472" i="4"/>
  <c r="BM473" i="4"/>
  <c r="BM466" i="4"/>
  <c r="BM457" i="4"/>
  <c r="BM453" i="4"/>
  <c r="BM467" i="4"/>
  <c r="BM446" i="4"/>
  <c r="BM438" i="4"/>
  <c r="BM447" i="4"/>
  <c r="BM428" i="4"/>
  <c r="BM424" i="4"/>
  <c r="BM417" i="4"/>
  <c r="BM404" i="4"/>
  <c r="BM429" i="4"/>
  <c r="BM391" i="4"/>
  <c r="BM387" i="4"/>
  <c r="BM378" i="4"/>
  <c r="BM392" i="4"/>
  <c r="BM474" i="4"/>
  <c r="BM475" i="4"/>
  <c r="BM366" i="4"/>
  <c r="BM367" i="4"/>
  <c r="BM360" i="4"/>
  <c r="BM361" i="4"/>
  <c r="BM368" i="4"/>
  <c r="BM369" i="4"/>
  <c r="BM275" i="4"/>
  <c r="BM271" i="4"/>
  <c r="BM267" i="4"/>
  <c r="BM276" i="4"/>
  <c r="BM260" i="4"/>
  <c r="BM254" i="4"/>
  <c r="BM247" i="4"/>
  <c r="BM261" i="4"/>
  <c r="BM277" i="4"/>
  <c r="BM278" i="4"/>
  <c r="BM233" i="4"/>
  <c r="BM228" i="4"/>
  <c r="BM234" i="4"/>
  <c r="BM222" i="4"/>
  <c r="BM218" i="4"/>
  <c r="BM223" i="4"/>
  <c r="BM235" i="4"/>
  <c r="BM236" i="4"/>
  <c r="BM201" i="4"/>
  <c r="BM197" i="4"/>
  <c r="BM202" i="4"/>
  <c r="BM187" i="4"/>
  <c r="BM188" i="4"/>
  <c r="BM203" i="4"/>
  <c r="BM179" i="4"/>
  <c r="BM174" i="4"/>
  <c r="BM180" i="4"/>
  <c r="BM164" i="4"/>
  <c r="BM159" i="4"/>
  <c r="BM153" i="4"/>
  <c r="BM165" i="4"/>
  <c r="BM143" i="4"/>
  <c r="BM136" i="4"/>
  <c r="BM144" i="4"/>
  <c r="BM181" i="4"/>
  <c r="BM204" i="4"/>
  <c r="BM122" i="4"/>
  <c r="BM123" i="4"/>
  <c r="BM124" i="4"/>
  <c r="BM114" i="4"/>
  <c r="BM115" i="4"/>
  <c r="BM116" i="4"/>
  <c r="BM101" i="4"/>
  <c r="BM89" i="4"/>
  <c r="BM102" i="4"/>
  <c r="BM103" i="4"/>
  <c r="BM125" i="4"/>
  <c r="BM77" i="4"/>
  <c r="BM78" i="4"/>
  <c r="BM79" i="4"/>
  <c r="BM80" i="4"/>
  <c r="BM30" i="4"/>
  <c r="BM34" i="4"/>
  <c r="BM35" i="4"/>
  <c r="BM40" i="4"/>
  <c r="BM41" i="4"/>
  <c r="BM63" i="4"/>
  <c r="BM64" i="4"/>
  <c r="BM65" i="4"/>
  <c r="BM66" i="4"/>
  <c r="BM20" i="4"/>
  <c r="BM21" i="4"/>
  <c r="BM22" i="4"/>
  <c r="BM23" i="4"/>
  <c r="BM682" i="4"/>
  <c r="BM755" i="4"/>
  <c r="BI678" i="4"/>
  <c r="BI679" i="4"/>
  <c r="BI670" i="4"/>
  <c r="BI665" i="4"/>
  <c r="BI660" i="4"/>
  <c r="BI654" i="4"/>
  <c r="BI650" i="4"/>
  <c r="BI671" i="4"/>
  <c r="BI642" i="4"/>
  <c r="BI638" i="4"/>
  <c r="BI634" i="4"/>
  <c r="BI643" i="4"/>
  <c r="BI628" i="4"/>
  <c r="BI622" i="4"/>
  <c r="BI617" i="4"/>
  <c r="BI610" i="4"/>
  <c r="BI604" i="4"/>
  <c r="BI599" i="4"/>
  <c r="BI594" i="4"/>
  <c r="BI586" i="4"/>
  <c r="BI580" i="4"/>
  <c r="BI574" i="4"/>
  <c r="BI567" i="4"/>
  <c r="BI629" i="4"/>
  <c r="BI560" i="4"/>
  <c r="BI561" i="4"/>
  <c r="BI680" i="4"/>
  <c r="BI681" i="4"/>
  <c r="BI548" i="4"/>
  <c r="BI549" i="4"/>
  <c r="BI550" i="4"/>
  <c r="BI551" i="4"/>
  <c r="BI538" i="4"/>
  <c r="BI539" i="4"/>
  <c r="BI529" i="4"/>
  <c r="BI525" i="4"/>
  <c r="BI521" i="4"/>
  <c r="BI517" i="4"/>
  <c r="BI512" i="4"/>
  <c r="BI530" i="4"/>
  <c r="BI505" i="4"/>
  <c r="BI501" i="4"/>
  <c r="BI495" i="4"/>
  <c r="BI489" i="4"/>
  <c r="BI506" i="4"/>
  <c r="BI483" i="4"/>
  <c r="BI484" i="4"/>
  <c r="BI540" i="4"/>
  <c r="BI541" i="4"/>
  <c r="BI472" i="4"/>
  <c r="BI473" i="4"/>
  <c r="BI466" i="4"/>
  <c r="BI457" i="4"/>
  <c r="BI453" i="4"/>
  <c r="BI467" i="4"/>
  <c r="BI446" i="4"/>
  <c r="BI438" i="4"/>
  <c r="BI447" i="4"/>
  <c r="BI428" i="4"/>
  <c r="BI424" i="4"/>
  <c r="BI417" i="4"/>
  <c r="BI404" i="4"/>
  <c r="BI429" i="4"/>
  <c r="BI391" i="4"/>
  <c r="BI387" i="4"/>
  <c r="BI378" i="4"/>
  <c r="BI392" i="4"/>
  <c r="BI474" i="4"/>
  <c r="BI475" i="4"/>
  <c r="BI366" i="4"/>
  <c r="BI367" i="4"/>
  <c r="BI360" i="4"/>
  <c r="BI361" i="4"/>
  <c r="BI368" i="4"/>
  <c r="BI369" i="4"/>
  <c r="BI349" i="4"/>
  <c r="BI350" i="4"/>
  <c r="BI351" i="4"/>
  <c r="BI337" i="4"/>
  <c r="BI331" i="4"/>
  <c r="BI324" i="4"/>
  <c r="BI315" i="4"/>
  <c r="BI338" i="4"/>
  <c r="BI339" i="4"/>
  <c r="BI304" i="4"/>
  <c r="BI295" i="4"/>
  <c r="BI290" i="4"/>
  <c r="BI305" i="4"/>
  <c r="BI306" i="4"/>
  <c r="BI352" i="4"/>
  <c r="BI275" i="4"/>
  <c r="BI271" i="4"/>
  <c r="BI267" i="4"/>
  <c r="BI276" i="4"/>
  <c r="BI260" i="4"/>
  <c r="BI254" i="4"/>
  <c r="BI247" i="4"/>
  <c r="BI261" i="4"/>
  <c r="BI277" i="4"/>
  <c r="BI278" i="4"/>
  <c r="BI233" i="4"/>
  <c r="BI228" i="4"/>
  <c r="BI234" i="4"/>
  <c r="BI222" i="4"/>
  <c r="BI218" i="4"/>
  <c r="BI223" i="4"/>
  <c r="BI235" i="4"/>
  <c r="BI236" i="4"/>
  <c r="BI201" i="4"/>
  <c r="BI197" i="4"/>
  <c r="BI202" i="4"/>
  <c r="BI187" i="4"/>
  <c r="BI188" i="4"/>
  <c r="BI203" i="4"/>
  <c r="BI179" i="4"/>
  <c r="BI174" i="4"/>
  <c r="BI180" i="4"/>
  <c r="BI164" i="4"/>
  <c r="BI159" i="4"/>
  <c r="BI153" i="4"/>
  <c r="BI165" i="4"/>
  <c r="BI143" i="4"/>
  <c r="BI136" i="4"/>
  <c r="BI144" i="4"/>
  <c r="BI181" i="4"/>
  <c r="BI204" i="4"/>
  <c r="BI122" i="4"/>
  <c r="BI123" i="4"/>
  <c r="BI124" i="4"/>
  <c r="BI114" i="4"/>
  <c r="BI115" i="4"/>
  <c r="BI116" i="4"/>
  <c r="BI101" i="4"/>
  <c r="BI89" i="4"/>
  <c r="BI102" i="4"/>
  <c r="BI103" i="4"/>
  <c r="BI125" i="4"/>
  <c r="BI77" i="4"/>
  <c r="BI78" i="4"/>
  <c r="BI79" i="4"/>
  <c r="BI80" i="4"/>
  <c r="BI30" i="4"/>
  <c r="BI34" i="4"/>
  <c r="BI35" i="4"/>
  <c r="BI40" i="4"/>
  <c r="BI41" i="4"/>
  <c r="BI63" i="4"/>
  <c r="BI64" i="4"/>
  <c r="BI65" i="4"/>
  <c r="BI66" i="4"/>
  <c r="BI20" i="4"/>
  <c r="BI21" i="4"/>
  <c r="BI22" i="4"/>
  <c r="BI23" i="4"/>
  <c r="BI682" i="4"/>
  <c r="BI755" i="4"/>
  <c r="BJ678" i="4"/>
  <c r="BJ679" i="4"/>
  <c r="BJ670" i="4"/>
  <c r="BJ665" i="4"/>
  <c r="BJ660" i="4"/>
  <c r="BJ654" i="4"/>
  <c r="BJ650" i="4"/>
  <c r="BJ671" i="4"/>
  <c r="BJ642" i="4"/>
  <c r="BJ638" i="4"/>
  <c r="BJ634" i="4"/>
  <c r="BJ643" i="4"/>
  <c r="BJ628" i="4"/>
  <c r="BJ622" i="4"/>
  <c r="BJ617" i="4"/>
  <c r="BJ610" i="4"/>
  <c r="BJ604" i="4"/>
  <c r="BJ599" i="4"/>
  <c r="BJ594" i="4"/>
  <c r="BJ586" i="4"/>
  <c r="BJ580" i="4"/>
  <c r="BJ574" i="4"/>
  <c r="BJ567" i="4"/>
  <c r="BJ629" i="4"/>
  <c r="BJ560" i="4"/>
  <c r="BJ561" i="4"/>
  <c r="BJ680" i="4"/>
  <c r="BJ681" i="4"/>
  <c r="BJ548" i="4"/>
  <c r="BJ549" i="4"/>
  <c r="BJ550" i="4"/>
  <c r="BJ551" i="4"/>
  <c r="BJ538" i="4"/>
  <c r="BJ539" i="4"/>
  <c r="BJ529" i="4"/>
  <c r="BJ525" i="4"/>
  <c r="BJ521" i="4"/>
  <c r="BJ517" i="4"/>
  <c r="BJ512" i="4"/>
  <c r="BJ530" i="4"/>
  <c r="BJ505" i="4"/>
  <c r="BJ501" i="4"/>
  <c r="BJ495" i="4"/>
  <c r="BJ489" i="4"/>
  <c r="BJ506" i="4"/>
  <c r="BJ483" i="4"/>
  <c r="BJ484" i="4"/>
  <c r="BJ540" i="4"/>
  <c r="BJ541" i="4"/>
  <c r="BJ472" i="4"/>
  <c r="BJ473" i="4"/>
  <c r="BJ466" i="4"/>
  <c r="BJ457" i="4"/>
  <c r="BJ453" i="4"/>
  <c r="BJ467" i="4"/>
  <c r="BJ446" i="4"/>
  <c r="BJ438" i="4"/>
  <c r="BJ447" i="4"/>
  <c r="BJ428" i="4"/>
  <c r="BJ424" i="4"/>
  <c r="BJ417" i="4"/>
  <c r="BJ404" i="4"/>
  <c r="BJ429" i="4"/>
  <c r="BJ391" i="4"/>
  <c r="BJ387" i="4"/>
  <c r="BJ378" i="4"/>
  <c r="BJ392" i="4"/>
  <c r="BJ474" i="4"/>
  <c r="BJ475" i="4"/>
  <c r="BJ366" i="4"/>
  <c r="BJ367" i="4"/>
  <c r="BJ360" i="4"/>
  <c r="BJ361" i="4"/>
  <c r="BJ368" i="4"/>
  <c r="BJ369" i="4"/>
  <c r="BJ349" i="4"/>
  <c r="BJ350" i="4"/>
  <c r="BJ351" i="4"/>
  <c r="BJ337" i="4"/>
  <c r="BJ331" i="4"/>
  <c r="BJ324" i="4"/>
  <c r="BJ315" i="4"/>
  <c r="BJ338" i="4"/>
  <c r="BJ339" i="4"/>
  <c r="BJ304" i="4"/>
  <c r="BJ295" i="4"/>
  <c r="BJ290" i="4"/>
  <c r="BJ305" i="4"/>
  <c r="BJ306" i="4"/>
  <c r="BJ352" i="4"/>
  <c r="BJ275" i="4"/>
  <c r="BJ271" i="4"/>
  <c r="BJ267" i="4"/>
  <c r="BJ276" i="4"/>
  <c r="BJ260" i="4"/>
  <c r="BJ254" i="4"/>
  <c r="BJ247" i="4"/>
  <c r="BJ261" i="4"/>
  <c r="BJ277" i="4"/>
  <c r="BJ278" i="4"/>
  <c r="BJ233" i="4"/>
  <c r="BJ228" i="4"/>
  <c r="BJ234" i="4"/>
  <c r="BJ222" i="4"/>
  <c r="BJ218" i="4"/>
  <c r="BJ223" i="4"/>
  <c r="BJ235" i="4"/>
  <c r="BJ236" i="4"/>
  <c r="BJ201" i="4"/>
  <c r="BJ197" i="4"/>
  <c r="BJ202" i="4"/>
  <c r="BJ187" i="4"/>
  <c r="BJ188" i="4"/>
  <c r="BJ203" i="4"/>
  <c r="BJ179" i="4"/>
  <c r="BJ174" i="4"/>
  <c r="BJ180" i="4"/>
  <c r="BJ164" i="4"/>
  <c r="BJ159" i="4"/>
  <c r="BJ153" i="4"/>
  <c r="BJ165" i="4"/>
  <c r="BJ143" i="4"/>
  <c r="BJ136" i="4"/>
  <c r="BJ144" i="4"/>
  <c r="BJ181" i="4"/>
  <c r="BJ204" i="4"/>
  <c r="BJ122" i="4"/>
  <c r="BJ123" i="4"/>
  <c r="BJ124" i="4"/>
  <c r="BJ114" i="4"/>
  <c r="BJ115" i="4"/>
  <c r="BJ116" i="4"/>
  <c r="BJ101" i="4"/>
  <c r="BJ89" i="4"/>
  <c r="BJ102" i="4"/>
  <c r="BJ103" i="4"/>
  <c r="BJ125" i="4"/>
  <c r="BJ77" i="4"/>
  <c r="BJ78" i="4"/>
  <c r="BJ79" i="4"/>
  <c r="BJ80" i="4"/>
  <c r="BJ30" i="4"/>
  <c r="BJ34" i="4"/>
  <c r="BJ35" i="4"/>
  <c r="BJ40" i="4"/>
  <c r="BJ41" i="4"/>
  <c r="BJ63" i="4"/>
  <c r="BJ64" i="4"/>
  <c r="BJ65" i="4"/>
  <c r="BJ66" i="4"/>
  <c r="BJ20" i="4"/>
  <c r="BJ21" i="4"/>
  <c r="BJ22" i="4"/>
  <c r="BJ23" i="4"/>
  <c r="BJ682" i="4"/>
  <c r="BJ755" i="4"/>
  <c r="BF678" i="4"/>
  <c r="BF679" i="4"/>
  <c r="BF670" i="4"/>
  <c r="BF665" i="4"/>
  <c r="BF660" i="4"/>
  <c r="BF654" i="4"/>
  <c r="BF650" i="4"/>
  <c r="BF671" i="4"/>
  <c r="BF642" i="4"/>
  <c r="BF638" i="4"/>
  <c r="BF634" i="4"/>
  <c r="BF643" i="4"/>
  <c r="BF628" i="4"/>
  <c r="BF622" i="4"/>
  <c r="BF617" i="4"/>
  <c r="BF610" i="4"/>
  <c r="BF604" i="4"/>
  <c r="BF599" i="4"/>
  <c r="BF594" i="4"/>
  <c r="BF586" i="4"/>
  <c r="BF580" i="4"/>
  <c r="BF574" i="4"/>
  <c r="BF567" i="4"/>
  <c r="BF629" i="4"/>
  <c r="BF560" i="4"/>
  <c r="BF561" i="4"/>
  <c r="BF680" i="4"/>
  <c r="BF681" i="4"/>
  <c r="BF548" i="4"/>
  <c r="BF549" i="4"/>
  <c r="BF550" i="4"/>
  <c r="BF551" i="4"/>
  <c r="BF538" i="4"/>
  <c r="BF539" i="4"/>
  <c r="BF529" i="4"/>
  <c r="BF525" i="4"/>
  <c r="BF521" i="4"/>
  <c r="BF517" i="4"/>
  <c r="BF512" i="4"/>
  <c r="BF530" i="4"/>
  <c r="BF505" i="4"/>
  <c r="BF501" i="4"/>
  <c r="BF495" i="4"/>
  <c r="BF489" i="4"/>
  <c r="BF506" i="4"/>
  <c r="BF483" i="4"/>
  <c r="BF484" i="4"/>
  <c r="BF540" i="4"/>
  <c r="BF541" i="4"/>
  <c r="BF472" i="4"/>
  <c r="BF473" i="4"/>
  <c r="BF466" i="4"/>
  <c r="BF457" i="4"/>
  <c r="BF453" i="4"/>
  <c r="BF467" i="4"/>
  <c r="BF446" i="4"/>
  <c r="BF438" i="4"/>
  <c r="BF447" i="4"/>
  <c r="BF428" i="4"/>
  <c r="BF424" i="4"/>
  <c r="BF417" i="4"/>
  <c r="BF404" i="4"/>
  <c r="BF429" i="4"/>
  <c r="BF391" i="4"/>
  <c r="BF387" i="4"/>
  <c r="BF378" i="4"/>
  <c r="BF392" i="4"/>
  <c r="BF474" i="4"/>
  <c r="BF475" i="4"/>
  <c r="BF366" i="4"/>
  <c r="BF367" i="4"/>
  <c r="BF360" i="4"/>
  <c r="BF361" i="4"/>
  <c r="BF368" i="4"/>
  <c r="BF369" i="4"/>
  <c r="BF349" i="4"/>
  <c r="BF350" i="4"/>
  <c r="BF351" i="4"/>
  <c r="BF337" i="4"/>
  <c r="BF331" i="4"/>
  <c r="BF324" i="4"/>
  <c r="BF315" i="4"/>
  <c r="BF338" i="4"/>
  <c r="BF339" i="4"/>
  <c r="BF304" i="4"/>
  <c r="BF295" i="4"/>
  <c r="BF290" i="4"/>
  <c r="BF305" i="4"/>
  <c r="BF306" i="4"/>
  <c r="BF352" i="4"/>
  <c r="BF275" i="4"/>
  <c r="BF271" i="4"/>
  <c r="BF267" i="4"/>
  <c r="BF276" i="4"/>
  <c r="BF260" i="4"/>
  <c r="BF254" i="4"/>
  <c r="BF247" i="4"/>
  <c r="BF261" i="4"/>
  <c r="BF277" i="4"/>
  <c r="BF278" i="4"/>
  <c r="BF233" i="4"/>
  <c r="BF228" i="4"/>
  <c r="BF234" i="4"/>
  <c r="BF222" i="4"/>
  <c r="BF218" i="4"/>
  <c r="BF223" i="4"/>
  <c r="BF235" i="4"/>
  <c r="BF236" i="4"/>
  <c r="BF201" i="4"/>
  <c r="BF197" i="4"/>
  <c r="BF202" i="4"/>
  <c r="BF187" i="4"/>
  <c r="BF188" i="4"/>
  <c r="BF203" i="4"/>
  <c r="BF179" i="4"/>
  <c r="BF174" i="4"/>
  <c r="BF180" i="4"/>
  <c r="BF164" i="4"/>
  <c r="BF159" i="4"/>
  <c r="BF153" i="4"/>
  <c r="BF165" i="4"/>
  <c r="BF143" i="4"/>
  <c r="BF136" i="4"/>
  <c r="BF144" i="4"/>
  <c r="BF181" i="4"/>
  <c r="BF204" i="4"/>
  <c r="BF122" i="4"/>
  <c r="BF123" i="4"/>
  <c r="BF124" i="4"/>
  <c r="BF114" i="4"/>
  <c r="BF115" i="4"/>
  <c r="BF116" i="4"/>
  <c r="BF101" i="4"/>
  <c r="BF89" i="4"/>
  <c r="BF102" i="4"/>
  <c r="BF103" i="4"/>
  <c r="BF125" i="4"/>
  <c r="BF77" i="4"/>
  <c r="BF78" i="4"/>
  <c r="BF79" i="4"/>
  <c r="BF80" i="4"/>
  <c r="BF30" i="4"/>
  <c r="BF34" i="4"/>
  <c r="BF35" i="4"/>
  <c r="BF40" i="4"/>
  <c r="BF41" i="4"/>
  <c r="BF63" i="4"/>
  <c r="BF64" i="4"/>
  <c r="BF65" i="4"/>
  <c r="BF66" i="4"/>
  <c r="BF20" i="4"/>
  <c r="BF21" i="4"/>
  <c r="BF22" i="4"/>
  <c r="BF23" i="4"/>
  <c r="BF682" i="4"/>
  <c r="BF755" i="4"/>
  <c r="BG678" i="4"/>
  <c r="BG679" i="4"/>
  <c r="BG670" i="4"/>
  <c r="BG665" i="4"/>
  <c r="BG660" i="4"/>
  <c r="BG654" i="4"/>
  <c r="BG650" i="4"/>
  <c r="BG671" i="4"/>
  <c r="BG642" i="4"/>
  <c r="BG638" i="4"/>
  <c r="BG634" i="4"/>
  <c r="BG643" i="4"/>
  <c r="BG628" i="4"/>
  <c r="BG622" i="4"/>
  <c r="BG617" i="4"/>
  <c r="BG610" i="4"/>
  <c r="BG604" i="4"/>
  <c r="BG599" i="4"/>
  <c r="BG594" i="4"/>
  <c r="BG586" i="4"/>
  <c r="BG580" i="4"/>
  <c r="BG574" i="4"/>
  <c r="BG567" i="4"/>
  <c r="BG629" i="4"/>
  <c r="BG560" i="4"/>
  <c r="BG561" i="4"/>
  <c r="BG680" i="4"/>
  <c r="BG681" i="4"/>
  <c r="BG548" i="4"/>
  <c r="BG549" i="4"/>
  <c r="BG550" i="4"/>
  <c r="BG551" i="4"/>
  <c r="BG538" i="4"/>
  <c r="BG539" i="4"/>
  <c r="BG529" i="4"/>
  <c r="BG525" i="4"/>
  <c r="BG521" i="4"/>
  <c r="BG517" i="4"/>
  <c r="BG512" i="4"/>
  <c r="BG530" i="4"/>
  <c r="BG505" i="4"/>
  <c r="BG501" i="4"/>
  <c r="BG495" i="4"/>
  <c r="BG489" i="4"/>
  <c r="BG506" i="4"/>
  <c r="BG483" i="4"/>
  <c r="BG484" i="4"/>
  <c r="BG540" i="4"/>
  <c r="BG541" i="4"/>
  <c r="BG472" i="4"/>
  <c r="BG473" i="4"/>
  <c r="BG466" i="4"/>
  <c r="BG457" i="4"/>
  <c r="BG453" i="4"/>
  <c r="BG467" i="4"/>
  <c r="BG446" i="4"/>
  <c r="BG438" i="4"/>
  <c r="BG447" i="4"/>
  <c r="BG428" i="4"/>
  <c r="BG424" i="4"/>
  <c r="BG417" i="4"/>
  <c r="BG404" i="4"/>
  <c r="BG429" i="4"/>
  <c r="BG391" i="4"/>
  <c r="BG387" i="4"/>
  <c r="BG378" i="4"/>
  <c r="BG392" i="4"/>
  <c r="BG474" i="4"/>
  <c r="BG475" i="4"/>
  <c r="BG366" i="4"/>
  <c r="BG367" i="4"/>
  <c r="BG360" i="4"/>
  <c r="BG361" i="4"/>
  <c r="BG368" i="4"/>
  <c r="BG369" i="4"/>
  <c r="BG349" i="4"/>
  <c r="BG350" i="4"/>
  <c r="BG351" i="4"/>
  <c r="BG337" i="4"/>
  <c r="BG331" i="4"/>
  <c r="BG324" i="4"/>
  <c r="BG315" i="4"/>
  <c r="BG338" i="4"/>
  <c r="BG339" i="4"/>
  <c r="BG304" i="4"/>
  <c r="BG295" i="4"/>
  <c r="BG290" i="4"/>
  <c r="BG305" i="4"/>
  <c r="BG306" i="4"/>
  <c r="BG352" i="4"/>
  <c r="BG275" i="4"/>
  <c r="BG271" i="4"/>
  <c r="BG267" i="4"/>
  <c r="BG276" i="4"/>
  <c r="BG260" i="4"/>
  <c r="BG254" i="4"/>
  <c r="BG247" i="4"/>
  <c r="BG261" i="4"/>
  <c r="BG277" i="4"/>
  <c r="BG278" i="4"/>
  <c r="BG233" i="4"/>
  <c r="BG228" i="4"/>
  <c r="BG234" i="4"/>
  <c r="BG222" i="4"/>
  <c r="BG218" i="4"/>
  <c r="BG223" i="4"/>
  <c r="BG235" i="4"/>
  <c r="BG236" i="4"/>
  <c r="BG201" i="4"/>
  <c r="BG197" i="4"/>
  <c r="BG202" i="4"/>
  <c r="BG187" i="4"/>
  <c r="BG188" i="4"/>
  <c r="BG203" i="4"/>
  <c r="BG179" i="4"/>
  <c r="BG174" i="4"/>
  <c r="BG180" i="4"/>
  <c r="BG164" i="4"/>
  <c r="BG159" i="4"/>
  <c r="BG153" i="4"/>
  <c r="BG165" i="4"/>
  <c r="BG143" i="4"/>
  <c r="BG136" i="4"/>
  <c r="BG144" i="4"/>
  <c r="BG181" i="4"/>
  <c r="BG204" i="4"/>
  <c r="BG122" i="4"/>
  <c r="BG123" i="4"/>
  <c r="BG124" i="4"/>
  <c r="BG114" i="4"/>
  <c r="BG115" i="4"/>
  <c r="BG116" i="4"/>
  <c r="BG101" i="4"/>
  <c r="BG89" i="4"/>
  <c r="BG102" i="4"/>
  <c r="BG103" i="4"/>
  <c r="BG125" i="4"/>
  <c r="BG77" i="4"/>
  <c r="BG78" i="4"/>
  <c r="BG79" i="4"/>
  <c r="BG80" i="4"/>
  <c r="BG30" i="4"/>
  <c r="BG34" i="4"/>
  <c r="BG35" i="4"/>
  <c r="BG40" i="4"/>
  <c r="BG41" i="4"/>
  <c r="BG63" i="4"/>
  <c r="BG64" i="4"/>
  <c r="BG65" i="4"/>
  <c r="BG66" i="4"/>
  <c r="BG20" i="4"/>
  <c r="BG21" i="4"/>
  <c r="BG22" i="4"/>
  <c r="BG23" i="4"/>
  <c r="BG682" i="4"/>
  <c r="BG755" i="4"/>
  <c r="K16" i="6"/>
  <c r="L10" i="6"/>
  <c r="BW678" i="4"/>
  <c r="BW679" i="4"/>
  <c r="BT678" i="4"/>
  <c r="BT679" i="4"/>
  <c r="BQ678" i="4"/>
  <c r="BQ679" i="4"/>
  <c r="BN678" i="4"/>
  <c r="BN679" i="4"/>
  <c r="BH678" i="4"/>
  <c r="BH679" i="4"/>
  <c r="BE678" i="4"/>
  <c r="BE679" i="4"/>
  <c r="BD678" i="4"/>
  <c r="BD679" i="4"/>
  <c r="BC678" i="4"/>
  <c r="BC679" i="4"/>
  <c r="BB678" i="4"/>
  <c r="BB679" i="4"/>
  <c r="BA678" i="4"/>
  <c r="BA679" i="4"/>
  <c r="AZ678" i="4"/>
  <c r="AZ679" i="4"/>
  <c r="AY678" i="4"/>
  <c r="AY679" i="4"/>
  <c r="AV678" i="4"/>
  <c r="AV679" i="4"/>
  <c r="AS678" i="4"/>
  <c r="AS679" i="4"/>
  <c r="AP678" i="4"/>
  <c r="AP679" i="4"/>
  <c r="AM678" i="4"/>
  <c r="AM679" i="4"/>
  <c r="AJ678" i="4"/>
  <c r="AJ679" i="4"/>
  <c r="AG678" i="4"/>
  <c r="AG679" i="4"/>
  <c r="AD678" i="4"/>
  <c r="AD679" i="4"/>
  <c r="AA678" i="4"/>
  <c r="AA679" i="4"/>
  <c r="X678" i="4"/>
  <c r="X679" i="4"/>
  <c r="U678" i="4"/>
  <c r="U679" i="4"/>
  <c r="R678" i="4"/>
  <c r="R679" i="4"/>
  <c r="BW670" i="4"/>
  <c r="BT670" i="4"/>
  <c r="BQ670" i="4"/>
  <c r="BN670" i="4"/>
  <c r="BH670" i="4"/>
  <c r="BE670" i="4"/>
  <c r="BD670" i="4"/>
  <c r="BC670" i="4"/>
  <c r="BB670" i="4"/>
  <c r="BA670" i="4"/>
  <c r="AZ670" i="4"/>
  <c r="AY670" i="4"/>
  <c r="AV670" i="4"/>
  <c r="AS670" i="4"/>
  <c r="AP670" i="4"/>
  <c r="AM670" i="4"/>
  <c r="AJ670" i="4"/>
  <c r="AG670" i="4"/>
  <c r="AD670" i="4"/>
  <c r="AA670" i="4"/>
  <c r="X670" i="4"/>
  <c r="U670" i="4"/>
  <c r="R670" i="4"/>
  <c r="BW665" i="4"/>
  <c r="BT665" i="4"/>
  <c r="BQ665" i="4"/>
  <c r="BN665" i="4"/>
  <c r="BK665" i="4"/>
  <c r="BH665" i="4"/>
  <c r="BE665" i="4"/>
  <c r="BD665" i="4"/>
  <c r="BC665" i="4"/>
  <c r="BB665" i="4"/>
  <c r="BA665" i="4"/>
  <c r="AZ665" i="4"/>
  <c r="AY665" i="4"/>
  <c r="AV665" i="4"/>
  <c r="AS665" i="4"/>
  <c r="AP665" i="4"/>
  <c r="AM665" i="4"/>
  <c r="AJ665" i="4"/>
  <c r="AG665" i="4"/>
  <c r="AD665" i="4"/>
  <c r="AA665" i="4"/>
  <c r="X665" i="4"/>
  <c r="U665" i="4"/>
  <c r="R665" i="4"/>
  <c r="BW660" i="4"/>
  <c r="BT660" i="4"/>
  <c r="BQ660" i="4"/>
  <c r="BN660" i="4"/>
  <c r="BH660" i="4"/>
  <c r="BE660" i="4"/>
  <c r="BD660" i="4"/>
  <c r="BC660" i="4"/>
  <c r="BB660" i="4"/>
  <c r="BA660" i="4"/>
  <c r="AZ660" i="4"/>
  <c r="AY660" i="4"/>
  <c r="AV660" i="4"/>
  <c r="AS660" i="4"/>
  <c r="AP660" i="4"/>
  <c r="AM660" i="4"/>
  <c r="AJ660" i="4"/>
  <c r="AG660" i="4"/>
  <c r="AD660" i="4"/>
  <c r="AA660" i="4"/>
  <c r="X660" i="4"/>
  <c r="U660" i="4"/>
  <c r="R660" i="4"/>
  <c r="BW654" i="4"/>
  <c r="BT654" i="4"/>
  <c r="BQ654" i="4"/>
  <c r="BN654" i="4"/>
  <c r="BK654" i="4"/>
  <c r="BH654" i="4"/>
  <c r="BE654" i="4"/>
  <c r="BD654" i="4"/>
  <c r="BC654" i="4"/>
  <c r="BB654" i="4"/>
  <c r="BA654" i="4"/>
  <c r="AZ654" i="4"/>
  <c r="AY654" i="4"/>
  <c r="AV654" i="4"/>
  <c r="AS654" i="4"/>
  <c r="AP654" i="4"/>
  <c r="AM654" i="4"/>
  <c r="AJ654" i="4"/>
  <c r="AG654" i="4"/>
  <c r="AD654" i="4"/>
  <c r="AA654" i="4"/>
  <c r="X654" i="4"/>
  <c r="U654" i="4"/>
  <c r="R654" i="4"/>
  <c r="BT650" i="4"/>
  <c r="BQ650" i="4"/>
  <c r="BN650" i="4"/>
  <c r="BK650" i="4"/>
  <c r="BH650" i="4"/>
  <c r="BE650" i="4"/>
  <c r="BD650" i="4"/>
  <c r="BC650" i="4"/>
  <c r="BB650" i="4"/>
  <c r="BA650" i="4"/>
  <c r="AZ650" i="4"/>
  <c r="AY650" i="4"/>
  <c r="AV650" i="4"/>
  <c r="AM650" i="4"/>
  <c r="AJ650" i="4"/>
  <c r="AG650" i="4"/>
  <c r="AD650" i="4"/>
  <c r="AA650" i="4"/>
  <c r="X650" i="4"/>
  <c r="U650" i="4"/>
  <c r="R650" i="4"/>
  <c r="BW642" i="4"/>
  <c r="BT642" i="4"/>
  <c r="BQ642" i="4"/>
  <c r="BN642" i="4"/>
  <c r="BK642" i="4"/>
  <c r="BH642" i="4"/>
  <c r="BE642" i="4"/>
  <c r="BD642" i="4"/>
  <c r="BC642" i="4"/>
  <c r="BB642" i="4"/>
  <c r="BA642" i="4"/>
  <c r="AZ642" i="4"/>
  <c r="AY642" i="4"/>
  <c r="AV642" i="4"/>
  <c r="AP642" i="4"/>
  <c r="AM642" i="4"/>
  <c r="AJ642" i="4"/>
  <c r="AG642" i="4"/>
  <c r="AD642" i="4"/>
  <c r="AA642" i="4"/>
  <c r="X642" i="4"/>
  <c r="U642" i="4"/>
  <c r="R642" i="4"/>
  <c r="BW638" i="4"/>
  <c r="BT638" i="4"/>
  <c r="BQ638" i="4"/>
  <c r="BN638" i="4"/>
  <c r="BK638" i="4"/>
  <c r="BH638" i="4"/>
  <c r="BE638" i="4"/>
  <c r="BD638" i="4"/>
  <c r="BC638" i="4"/>
  <c r="BB638" i="4"/>
  <c r="BA638" i="4"/>
  <c r="AZ638" i="4"/>
  <c r="AY638" i="4"/>
  <c r="AV638" i="4"/>
  <c r="AP638" i="4"/>
  <c r="AM638" i="4"/>
  <c r="AJ638" i="4"/>
  <c r="AG638" i="4"/>
  <c r="AD638" i="4"/>
  <c r="AA638" i="4"/>
  <c r="X638" i="4"/>
  <c r="U638" i="4"/>
  <c r="R638" i="4"/>
  <c r="BW634" i="4"/>
  <c r="BT634" i="4"/>
  <c r="BQ634" i="4"/>
  <c r="BN634" i="4"/>
  <c r="BK634" i="4"/>
  <c r="BH634" i="4"/>
  <c r="BE634" i="4"/>
  <c r="BD634" i="4"/>
  <c r="BC634" i="4"/>
  <c r="BB634" i="4"/>
  <c r="BA634" i="4"/>
  <c r="AZ634" i="4"/>
  <c r="AY634" i="4"/>
  <c r="AV634" i="4"/>
  <c r="AS634" i="4"/>
  <c r="AP634" i="4"/>
  <c r="AM634" i="4"/>
  <c r="AJ634" i="4"/>
  <c r="AG634" i="4"/>
  <c r="AD634" i="4"/>
  <c r="AA634" i="4"/>
  <c r="X634" i="4"/>
  <c r="U634" i="4"/>
  <c r="R634" i="4"/>
  <c r="BW628" i="4"/>
  <c r="BT628" i="4"/>
  <c r="BQ628" i="4"/>
  <c r="BN628" i="4"/>
  <c r="BK628" i="4"/>
  <c r="BH628" i="4"/>
  <c r="BE628" i="4"/>
  <c r="BD628" i="4"/>
  <c r="BC628" i="4"/>
  <c r="BB628" i="4"/>
  <c r="BA628" i="4"/>
  <c r="AZ628" i="4"/>
  <c r="AY628" i="4"/>
  <c r="AV628" i="4"/>
  <c r="AS628" i="4"/>
  <c r="AP628" i="4"/>
  <c r="AJ628" i="4"/>
  <c r="AG628" i="4"/>
  <c r="AD628" i="4"/>
  <c r="AA628" i="4"/>
  <c r="X628" i="4"/>
  <c r="U628" i="4"/>
  <c r="R628" i="4"/>
  <c r="BW622" i="4"/>
  <c r="BT622" i="4"/>
  <c r="BQ622" i="4"/>
  <c r="BN622" i="4"/>
  <c r="BK622" i="4"/>
  <c r="BH622" i="4"/>
  <c r="BE622" i="4"/>
  <c r="BD622" i="4"/>
  <c r="BC622" i="4"/>
  <c r="BB622" i="4"/>
  <c r="BA622" i="4"/>
  <c r="AZ622" i="4"/>
  <c r="AY622" i="4"/>
  <c r="AV622" i="4"/>
  <c r="AS622" i="4"/>
  <c r="AP622" i="4"/>
  <c r="AJ622" i="4"/>
  <c r="AG622" i="4"/>
  <c r="AD622" i="4"/>
  <c r="AA622" i="4"/>
  <c r="X622" i="4"/>
  <c r="U622" i="4"/>
  <c r="R622" i="4"/>
  <c r="BW617" i="4"/>
  <c r="BT617" i="4"/>
  <c r="BQ617" i="4"/>
  <c r="BN617" i="4"/>
  <c r="BK617" i="4"/>
  <c r="BH617" i="4"/>
  <c r="BE617" i="4"/>
  <c r="BD617" i="4"/>
  <c r="BC617" i="4"/>
  <c r="BB617" i="4"/>
  <c r="BA617" i="4"/>
  <c r="AZ617" i="4"/>
  <c r="AY617" i="4"/>
  <c r="AV617" i="4"/>
  <c r="AS617" i="4"/>
  <c r="AP617" i="4"/>
  <c r="AJ617" i="4"/>
  <c r="AG617" i="4"/>
  <c r="AD617" i="4"/>
  <c r="AA617" i="4"/>
  <c r="X617" i="4"/>
  <c r="U617" i="4"/>
  <c r="R617" i="4"/>
  <c r="BW610" i="4"/>
  <c r="BT610" i="4"/>
  <c r="BQ610" i="4"/>
  <c r="BN610" i="4"/>
  <c r="BK610" i="4"/>
  <c r="BH610" i="4"/>
  <c r="BE610" i="4"/>
  <c r="BD610" i="4"/>
  <c r="BC610" i="4"/>
  <c r="BB610" i="4"/>
  <c r="BA610" i="4"/>
  <c r="AZ610" i="4"/>
  <c r="AY610" i="4"/>
  <c r="AS610" i="4"/>
  <c r="AP610" i="4"/>
  <c r="AJ610" i="4"/>
  <c r="AG610" i="4"/>
  <c r="AD610" i="4"/>
  <c r="AA610" i="4"/>
  <c r="X610" i="4"/>
  <c r="U610" i="4"/>
  <c r="R610" i="4"/>
  <c r="BW604" i="4"/>
  <c r="BT604" i="4"/>
  <c r="BQ604" i="4"/>
  <c r="BN604" i="4"/>
  <c r="BK604" i="4"/>
  <c r="BH604" i="4"/>
  <c r="BE604" i="4"/>
  <c r="BD604" i="4"/>
  <c r="BC604" i="4"/>
  <c r="BB604" i="4"/>
  <c r="BA604" i="4"/>
  <c r="AZ604" i="4"/>
  <c r="AY604" i="4"/>
  <c r="AV604" i="4"/>
  <c r="AS604" i="4"/>
  <c r="AP604" i="4"/>
  <c r="AM604" i="4"/>
  <c r="AJ604" i="4"/>
  <c r="AG604" i="4"/>
  <c r="AD604" i="4"/>
  <c r="AA604" i="4"/>
  <c r="X604" i="4"/>
  <c r="U604" i="4"/>
  <c r="R604" i="4"/>
  <c r="BW599" i="4"/>
  <c r="BT599" i="4"/>
  <c r="BQ599" i="4"/>
  <c r="BN599" i="4"/>
  <c r="BK599" i="4"/>
  <c r="BH599" i="4"/>
  <c r="BE599" i="4"/>
  <c r="BD599" i="4"/>
  <c r="BC599" i="4"/>
  <c r="BB599" i="4"/>
  <c r="BA599" i="4"/>
  <c r="AZ599" i="4"/>
  <c r="AY599" i="4"/>
  <c r="AV599" i="4"/>
  <c r="AS599" i="4"/>
  <c r="AP599" i="4"/>
  <c r="AM599" i="4"/>
  <c r="AJ599" i="4"/>
  <c r="AG599" i="4"/>
  <c r="AD599" i="4"/>
  <c r="AA599" i="4"/>
  <c r="X599" i="4"/>
  <c r="U599" i="4"/>
  <c r="R599" i="4"/>
  <c r="BT594" i="4"/>
  <c r="BQ594" i="4"/>
  <c r="BN594" i="4"/>
  <c r="BK594" i="4"/>
  <c r="BH594" i="4"/>
  <c r="BE594" i="4"/>
  <c r="BD594" i="4"/>
  <c r="BC594" i="4"/>
  <c r="BB594" i="4"/>
  <c r="BA594" i="4"/>
  <c r="AZ594" i="4"/>
  <c r="AY594" i="4"/>
  <c r="AV594" i="4"/>
  <c r="AS594" i="4"/>
  <c r="AP594" i="4"/>
  <c r="AJ594" i="4"/>
  <c r="AG594" i="4"/>
  <c r="AD594" i="4"/>
  <c r="AA594" i="4"/>
  <c r="X594" i="4"/>
  <c r="U594" i="4"/>
  <c r="R594" i="4"/>
  <c r="BW586" i="4"/>
  <c r="BT586" i="4"/>
  <c r="BQ586" i="4"/>
  <c r="BN586" i="4"/>
  <c r="BK586" i="4"/>
  <c r="BH586" i="4"/>
  <c r="BE586" i="4"/>
  <c r="BD586" i="4"/>
  <c r="BC586" i="4"/>
  <c r="BB586" i="4"/>
  <c r="BA586" i="4"/>
  <c r="AZ586" i="4"/>
  <c r="AY586" i="4"/>
  <c r="AV586" i="4"/>
  <c r="AS586" i="4"/>
  <c r="AP586" i="4"/>
  <c r="AM586" i="4"/>
  <c r="AJ586" i="4"/>
  <c r="AG586" i="4"/>
  <c r="AD586" i="4"/>
  <c r="AA586" i="4"/>
  <c r="X586" i="4"/>
  <c r="U586" i="4"/>
  <c r="R586" i="4"/>
  <c r="BW580" i="4"/>
  <c r="BT580" i="4"/>
  <c r="BQ580" i="4"/>
  <c r="BN580" i="4"/>
  <c r="BK580" i="4"/>
  <c r="BH580" i="4"/>
  <c r="BE580" i="4"/>
  <c r="BD580" i="4"/>
  <c r="BC580" i="4"/>
  <c r="BB580" i="4"/>
  <c r="BA580" i="4"/>
  <c r="AZ580" i="4"/>
  <c r="AY580" i="4"/>
  <c r="AV580" i="4"/>
  <c r="AS580" i="4"/>
  <c r="AP580" i="4"/>
  <c r="AJ580" i="4"/>
  <c r="AG580" i="4"/>
  <c r="AD580" i="4"/>
  <c r="AA580" i="4"/>
  <c r="X580" i="4"/>
  <c r="U580" i="4"/>
  <c r="R580" i="4"/>
  <c r="BW574" i="4"/>
  <c r="BT574" i="4"/>
  <c r="BQ574" i="4"/>
  <c r="BN574" i="4"/>
  <c r="BK574" i="4"/>
  <c r="BH574" i="4"/>
  <c r="BE574" i="4"/>
  <c r="BD574" i="4"/>
  <c r="BC574" i="4"/>
  <c r="BB574" i="4"/>
  <c r="BA574" i="4"/>
  <c r="AZ574" i="4"/>
  <c r="AY574" i="4"/>
  <c r="AV574" i="4"/>
  <c r="AS574" i="4"/>
  <c r="AP574" i="4"/>
  <c r="AM574" i="4"/>
  <c r="AJ574" i="4"/>
  <c r="AG574" i="4"/>
  <c r="AD574" i="4"/>
  <c r="AA574" i="4"/>
  <c r="X574" i="4"/>
  <c r="U574" i="4"/>
  <c r="R574" i="4"/>
  <c r="BW567" i="4"/>
  <c r="BT567" i="4"/>
  <c r="BQ567" i="4"/>
  <c r="BN567" i="4"/>
  <c r="BK567" i="4"/>
  <c r="BH567" i="4"/>
  <c r="BE567" i="4"/>
  <c r="BD567" i="4"/>
  <c r="BC567" i="4"/>
  <c r="BB567" i="4"/>
  <c r="BA567" i="4"/>
  <c r="AZ567" i="4"/>
  <c r="AY567" i="4"/>
  <c r="AV567" i="4"/>
  <c r="AS567" i="4"/>
  <c r="AP567" i="4"/>
  <c r="AM567" i="4"/>
  <c r="AJ567" i="4"/>
  <c r="AG567" i="4"/>
  <c r="AD567" i="4"/>
  <c r="AA567" i="4"/>
  <c r="X567" i="4"/>
  <c r="U567" i="4"/>
  <c r="R567" i="4"/>
  <c r="BW560" i="4"/>
  <c r="BW561" i="4"/>
  <c r="BT560" i="4"/>
  <c r="BT561" i="4"/>
  <c r="BQ560" i="4"/>
  <c r="BQ561" i="4"/>
  <c r="BN560" i="4"/>
  <c r="BN561" i="4"/>
  <c r="BK560" i="4"/>
  <c r="BK561" i="4"/>
  <c r="BH560" i="4"/>
  <c r="BH561" i="4"/>
  <c r="BE560" i="4"/>
  <c r="BE561" i="4"/>
  <c r="BD560" i="4"/>
  <c r="BD561" i="4"/>
  <c r="BC560" i="4"/>
  <c r="BC561" i="4"/>
  <c r="BB560" i="4"/>
  <c r="BB561" i="4"/>
  <c r="BA560" i="4"/>
  <c r="BA561" i="4"/>
  <c r="AZ560" i="4"/>
  <c r="AZ561" i="4"/>
  <c r="AY560" i="4"/>
  <c r="AY561" i="4"/>
  <c r="AV560" i="4"/>
  <c r="AV561" i="4"/>
  <c r="AS560" i="4"/>
  <c r="AS561" i="4"/>
  <c r="AP560" i="4"/>
  <c r="AP561" i="4"/>
  <c r="AJ560" i="4"/>
  <c r="AJ561" i="4"/>
  <c r="AG560" i="4"/>
  <c r="AG561" i="4"/>
  <c r="AD560" i="4"/>
  <c r="AD561" i="4"/>
  <c r="AA560" i="4"/>
  <c r="AA561" i="4"/>
  <c r="X560" i="4"/>
  <c r="X561" i="4"/>
  <c r="U560" i="4"/>
  <c r="U561" i="4"/>
  <c r="R560" i="4"/>
  <c r="R561" i="4"/>
  <c r="BW548" i="4"/>
  <c r="BW549" i="4"/>
  <c r="BW550" i="4"/>
  <c r="BW551" i="4"/>
  <c r="BT548" i="4"/>
  <c r="BT549" i="4"/>
  <c r="BT550" i="4"/>
  <c r="BT551" i="4"/>
  <c r="BQ548" i="4"/>
  <c r="BQ549" i="4"/>
  <c r="BQ550" i="4"/>
  <c r="BQ551" i="4"/>
  <c r="BN548" i="4"/>
  <c r="BN549" i="4"/>
  <c r="BN550" i="4"/>
  <c r="BN551" i="4"/>
  <c r="BK548" i="4"/>
  <c r="BK549" i="4"/>
  <c r="BK550" i="4"/>
  <c r="BK551" i="4"/>
  <c r="BH548" i="4"/>
  <c r="BH549" i="4"/>
  <c r="BH550" i="4"/>
  <c r="BH551" i="4"/>
  <c r="BE548" i="4"/>
  <c r="BE549" i="4"/>
  <c r="BE550" i="4"/>
  <c r="BE551" i="4"/>
  <c r="BD548" i="4"/>
  <c r="BD549" i="4"/>
  <c r="BD550" i="4"/>
  <c r="BD551" i="4"/>
  <c r="BC548" i="4"/>
  <c r="BC549" i="4"/>
  <c r="BC550" i="4"/>
  <c r="BC551" i="4"/>
  <c r="BB548" i="4"/>
  <c r="BB549" i="4"/>
  <c r="BB550" i="4"/>
  <c r="BB551" i="4"/>
  <c r="BA548" i="4"/>
  <c r="BA549" i="4"/>
  <c r="BA550" i="4"/>
  <c r="BA551" i="4"/>
  <c r="AZ548" i="4"/>
  <c r="AZ549" i="4"/>
  <c r="AZ550" i="4"/>
  <c r="AZ551" i="4"/>
  <c r="AY548" i="4"/>
  <c r="AY549" i="4"/>
  <c r="AY550" i="4"/>
  <c r="AY551" i="4"/>
  <c r="AV548" i="4"/>
  <c r="AV549" i="4"/>
  <c r="AV550" i="4"/>
  <c r="AV551" i="4"/>
  <c r="AS548" i="4"/>
  <c r="AS549" i="4"/>
  <c r="AS550" i="4"/>
  <c r="AS551" i="4"/>
  <c r="AP548" i="4"/>
  <c r="AP549" i="4"/>
  <c r="AP550" i="4"/>
  <c r="AP551" i="4"/>
  <c r="AM548" i="4"/>
  <c r="AM549" i="4"/>
  <c r="AM550" i="4"/>
  <c r="AM551" i="4"/>
  <c r="AJ548" i="4"/>
  <c r="AJ549" i="4"/>
  <c r="AJ550" i="4"/>
  <c r="AJ551" i="4"/>
  <c r="AG548" i="4"/>
  <c r="AG549" i="4"/>
  <c r="AG550" i="4"/>
  <c r="AG551" i="4"/>
  <c r="AD548" i="4"/>
  <c r="AD549" i="4"/>
  <c r="AD550" i="4"/>
  <c r="AD551" i="4"/>
  <c r="AA548" i="4"/>
  <c r="AA549" i="4"/>
  <c r="AA550" i="4"/>
  <c r="AA551" i="4"/>
  <c r="X548" i="4"/>
  <c r="X549" i="4"/>
  <c r="X550" i="4"/>
  <c r="X551" i="4"/>
  <c r="U548" i="4"/>
  <c r="U549" i="4"/>
  <c r="U550" i="4"/>
  <c r="U551" i="4"/>
  <c r="R548" i="4"/>
  <c r="R549" i="4"/>
  <c r="R550" i="4"/>
  <c r="R551" i="4"/>
  <c r="BW538" i="4"/>
  <c r="BW539" i="4"/>
  <c r="BT538" i="4"/>
  <c r="BT539" i="4"/>
  <c r="BQ538" i="4"/>
  <c r="BQ539" i="4"/>
  <c r="BN538" i="4"/>
  <c r="BN539" i="4"/>
  <c r="BH538" i="4"/>
  <c r="BH539" i="4"/>
  <c r="BE538" i="4"/>
  <c r="BE539" i="4"/>
  <c r="BD538" i="4"/>
  <c r="BD539" i="4"/>
  <c r="BC538" i="4"/>
  <c r="BC539" i="4"/>
  <c r="BB538" i="4"/>
  <c r="BB539" i="4"/>
  <c r="BA538" i="4"/>
  <c r="BA539" i="4"/>
  <c r="AZ538" i="4"/>
  <c r="AZ539" i="4"/>
  <c r="AY538" i="4"/>
  <c r="AY539" i="4"/>
  <c r="AV538" i="4"/>
  <c r="AV539" i="4"/>
  <c r="AS538" i="4"/>
  <c r="AS539" i="4"/>
  <c r="AP538" i="4"/>
  <c r="AP539" i="4"/>
  <c r="AM538" i="4"/>
  <c r="AM539" i="4"/>
  <c r="AJ538" i="4"/>
  <c r="AJ539" i="4"/>
  <c r="AG538" i="4"/>
  <c r="AG539" i="4"/>
  <c r="AD538" i="4"/>
  <c r="AD539" i="4"/>
  <c r="AA538" i="4"/>
  <c r="AA539" i="4"/>
  <c r="X538" i="4"/>
  <c r="X539" i="4"/>
  <c r="R538" i="4"/>
  <c r="R539" i="4"/>
  <c r="BW529" i="4"/>
  <c r="BT529" i="4"/>
  <c r="BQ529" i="4"/>
  <c r="BN529" i="4"/>
  <c r="BH529" i="4"/>
  <c r="BE529" i="4"/>
  <c r="BD529" i="4"/>
  <c r="BC529" i="4"/>
  <c r="BB529" i="4"/>
  <c r="BA529" i="4"/>
  <c r="AZ529" i="4"/>
  <c r="AY529" i="4"/>
  <c r="AV529" i="4"/>
  <c r="AS529" i="4"/>
  <c r="AP529" i="4"/>
  <c r="AM529" i="4"/>
  <c r="AJ529" i="4"/>
  <c r="AG529" i="4"/>
  <c r="AD529" i="4"/>
  <c r="AA529" i="4"/>
  <c r="X529" i="4"/>
  <c r="U529" i="4"/>
  <c r="R529" i="4"/>
  <c r="BW525" i="4"/>
  <c r="BT525" i="4"/>
  <c r="BQ525" i="4"/>
  <c r="BN525" i="4"/>
  <c r="BH525" i="4"/>
  <c r="BE525" i="4"/>
  <c r="BD525" i="4"/>
  <c r="BC525" i="4"/>
  <c r="BB525" i="4"/>
  <c r="BA525" i="4"/>
  <c r="AZ525" i="4"/>
  <c r="AY525" i="4"/>
  <c r="AV525" i="4"/>
  <c r="AS525" i="4"/>
  <c r="AP525" i="4"/>
  <c r="AM525" i="4"/>
  <c r="AJ525" i="4"/>
  <c r="AG525" i="4"/>
  <c r="AD525" i="4"/>
  <c r="AA525" i="4"/>
  <c r="X525" i="4"/>
  <c r="U525" i="4"/>
  <c r="R525" i="4"/>
  <c r="BW521" i="4"/>
  <c r="BT521" i="4"/>
  <c r="BQ521" i="4"/>
  <c r="BN521" i="4"/>
  <c r="BH521" i="4"/>
  <c r="BE521" i="4"/>
  <c r="BD521" i="4"/>
  <c r="BC521" i="4"/>
  <c r="BB521" i="4"/>
  <c r="BA521" i="4"/>
  <c r="AZ521" i="4"/>
  <c r="AY521" i="4"/>
  <c r="AV521" i="4"/>
  <c r="AS521" i="4"/>
  <c r="AP521" i="4"/>
  <c r="AM521" i="4"/>
  <c r="AJ521" i="4"/>
  <c r="AG521" i="4"/>
  <c r="AD521" i="4"/>
  <c r="AA521" i="4"/>
  <c r="X521" i="4"/>
  <c r="U521" i="4"/>
  <c r="R521" i="4"/>
  <c r="BW517" i="4"/>
  <c r="BT517" i="4"/>
  <c r="BQ517" i="4"/>
  <c r="BN517" i="4"/>
  <c r="BH517" i="4"/>
  <c r="BE517" i="4"/>
  <c r="BD517" i="4"/>
  <c r="BC517" i="4"/>
  <c r="BB517" i="4"/>
  <c r="BA517" i="4"/>
  <c r="AZ517" i="4"/>
  <c r="AY517" i="4"/>
  <c r="AV517" i="4"/>
  <c r="AS517" i="4"/>
  <c r="AP517" i="4"/>
  <c r="AM517" i="4"/>
  <c r="AJ517" i="4"/>
  <c r="AG517" i="4"/>
  <c r="AD517" i="4"/>
  <c r="AA517" i="4"/>
  <c r="X517" i="4"/>
  <c r="U517" i="4"/>
  <c r="R517" i="4"/>
  <c r="BW512" i="4"/>
  <c r="BT512" i="4"/>
  <c r="BQ512" i="4"/>
  <c r="BN512" i="4"/>
  <c r="BH512" i="4"/>
  <c r="BE512" i="4"/>
  <c r="BD512" i="4"/>
  <c r="BC512" i="4"/>
  <c r="BB512" i="4"/>
  <c r="BA512" i="4"/>
  <c r="AZ512" i="4"/>
  <c r="AY512" i="4"/>
  <c r="AV512" i="4"/>
  <c r="AS512" i="4"/>
  <c r="AP512" i="4"/>
  <c r="AM512" i="4"/>
  <c r="AJ512" i="4"/>
  <c r="AG512" i="4"/>
  <c r="AD512" i="4"/>
  <c r="AA512" i="4"/>
  <c r="X512" i="4"/>
  <c r="U512" i="4"/>
  <c r="R512" i="4"/>
  <c r="BW505" i="4"/>
  <c r="BT505" i="4"/>
  <c r="BQ505" i="4"/>
  <c r="BN505" i="4"/>
  <c r="BH505" i="4"/>
  <c r="BE505" i="4"/>
  <c r="BD505" i="4"/>
  <c r="BC505" i="4"/>
  <c r="BB505" i="4"/>
  <c r="BA505" i="4"/>
  <c r="AZ505" i="4"/>
  <c r="AY505" i="4"/>
  <c r="AV505" i="4"/>
  <c r="AS505" i="4"/>
  <c r="AP505" i="4"/>
  <c r="AM505" i="4"/>
  <c r="AJ505" i="4"/>
  <c r="AG505" i="4"/>
  <c r="AD505" i="4"/>
  <c r="AA505" i="4"/>
  <c r="X505" i="4"/>
  <c r="U505" i="4"/>
  <c r="R505" i="4"/>
  <c r="BW501" i="4"/>
  <c r="BT501" i="4"/>
  <c r="BQ501" i="4"/>
  <c r="BN501" i="4"/>
  <c r="BH501" i="4"/>
  <c r="BE501" i="4"/>
  <c r="BD501" i="4"/>
  <c r="BC501" i="4"/>
  <c r="BB501" i="4"/>
  <c r="BA501" i="4"/>
  <c r="AZ501" i="4"/>
  <c r="AY501" i="4"/>
  <c r="AV501" i="4"/>
  <c r="AS501" i="4"/>
  <c r="AP501" i="4"/>
  <c r="AM501" i="4"/>
  <c r="AJ501" i="4"/>
  <c r="AG501" i="4"/>
  <c r="AD501" i="4"/>
  <c r="AA501" i="4"/>
  <c r="X501" i="4"/>
  <c r="U501" i="4"/>
  <c r="R501" i="4"/>
  <c r="BW495" i="4"/>
  <c r="BT495" i="4"/>
  <c r="BQ495" i="4"/>
  <c r="BN495" i="4"/>
  <c r="BH495" i="4"/>
  <c r="BE495" i="4"/>
  <c r="BD495" i="4"/>
  <c r="BC495" i="4"/>
  <c r="BB495" i="4"/>
  <c r="BA495" i="4"/>
  <c r="AZ495" i="4"/>
  <c r="AY495" i="4"/>
  <c r="AV495" i="4"/>
  <c r="AS495" i="4"/>
  <c r="AP495" i="4"/>
  <c r="AM495" i="4"/>
  <c r="AJ495" i="4"/>
  <c r="AG495" i="4"/>
  <c r="AD495" i="4"/>
  <c r="AA495" i="4"/>
  <c r="X495" i="4"/>
  <c r="U495" i="4"/>
  <c r="R495" i="4"/>
  <c r="BW489" i="4"/>
  <c r="BT489" i="4"/>
  <c r="BQ489" i="4"/>
  <c r="BN489" i="4"/>
  <c r="BH489" i="4"/>
  <c r="BE489" i="4"/>
  <c r="BD489" i="4"/>
  <c r="BC489" i="4"/>
  <c r="BB489" i="4"/>
  <c r="BA489" i="4"/>
  <c r="AZ489" i="4"/>
  <c r="AY489" i="4"/>
  <c r="AV489" i="4"/>
  <c r="AS489" i="4"/>
  <c r="AP489" i="4"/>
  <c r="AM489" i="4"/>
  <c r="AJ489" i="4"/>
  <c r="AG489" i="4"/>
  <c r="AD489" i="4"/>
  <c r="AA489" i="4"/>
  <c r="X489" i="4"/>
  <c r="U489" i="4"/>
  <c r="R489" i="4"/>
  <c r="BW483" i="4"/>
  <c r="BW484" i="4"/>
  <c r="BT483" i="4"/>
  <c r="BT484" i="4"/>
  <c r="BQ483" i="4"/>
  <c r="BQ484" i="4"/>
  <c r="BN483" i="4"/>
  <c r="BN484" i="4"/>
  <c r="BH483" i="4"/>
  <c r="BH484" i="4"/>
  <c r="BE483" i="4"/>
  <c r="BE484" i="4"/>
  <c r="BD483" i="4"/>
  <c r="BD484" i="4"/>
  <c r="BC483" i="4"/>
  <c r="BC484" i="4"/>
  <c r="BB483" i="4"/>
  <c r="BB484" i="4"/>
  <c r="BA483" i="4"/>
  <c r="BA484" i="4"/>
  <c r="AZ483" i="4"/>
  <c r="AZ484" i="4"/>
  <c r="AY483" i="4"/>
  <c r="AY484" i="4"/>
  <c r="AV483" i="4"/>
  <c r="AV484" i="4"/>
  <c r="AS483" i="4"/>
  <c r="AS484" i="4"/>
  <c r="AP483" i="4"/>
  <c r="AP484" i="4"/>
  <c r="AM483" i="4"/>
  <c r="AM484" i="4"/>
  <c r="AJ483" i="4"/>
  <c r="AJ484" i="4"/>
  <c r="AG483" i="4"/>
  <c r="AG484" i="4"/>
  <c r="AD483" i="4"/>
  <c r="AD484" i="4"/>
  <c r="AA483" i="4"/>
  <c r="AA484" i="4"/>
  <c r="X483" i="4"/>
  <c r="X484" i="4"/>
  <c r="U483" i="4"/>
  <c r="U484" i="4"/>
  <c r="R483" i="4"/>
  <c r="R484" i="4"/>
  <c r="BW472" i="4"/>
  <c r="BW473" i="4"/>
  <c r="BT472" i="4"/>
  <c r="BT473" i="4"/>
  <c r="BQ472" i="4"/>
  <c r="BQ473" i="4"/>
  <c r="BN472" i="4"/>
  <c r="BN473" i="4"/>
  <c r="BK472" i="4"/>
  <c r="BK473" i="4"/>
  <c r="BH472" i="4"/>
  <c r="BH473" i="4"/>
  <c r="BE472" i="4"/>
  <c r="BE473" i="4"/>
  <c r="BD472" i="4"/>
  <c r="BD473" i="4"/>
  <c r="BC472" i="4"/>
  <c r="BC473" i="4"/>
  <c r="BB472" i="4"/>
  <c r="BB473" i="4"/>
  <c r="BA472" i="4"/>
  <c r="BA473" i="4"/>
  <c r="AZ472" i="4"/>
  <c r="AZ473" i="4"/>
  <c r="AY472" i="4"/>
  <c r="AY473" i="4"/>
  <c r="AV472" i="4"/>
  <c r="AV473" i="4"/>
  <c r="AS472" i="4"/>
  <c r="AS473" i="4"/>
  <c r="AP472" i="4"/>
  <c r="AP473" i="4"/>
  <c r="AM472" i="4"/>
  <c r="AM473" i="4"/>
  <c r="AJ472" i="4"/>
  <c r="AJ473" i="4"/>
  <c r="AG472" i="4"/>
  <c r="AG473" i="4"/>
  <c r="AD472" i="4"/>
  <c r="AD473" i="4"/>
  <c r="AA472" i="4"/>
  <c r="AA473" i="4"/>
  <c r="X472" i="4"/>
  <c r="X473" i="4"/>
  <c r="U472" i="4"/>
  <c r="U473" i="4"/>
  <c r="R472" i="4"/>
  <c r="R473" i="4"/>
  <c r="BW466" i="4"/>
  <c r="BT466" i="4"/>
  <c r="BQ466" i="4"/>
  <c r="BN466" i="4"/>
  <c r="BK466" i="4"/>
  <c r="BH466" i="4"/>
  <c r="BE466" i="4"/>
  <c r="BD466" i="4"/>
  <c r="BC466" i="4"/>
  <c r="BB466" i="4"/>
  <c r="BA466" i="4"/>
  <c r="AZ466" i="4"/>
  <c r="AY466" i="4"/>
  <c r="AV466" i="4"/>
  <c r="AS466" i="4"/>
  <c r="AP466" i="4"/>
  <c r="AM466" i="4"/>
  <c r="AJ466" i="4"/>
  <c r="AG466" i="4"/>
  <c r="AD466" i="4"/>
  <c r="AA466" i="4"/>
  <c r="X466" i="4"/>
  <c r="U466" i="4"/>
  <c r="R466" i="4"/>
  <c r="BW457" i="4"/>
  <c r="BT457" i="4"/>
  <c r="BQ457" i="4"/>
  <c r="BN457" i="4"/>
  <c r="BK457" i="4"/>
  <c r="BH457" i="4"/>
  <c r="BE457" i="4"/>
  <c r="BD457" i="4"/>
  <c r="BC457" i="4"/>
  <c r="BB457" i="4"/>
  <c r="BA457" i="4"/>
  <c r="AZ457" i="4"/>
  <c r="AY457" i="4"/>
  <c r="AV457" i="4"/>
  <c r="AS457" i="4"/>
  <c r="AP457" i="4"/>
  <c r="AM457" i="4"/>
  <c r="AJ457" i="4"/>
  <c r="AG457" i="4"/>
  <c r="AD457" i="4"/>
  <c r="AA457" i="4"/>
  <c r="X457" i="4"/>
  <c r="U457" i="4"/>
  <c r="R457" i="4"/>
  <c r="BW453" i="4"/>
  <c r="BT453" i="4"/>
  <c r="BQ453" i="4"/>
  <c r="BN453" i="4"/>
  <c r="BH453" i="4"/>
  <c r="BE453" i="4"/>
  <c r="BD453" i="4"/>
  <c r="BC453" i="4"/>
  <c r="BB453" i="4"/>
  <c r="BA453" i="4"/>
  <c r="AZ453" i="4"/>
  <c r="AY453" i="4"/>
  <c r="AV453" i="4"/>
  <c r="AS453" i="4"/>
  <c r="AP453" i="4"/>
  <c r="AM453" i="4"/>
  <c r="AJ453" i="4"/>
  <c r="AG453" i="4"/>
  <c r="AD453" i="4"/>
  <c r="AA453" i="4"/>
  <c r="X453" i="4"/>
  <c r="U453" i="4"/>
  <c r="R453" i="4"/>
  <c r="BW446" i="4"/>
  <c r="BT446" i="4"/>
  <c r="BQ446" i="4"/>
  <c r="BN446" i="4"/>
  <c r="BH446" i="4"/>
  <c r="BE446" i="4"/>
  <c r="BD446" i="4"/>
  <c r="BC446" i="4"/>
  <c r="BB446" i="4"/>
  <c r="BA446" i="4"/>
  <c r="AZ446" i="4"/>
  <c r="AV446" i="4"/>
  <c r="AS446" i="4"/>
  <c r="AP446" i="4"/>
  <c r="AM446" i="4"/>
  <c r="AJ446" i="4"/>
  <c r="AG446" i="4"/>
  <c r="AD446" i="4"/>
  <c r="AA446" i="4"/>
  <c r="X446" i="4"/>
  <c r="U446" i="4"/>
  <c r="R446" i="4"/>
  <c r="BW438" i="4"/>
  <c r="BT438" i="4"/>
  <c r="BQ438" i="4"/>
  <c r="BN438" i="4"/>
  <c r="BH438" i="4"/>
  <c r="BE438" i="4"/>
  <c r="BD438" i="4"/>
  <c r="BC438" i="4"/>
  <c r="BB438" i="4"/>
  <c r="BA438" i="4"/>
  <c r="AZ438" i="4"/>
  <c r="AY438" i="4"/>
  <c r="AV438" i="4"/>
  <c r="AS438" i="4"/>
  <c r="AS447" i="4"/>
  <c r="AP438" i="4"/>
  <c r="AM438" i="4"/>
  <c r="AJ438" i="4"/>
  <c r="AG438" i="4"/>
  <c r="AG447" i="4"/>
  <c r="AD438" i="4"/>
  <c r="AA438" i="4"/>
  <c r="X438" i="4"/>
  <c r="U438" i="4"/>
  <c r="U447" i="4"/>
  <c r="R438" i="4"/>
  <c r="BW428" i="4"/>
  <c r="BT428" i="4"/>
  <c r="BQ428" i="4"/>
  <c r="BN428" i="4"/>
  <c r="BK428" i="4"/>
  <c r="BH428" i="4"/>
  <c r="BE428" i="4"/>
  <c r="BD428" i="4"/>
  <c r="BC428" i="4"/>
  <c r="BB428" i="4"/>
  <c r="BA428" i="4"/>
  <c r="AZ428" i="4"/>
  <c r="AY428" i="4"/>
  <c r="AV428" i="4"/>
  <c r="AS428" i="4"/>
  <c r="AP428" i="4"/>
  <c r="AM428" i="4"/>
  <c r="AJ428" i="4"/>
  <c r="AG428" i="4"/>
  <c r="AD428" i="4"/>
  <c r="AA428" i="4"/>
  <c r="X428" i="4"/>
  <c r="U428" i="4"/>
  <c r="R428" i="4"/>
  <c r="BW424" i="4"/>
  <c r="BT424" i="4"/>
  <c r="BQ424" i="4"/>
  <c r="BN424" i="4"/>
  <c r="BH424" i="4"/>
  <c r="BE424" i="4"/>
  <c r="BD424" i="4"/>
  <c r="BC424" i="4"/>
  <c r="BB424" i="4"/>
  <c r="BA424" i="4"/>
  <c r="AZ424" i="4"/>
  <c r="AV424" i="4"/>
  <c r="AS424" i="4"/>
  <c r="AP424" i="4"/>
  <c r="AM424" i="4"/>
  <c r="AJ424" i="4"/>
  <c r="AG424" i="4"/>
  <c r="AD424" i="4"/>
  <c r="AA424" i="4"/>
  <c r="X424" i="4"/>
  <c r="U424" i="4"/>
  <c r="R424" i="4"/>
  <c r="BW417" i="4"/>
  <c r="BT417" i="4"/>
  <c r="BQ417" i="4"/>
  <c r="BN417" i="4"/>
  <c r="BH417" i="4"/>
  <c r="BE417" i="4"/>
  <c r="BD417" i="4"/>
  <c r="BC417" i="4"/>
  <c r="BB417" i="4"/>
  <c r="BA417" i="4"/>
  <c r="AZ417" i="4"/>
  <c r="AY417" i="4"/>
  <c r="AV417" i="4"/>
  <c r="AS417" i="4"/>
  <c r="AP417" i="4"/>
  <c r="AM417" i="4"/>
  <c r="AJ417" i="4"/>
  <c r="AG417" i="4"/>
  <c r="AD417" i="4"/>
  <c r="AA417" i="4"/>
  <c r="X417" i="4"/>
  <c r="U417" i="4"/>
  <c r="R417" i="4"/>
  <c r="BW404" i="4"/>
  <c r="BT404" i="4"/>
  <c r="BQ404" i="4"/>
  <c r="BN404" i="4"/>
  <c r="BH404" i="4"/>
  <c r="BE404" i="4"/>
  <c r="BD404" i="4"/>
  <c r="BC404" i="4"/>
  <c r="BB404" i="4"/>
  <c r="BA404" i="4"/>
  <c r="AZ404" i="4"/>
  <c r="AY404" i="4"/>
  <c r="AV404" i="4"/>
  <c r="AS404" i="4"/>
  <c r="AP404" i="4"/>
  <c r="AM404" i="4"/>
  <c r="AJ404" i="4"/>
  <c r="AG404" i="4"/>
  <c r="AD404" i="4"/>
  <c r="AA404" i="4"/>
  <c r="X404" i="4"/>
  <c r="U404" i="4"/>
  <c r="R404" i="4"/>
  <c r="BW391" i="4"/>
  <c r="BT391" i="4"/>
  <c r="BQ391" i="4"/>
  <c r="BN391" i="4"/>
  <c r="BK391" i="4"/>
  <c r="BH391" i="4"/>
  <c r="BE391" i="4"/>
  <c r="BC391" i="4"/>
  <c r="BA391" i="4"/>
  <c r="AZ391" i="4"/>
  <c r="AZ392" i="4" s="1"/>
  <c r="AZ474" i="4" s="1"/>
  <c r="AZ475" i="4" s="1"/>
  <c r="AZ682" i="4" s="1"/>
  <c r="AZ755" i="4" s="1"/>
  <c r="AV391" i="4"/>
  <c r="AS391" i="4"/>
  <c r="AP391" i="4"/>
  <c r="AM391" i="4"/>
  <c r="AJ391" i="4"/>
  <c r="AG391" i="4"/>
  <c r="AD391" i="4"/>
  <c r="AA391" i="4"/>
  <c r="X391" i="4"/>
  <c r="U391" i="4"/>
  <c r="R391" i="4"/>
  <c r="BW387" i="4"/>
  <c r="BT387" i="4"/>
  <c r="BQ387" i="4"/>
  <c r="BN387" i="4"/>
  <c r="BK387" i="4"/>
  <c r="BH387" i="4"/>
  <c r="BE387" i="4"/>
  <c r="BD387" i="4"/>
  <c r="BC387" i="4"/>
  <c r="BB387" i="4"/>
  <c r="BA387" i="4"/>
  <c r="AZ387" i="4"/>
  <c r="AY387" i="4"/>
  <c r="AV387" i="4"/>
  <c r="AS387" i="4"/>
  <c r="AP387" i="4"/>
  <c r="AM387" i="4"/>
  <c r="AJ387" i="4"/>
  <c r="AG387" i="4"/>
  <c r="AD387" i="4"/>
  <c r="AA387" i="4"/>
  <c r="X387" i="4"/>
  <c r="U387" i="4"/>
  <c r="R387" i="4"/>
  <c r="BW378" i="4"/>
  <c r="BT378" i="4"/>
  <c r="BT392" i="4"/>
  <c r="BQ378" i="4"/>
  <c r="BN378" i="4"/>
  <c r="BH378" i="4"/>
  <c r="BD378" i="4"/>
  <c r="BC378" i="4"/>
  <c r="BB378" i="4"/>
  <c r="BA378" i="4"/>
  <c r="AZ378" i="4"/>
  <c r="AY378" i="4"/>
  <c r="AV378" i="4"/>
  <c r="AS378" i="4"/>
  <c r="AP378" i="4"/>
  <c r="AM378" i="4"/>
  <c r="AG378" i="4"/>
  <c r="AD378" i="4"/>
  <c r="AA378" i="4"/>
  <c r="X378" i="4"/>
  <c r="U378" i="4"/>
  <c r="R378" i="4"/>
  <c r="BW366" i="4"/>
  <c r="BW367" i="4"/>
  <c r="BT366" i="4"/>
  <c r="BT367" i="4"/>
  <c r="BQ366" i="4"/>
  <c r="BQ367" i="4"/>
  <c r="BN366" i="4"/>
  <c r="BN367" i="4"/>
  <c r="BH366" i="4"/>
  <c r="BH367" i="4"/>
  <c r="BE366" i="4"/>
  <c r="BE367" i="4"/>
  <c r="BD366" i="4"/>
  <c r="BD367" i="4"/>
  <c r="BC366" i="4"/>
  <c r="BC367" i="4"/>
  <c r="BB366" i="4"/>
  <c r="BB367" i="4"/>
  <c r="BA366" i="4"/>
  <c r="BA367" i="4"/>
  <c r="AZ366" i="4"/>
  <c r="AZ367" i="4"/>
  <c r="AY366" i="4"/>
  <c r="AY367" i="4"/>
  <c r="AV366" i="4"/>
  <c r="AV367" i="4"/>
  <c r="AS366" i="4"/>
  <c r="AS367" i="4"/>
  <c r="AP366" i="4"/>
  <c r="AP367" i="4"/>
  <c r="AM366" i="4"/>
  <c r="AM367" i="4"/>
  <c r="AJ366" i="4"/>
  <c r="AJ367" i="4"/>
  <c r="AG366" i="4"/>
  <c r="AG367" i="4"/>
  <c r="AD366" i="4"/>
  <c r="AD367" i="4"/>
  <c r="AA366" i="4"/>
  <c r="AA367" i="4"/>
  <c r="X366" i="4"/>
  <c r="X367" i="4"/>
  <c r="U366" i="4"/>
  <c r="U367" i="4"/>
  <c r="R366" i="4"/>
  <c r="R367" i="4"/>
  <c r="BW360" i="4"/>
  <c r="BW361" i="4"/>
  <c r="BT360" i="4"/>
  <c r="BT361" i="4"/>
  <c r="BQ360" i="4"/>
  <c r="BQ361" i="4"/>
  <c r="BN360" i="4"/>
  <c r="BN361" i="4"/>
  <c r="BH360" i="4"/>
  <c r="BH361" i="4"/>
  <c r="BE360" i="4"/>
  <c r="BE361" i="4"/>
  <c r="BD360" i="4"/>
  <c r="BD361" i="4"/>
  <c r="BC360" i="4"/>
  <c r="BC361" i="4"/>
  <c r="BB360" i="4"/>
  <c r="BB361" i="4"/>
  <c r="BA360" i="4"/>
  <c r="BA361" i="4"/>
  <c r="AZ360" i="4"/>
  <c r="AZ361" i="4"/>
  <c r="AY360" i="4"/>
  <c r="AY361" i="4"/>
  <c r="AV360" i="4"/>
  <c r="AV361" i="4"/>
  <c r="AS360" i="4"/>
  <c r="AS361" i="4"/>
  <c r="AP360" i="4"/>
  <c r="AP361" i="4"/>
  <c r="AM360" i="4"/>
  <c r="AM361" i="4"/>
  <c r="AJ360" i="4"/>
  <c r="AJ361" i="4"/>
  <c r="AG360" i="4"/>
  <c r="AG361" i="4"/>
  <c r="AD360" i="4"/>
  <c r="AD361" i="4"/>
  <c r="AA360" i="4"/>
  <c r="AA361" i="4"/>
  <c r="X360" i="4"/>
  <c r="X361" i="4"/>
  <c r="U360" i="4"/>
  <c r="U361" i="4"/>
  <c r="R360" i="4"/>
  <c r="R361" i="4"/>
  <c r="BW349" i="4"/>
  <c r="BW350" i="4"/>
  <c r="BW351" i="4"/>
  <c r="BT349" i="4"/>
  <c r="BT350" i="4"/>
  <c r="BT351" i="4"/>
  <c r="BQ349" i="4"/>
  <c r="BQ350" i="4"/>
  <c r="BQ351" i="4"/>
  <c r="BN349" i="4"/>
  <c r="BN350" i="4"/>
  <c r="BN351" i="4"/>
  <c r="BH349" i="4"/>
  <c r="BH350" i="4"/>
  <c r="BH351" i="4"/>
  <c r="BE349" i="4"/>
  <c r="BE350" i="4"/>
  <c r="BE351" i="4"/>
  <c r="BD349" i="4"/>
  <c r="BD350" i="4"/>
  <c r="BD351" i="4"/>
  <c r="BC349" i="4"/>
  <c r="BC350" i="4"/>
  <c r="BC351" i="4"/>
  <c r="BB349" i="4"/>
  <c r="BB350" i="4"/>
  <c r="BB351" i="4"/>
  <c r="BA349" i="4"/>
  <c r="BA350" i="4"/>
  <c r="BA351" i="4"/>
  <c r="AZ349" i="4"/>
  <c r="AZ350" i="4"/>
  <c r="AZ351" i="4"/>
  <c r="AY349" i="4"/>
  <c r="AY350" i="4"/>
  <c r="AY351" i="4"/>
  <c r="AV349" i="4"/>
  <c r="AV350" i="4"/>
  <c r="AV351" i="4"/>
  <c r="AS349" i="4"/>
  <c r="AS350" i="4"/>
  <c r="AS351" i="4"/>
  <c r="AP349" i="4"/>
  <c r="AP350" i="4"/>
  <c r="AP351" i="4"/>
  <c r="AM349" i="4"/>
  <c r="AM350" i="4"/>
  <c r="AM351" i="4"/>
  <c r="AJ349" i="4"/>
  <c r="AJ350" i="4"/>
  <c r="AJ351" i="4"/>
  <c r="AG349" i="4"/>
  <c r="AG350" i="4"/>
  <c r="AG351" i="4"/>
  <c r="AD349" i="4"/>
  <c r="AD350" i="4"/>
  <c r="AD351" i="4"/>
  <c r="AA349" i="4"/>
  <c r="AA350" i="4"/>
  <c r="AA351" i="4"/>
  <c r="X349" i="4"/>
  <c r="X350" i="4"/>
  <c r="X351" i="4"/>
  <c r="U349" i="4"/>
  <c r="U350" i="4"/>
  <c r="U351" i="4"/>
  <c r="R349" i="4"/>
  <c r="R350" i="4"/>
  <c r="R351" i="4"/>
  <c r="BW337" i="4"/>
  <c r="BT337" i="4"/>
  <c r="BQ337" i="4"/>
  <c r="BN337" i="4"/>
  <c r="BH337" i="4"/>
  <c r="BE337" i="4"/>
  <c r="BD337" i="4"/>
  <c r="BC337" i="4"/>
  <c r="BB337" i="4"/>
  <c r="BA337" i="4"/>
  <c r="AZ337" i="4"/>
  <c r="AY337" i="4"/>
  <c r="AV337" i="4"/>
  <c r="AS337" i="4"/>
  <c r="AP337" i="4"/>
  <c r="AM337" i="4"/>
  <c r="AJ337" i="4"/>
  <c r="AG337" i="4"/>
  <c r="AD337" i="4"/>
  <c r="AA337" i="4"/>
  <c r="X337" i="4"/>
  <c r="U337" i="4"/>
  <c r="R337" i="4"/>
  <c r="BW331" i="4"/>
  <c r="BT331" i="4"/>
  <c r="BQ331" i="4"/>
  <c r="BN331" i="4"/>
  <c r="BH331" i="4"/>
  <c r="BE331" i="4"/>
  <c r="BD331" i="4"/>
  <c r="BC331" i="4"/>
  <c r="BB331" i="4"/>
  <c r="BA331" i="4"/>
  <c r="AZ331" i="4"/>
  <c r="AY331" i="4"/>
  <c r="AV331" i="4"/>
  <c r="AS331" i="4"/>
  <c r="AP331" i="4"/>
  <c r="AM331" i="4"/>
  <c r="AJ331" i="4"/>
  <c r="AG331" i="4"/>
  <c r="AD331" i="4"/>
  <c r="AA331" i="4"/>
  <c r="X331" i="4"/>
  <c r="U331" i="4"/>
  <c r="R331" i="4"/>
  <c r="BW324" i="4"/>
  <c r="BT324" i="4"/>
  <c r="BQ324" i="4"/>
  <c r="BN324" i="4"/>
  <c r="BH324" i="4"/>
  <c r="BE324" i="4"/>
  <c r="BD324" i="4"/>
  <c r="BC324" i="4"/>
  <c r="BB324" i="4"/>
  <c r="BA324" i="4"/>
  <c r="AZ324" i="4"/>
  <c r="AY324" i="4"/>
  <c r="AV324" i="4"/>
  <c r="AS324" i="4"/>
  <c r="AP324" i="4"/>
  <c r="AM324" i="4"/>
  <c r="AJ324" i="4"/>
  <c r="AG324" i="4"/>
  <c r="AD324" i="4"/>
  <c r="AA324" i="4"/>
  <c r="X324" i="4"/>
  <c r="U324" i="4"/>
  <c r="R324" i="4"/>
  <c r="BW315" i="4"/>
  <c r="BT315" i="4"/>
  <c r="BQ315" i="4"/>
  <c r="BN315" i="4"/>
  <c r="BH315" i="4"/>
  <c r="BE315" i="4"/>
  <c r="BD315" i="4"/>
  <c r="BC315" i="4"/>
  <c r="BB315" i="4"/>
  <c r="BA315" i="4"/>
  <c r="AZ315" i="4"/>
  <c r="AY315" i="4"/>
  <c r="AV315" i="4"/>
  <c r="AS315" i="4"/>
  <c r="AP315" i="4"/>
  <c r="AM315" i="4"/>
  <c r="AJ315" i="4"/>
  <c r="AG315" i="4"/>
  <c r="AD315" i="4"/>
  <c r="AA315" i="4"/>
  <c r="X315" i="4"/>
  <c r="U315" i="4"/>
  <c r="R315" i="4"/>
  <c r="BW304" i="4"/>
  <c r="BT304" i="4"/>
  <c r="BQ304" i="4"/>
  <c r="BN304" i="4"/>
  <c r="BH304" i="4"/>
  <c r="BE304" i="4"/>
  <c r="BD304" i="4"/>
  <c r="BC304" i="4"/>
  <c r="BB304" i="4"/>
  <c r="BA304" i="4"/>
  <c r="AZ304" i="4"/>
  <c r="AY304" i="4"/>
  <c r="AV304" i="4"/>
  <c r="AS304" i="4"/>
  <c r="AP304" i="4"/>
  <c r="AM304" i="4"/>
  <c r="AJ304" i="4"/>
  <c r="AG304" i="4"/>
  <c r="AD304" i="4"/>
  <c r="AA304" i="4"/>
  <c r="X304" i="4"/>
  <c r="U304" i="4"/>
  <c r="R304" i="4"/>
  <c r="BW295" i="4"/>
  <c r="BT295" i="4"/>
  <c r="BQ295" i="4"/>
  <c r="BN295" i="4"/>
  <c r="BE295" i="4"/>
  <c r="BD295" i="4"/>
  <c r="BC295" i="4"/>
  <c r="BB295" i="4"/>
  <c r="BA295" i="4"/>
  <c r="AZ295" i="4"/>
  <c r="AY295" i="4"/>
  <c r="AV295" i="4"/>
  <c r="AS295" i="4"/>
  <c r="AP295" i="4"/>
  <c r="AM295" i="4"/>
  <c r="AJ295" i="4"/>
  <c r="AG295" i="4"/>
  <c r="AD295" i="4"/>
  <c r="AA295" i="4"/>
  <c r="X295" i="4"/>
  <c r="U295" i="4"/>
  <c r="R295" i="4"/>
  <c r="BW290" i="4"/>
  <c r="BT290" i="4"/>
  <c r="BQ290" i="4"/>
  <c r="BN290" i="4"/>
  <c r="BH290" i="4"/>
  <c r="BE290" i="4"/>
  <c r="BD290" i="4"/>
  <c r="BC290" i="4"/>
  <c r="BB290" i="4"/>
  <c r="BA290" i="4"/>
  <c r="AZ290" i="4"/>
  <c r="AY290" i="4"/>
  <c r="AV290" i="4"/>
  <c r="AS290" i="4"/>
  <c r="AP290" i="4"/>
  <c r="AM290" i="4"/>
  <c r="AJ290" i="4"/>
  <c r="AG290" i="4"/>
  <c r="AD290" i="4"/>
  <c r="AA290" i="4"/>
  <c r="X290" i="4"/>
  <c r="U290" i="4"/>
  <c r="R290" i="4"/>
  <c r="BW275" i="4"/>
  <c r="BT275" i="4"/>
  <c r="BN275" i="4"/>
  <c r="BH275" i="4"/>
  <c r="BE275" i="4"/>
  <c r="BD275" i="4"/>
  <c r="BC275" i="4"/>
  <c r="BB275" i="4"/>
  <c r="BA275" i="4"/>
  <c r="AZ275" i="4"/>
  <c r="AY275" i="4"/>
  <c r="AV275" i="4"/>
  <c r="AS275" i="4"/>
  <c r="AP275" i="4"/>
  <c r="AM275" i="4"/>
  <c r="AJ275" i="4"/>
  <c r="AG275" i="4"/>
  <c r="AD275" i="4"/>
  <c r="AA275" i="4"/>
  <c r="X275" i="4"/>
  <c r="U275" i="4"/>
  <c r="R275" i="4"/>
  <c r="BW271" i="4"/>
  <c r="BT271" i="4"/>
  <c r="BQ271" i="4"/>
  <c r="BN271" i="4"/>
  <c r="BH271" i="4"/>
  <c r="BE271" i="4"/>
  <c r="BD271" i="4"/>
  <c r="BC271" i="4"/>
  <c r="BB271" i="4"/>
  <c r="BA271" i="4"/>
  <c r="AZ271" i="4"/>
  <c r="AY271" i="4"/>
  <c r="AV271" i="4"/>
  <c r="AS271" i="4"/>
  <c r="AP271" i="4"/>
  <c r="AM271" i="4"/>
  <c r="AJ271" i="4"/>
  <c r="AG271" i="4"/>
  <c r="AD271" i="4"/>
  <c r="AA271" i="4"/>
  <c r="X271" i="4"/>
  <c r="U271" i="4"/>
  <c r="R271" i="4"/>
  <c r="BW267" i="4"/>
  <c r="BT267" i="4"/>
  <c r="BQ267" i="4"/>
  <c r="BN267" i="4"/>
  <c r="BK267" i="4"/>
  <c r="BH267" i="4"/>
  <c r="BE267" i="4"/>
  <c r="BD267" i="4"/>
  <c r="BC267" i="4"/>
  <c r="BB267" i="4"/>
  <c r="BA267" i="4"/>
  <c r="AZ267" i="4"/>
  <c r="AY267" i="4"/>
  <c r="AV267" i="4"/>
  <c r="AS267" i="4"/>
  <c r="AP267" i="4"/>
  <c r="AM267" i="4"/>
  <c r="AJ267" i="4"/>
  <c r="AG267" i="4"/>
  <c r="AD267" i="4"/>
  <c r="AA267" i="4"/>
  <c r="X267" i="4"/>
  <c r="U267" i="4"/>
  <c r="R267" i="4"/>
  <c r="BW260" i="4"/>
  <c r="BT260" i="4"/>
  <c r="BQ260" i="4"/>
  <c r="BN260" i="4"/>
  <c r="BH260" i="4"/>
  <c r="BE260" i="4"/>
  <c r="BD260" i="4"/>
  <c r="BC260" i="4"/>
  <c r="BB260" i="4"/>
  <c r="BA260" i="4"/>
  <c r="AZ260" i="4"/>
  <c r="AY260" i="4"/>
  <c r="AV260" i="4"/>
  <c r="AS260" i="4"/>
  <c r="AP260" i="4"/>
  <c r="AM260" i="4"/>
  <c r="AJ260" i="4"/>
  <c r="AG260" i="4"/>
  <c r="AD260" i="4"/>
  <c r="AA260" i="4"/>
  <c r="X260" i="4"/>
  <c r="U260" i="4"/>
  <c r="R260" i="4"/>
  <c r="BW254" i="4"/>
  <c r="BT254" i="4"/>
  <c r="BQ254" i="4"/>
  <c r="BN254" i="4"/>
  <c r="BH254" i="4"/>
  <c r="BE254" i="4"/>
  <c r="BD254" i="4"/>
  <c r="BC254" i="4"/>
  <c r="BB254" i="4"/>
  <c r="BA254" i="4"/>
  <c r="AZ254" i="4"/>
  <c r="AY254" i="4"/>
  <c r="AV254" i="4"/>
  <c r="AS254" i="4"/>
  <c r="AP254" i="4"/>
  <c r="AM254" i="4"/>
  <c r="AJ254" i="4"/>
  <c r="AG254" i="4"/>
  <c r="AD254" i="4"/>
  <c r="AA254" i="4"/>
  <c r="X254" i="4"/>
  <c r="U254" i="4"/>
  <c r="R254" i="4"/>
  <c r="BW247" i="4"/>
  <c r="BT247" i="4"/>
  <c r="BQ247" i="4"/>
  <c r="BN247" i="4"/>
  <c r="BH247" i="4"/>
  <c r="BE247" i="4"/>
  <c r="BD247" i="4"/>
  <c r="BC247" i="4"/>
  <c r="BB247" i="4"/>
  <c r="BA247" i="4"/>
  <c r="AZ247" i="4"/>
  <c r="AY247" i="4"/>
  <c r="AV247" i="4"/>
  <c r="AS247" i="4"/>
  <c r="AP247" i="4"/>
  <c r="AM247" i="4"/>
  <c r="AJ247" i="4"/>
  <c r="AG247" i="4"/>
  <c r="AD247" i="4"/>
  <c r="AA247" i="4"/>
  <c r="X247" i="4"/>
  <c r="U247" i="4"/>
  <c r="R247" i="4"/>
  <c r="BW233" i="4"/>
  <c r="BT233" i="4"/>
  <c r="BQ233" i="4"/>
  <c r="BN233" i="4"/>
  <c r="BH233" i="4"/>
  <c r="BE233" i="4"/>
  <c r="BD233" i="4"/>
  <c r="BC233" i="4"/>
  <c r="BB233" i="4"/>
  <c r="BA233" i="4"/>
  <c r="AZ233" i="4"/>
  <c r="AY233" i="4"/>
  <c r="AV233" i="4"/>
  <c r="AS233" i="4"/>
  <c r="AP233" i="4"/>
  <c r="AM233" i="4"/>
  <c r="AJ233" i="4"/>
  <c r="AG233" i="4"/>
  <c r="AD233" i="4"/>
  <c r="AA233" i="4"/>
  <c r="X233" i="4"/>
  <c r="U233" i="4"/>
  <c r="R233" i="4"/>
  <c r="BW228" i="4"/>
  <c r="BW234" i="4"/>
  <c r="BT228" i="4"/>
  <c r="BN228" i="4"/>
  <c r="BH228" i="4"/>
  <c r="BE228" i="4"/>
  <c r="BD228" i="4"/>
  <c r="BC228" i="4"/>
  <c r="BB228" i="4"/>
  <c r="BA228" i="4"/>
  <c r="AZ228" i="4"/>
  <c r="AY228" i="4"/>
  <c r="AV228" i="4"/>
  <c r="AS228" i="4"/>
  <c r="AP228" i="4"/>
  <c r="AM228" i="4"/>
  <c r="AJ228" i="4"/>
  <c r="AG228" i="4"/>
  <c r="AD228" i="4"/>
  <c r="AA228" i="4"/>
  <c r="X228" i="4"/>
  <c r="U228" i="4"/>
  <c r="R228" i="4"/>
  <c r="BW222" i="4"/>
  <c r="BT222" i="4"/>
  <c r="BQ222" i="4"/>
  <c r="BN222" i="4"/>
  <c r="BK222" i="4"/>
  <c r="BH222" i="4"/>
  <c r="BE222" i="4"/>
  <c r="BD222" i="4"/>
  <c r="BC222" i="4"/>
  <c r="BB222" i="4"/>
  <c r="BA222" i="4"/>
  <c r="AZ222" i="4"/>
  <c r="AY222" i="4"/>
  <c r="AV222" i="4"/>
  <c r="AS222" i="4"/>
  <c r="AP222" i="4"/>
  <c r="AM222" i="4"/>
  <c r="AJ222" i="4"/>
  <c r="AG222" i="4"/>
  <c r="AD222" i="4"/>
  <c r="AA222" i="4"/>
  <c r="X222" i="4"/>
  <c r="U222" i="4"/>
  <c r="BW218" i="4"/>
  <c r="BT218" i="4"/>
  <c r="BQ218" i="4"/>
  <c r="BN218" i="4"/>
  <c r="BK218" i="4"/>
  <c r="BH218" i="4"/>
  <c r="BE218" i="4"/>
  <c r="BD218" i="4"/>
  <c r="BC218" i="4"/>
  <c r="BB218" i="4"/>
  <c r="BA218" i="4"/>
  <c r="AZ218" i="4"/>
  <c r="AY218" i="4"/>
  <c r="AV218" i="4"/>
  <c r="AS218" i="4"/>
  <c r="AP218" i="4"/>
  <c r="AM218" i="4"/>
  <c r="AJ218" i="4"/>
  <c r="AG218" i="4"/>
  <c r="AD218" i="4"/>
  <c r="AA218" i="4"/>
  <c r="X218" i="4"/>
  <c r="U218" i="4"/>
  <c r="R218" i="4"/>
  <c r="BW201" i="4"/>
  <c r="BT201" i="4"/>
  <c r="BQ201" i="4"/>
  <c r="BN201" i="4"/>
  <c r="BH201" i="4"/>
  <c r="BE201" i="4"/>
  <c r="BD201" i="4"/>
  <c r="BC201" i="4"/>
  <c r="BB201" i="4"/>
  <c r="BA201" i="4"/>
  <c r="AZ201" i="4"/>
  <c r="AY201" i="4"/>
  <c r="AV201" i="4"/>
  <c r="AS201" i="4"/>
  <c r="AP201" i="4"/>
  <c r="AM201" i="4"/>
  <c r="AJ201" i="4"/>
  <c r="AG201" i="4"/>
  <c r="AD201" i="4"/>
  <c r="AA201" i="4"/>
  <c r="X201" i="4"/>
  <c r="U201" i="4"/>
  <c r="R201" i="4"/>
  <c r="BW197" i="4"/>
  <c r="BT197" i="4"/>
  <c r="BQ197" i="4"/>
  <c r="BN197" i="4"/>
  <c r="BH197" i="4"/>
  <c r="BH202" i="4"/>
  <c r="BE197" i="4"/>
  <c r="BD197" i="4"/>
  <c r="BC197" i="4"/>
  <c r="BB197" i="4"/>
  <c r="BA197" i="4"/>
  <c r="AZ197" i="4"/>
  <c r="AY197" i="4"/>
  <c r="AV197" i="4"/>
  <c r="AS197" i="4"/>
  <c r="AP197" i="4"/>
  <c r="AM197" i="4"/>
  <c r="AJ197" i="4"/>
  <c r="AG197" i="4"/>
  <c r="AD197" i="4"/>
  <c r="AA197" i="4"/>
  <c r="X197" i="4"/>
  <c r="U197" i="4"/>
  <c r="R197" i="4"/>
  <c r="BW187" i="4"/>
  <c r="BW188" i="4"/>
  <c r="BT187" i="4"/>
  <c r="BT188" i="4"/>
  <c r="BQ187" i="4"/>
  <c r="BQ188" i="4"/>
  <c r="BN187" i="4"/>
  <c r="BN188" i="4"/>
  <c r="BH187" i="4"/>
  <c r="BH188" i="4"/>
  <c r="BE187" i="4"/>
  <c r="BE188" i="4"/>
  <c r="BD187" i="4"/>
  <c r="BD188" i="4"/>
  <c r="BC187" i="4"/>
  <c r="BC188" i="4"/>
  <c r="BB187" i="4"/>
  <c r="BB188" i="4"/>
  <c r="BA187" i="4"/>
  <c r="BA188" i="4"/>
  <c r="AZ187" i="4"/>
  <c r="AZ188" i="4"/>
  <c r="AY187" i="4"/>
  <c r="AY188" i="4"/>
  <c r="AV187" i="4"/>
  <c r="AV188" i="4"/>
  <c r="AS187" i="4"/>
  <c r="AS188" i="4"/>
  <c r="AP187" i="4"/>
  <c r="AP188" i="4"/>
  <c r="AM187" i="4"/>
  <c r="AM188" i="4"/>
  <c r="AJ187" i="4"/>
  <c r="AJ188" i="4"/>
  <c r="AG187" i="4"/>
  <c r="AG188" i="4"/>
  <c r="AD187" i="4"/>
  <c r="AD188" i="4"/>
  <c r="AA187" i="4"/>
  <c r="AA188" i="4"/>
  <c r="X187" i="4"/>
  <c r="X188" i="4"/>
  <c r="U187" i="4"/>
  <c r="U188" i="4"/>
  <c r="R187" i="4"/>
  <c r="R188" i="4"/>
  <c r="BW179" i="4"/>
  <c r="BT179" i="4"/>
  <c r="BQ179" i="4"/>
  <c r="BN179" i="4"/>
  <c r="BH179" i="4"/>
  <c r="BE179" i="4"/>
  <c r="BD179" i="4"/>
  <c r="BC179" i="4"/>
  <c r="BB179" i="4"/>
  <c r="BA179" i="4"/>
  <c r="AZ179" i="4"/>
  <c r="AY179" i="4"/>
  <c r="AV179" i="4"/>
  <c r="AS179" i="4"/>
  <c r="AP179" i="4"/>
  <c r="AM179" i="4"/>
  <c r="AJ179" i="4"/>
  <c r="AG179" i="4"/>
  <c r="AD179" i="4"/>
  <c r="AA179" i="4"/>
  <c r="X179" i="4"/>
  <c r="U179" i="4"/>
  <c r="R179" i="4"/>
  <c r="BW174" i="4"/>
  <c r="BT174" i="4"/>
  <c r="BQ174" i="4"/>
  <c r="BN174" i="4"/>
  <c r="BH174" i="4"/>
  <c r="BE174" i="4"/>
  <c r="BD174" i="4"/>
  <c r="BC174" i="4"/>
  <c r="BB174" i="4"/>
  <c r="BA174" i="4"/>
  <c r="AZ174" i="4"/>
  <c r="AY174" i="4"/>
  <c r="AV174" i="4"/>
  <c r="AS174" i="4"/>
  <c r="AP174" i="4"/>
  <c r="AM174" i="4"/>
  <c r="AJ174" i="4"/>
  <c r="AG174" i="4"/>
  <c r="AD174" i="4"/>
  <c r="AA174" i="4"/>
  <c r="X174" i="4"/>
  <c r="U174" i="4"/>
  <c r="R174" i="4"/>
  <c r="BW164" i="4"/>
  <c r="BT164" i="4"/>
  <c r="BQ164" i="4"/>
  <c r="BN164" i="4"/>
  <c r="BH164" i="4"/>
  <c r="BE164" i="4"/>
  <c r="BD164" i="4"/>
  <c r="BC164" i="4"/>
  <c r="BB164" i="4"/>
  <c r="BA164" i="4"/>
  <c r="AZ164" i="4"/>
  <c r="AY164" i="4"/>
  <c r="AV164" i="4"/>
  <c r="AS164" i="4"/>
  <c r="AP164" i="4"/>
  <c r="AM164" i="4"/>
  <c r="AJ164" i="4"/>
  <c r="AG164" i="4"/>
  <c r="AD164" i="4"/>
  <c r="AA164" i="4"/>
  <c r="X164" i="4"/>
  <c r="U164" i="4"/>
  <c r="R164" i="4"/>
  <c r="BW159" i="4"/>
  <c r="BT159" i="4"/>
  <c r="BQ159" i="4"/>
  <c r="BN159" i="4"/>
  <c r="BH159" i="4"/>
  <c r="BE159" i="4"/>
  <c r="BD159" i="4"/>
  <c r="BC159" i="4"/>
  <c r="BB159" i="4"/>
  <c r="BA159" i="4"/>
  <c r="AZ159" i="4"/>
  <c r="AY159" i="4"/>
  <c r="AV159" i="4"/>
  <c r="AS159" i="4"/>
  <c r="AP159" i="4"/>
  <c r="AM159" i="4"/>
  <c r="AJ159" i="4"/>
  <c r="AG159" i="4"/>
  <c r="AD159" i="4"/>
  <c r="AA159" i="4"/>
  <c r="X159" i="4"/>
  <c r="U159" i="4"/>
  <c r="R159" i="4"/>
  <c r="BW153" i="4"/>
  <c r="BT153" i="4"/>
  <c r="BQ153" i="4"/>
  <c r="BN153" i="4"/>
  <c r="BH153" i="4"/>
  <c r="BE153" i="4"/>
  <c r="BD153" i="4"/>
  <c r="BC153" i="4"/>
  <c r="BB153" i="4"/>
  <c r="BA153" i="4"/>
  <c r="AZ153" i="4"/>
  <c r="AY153" i="4"/>
  <c r="AV153" i="4"/>
  <c r="AS153" i="4"/>
  <c r="AP153" i="4"/>
  <c r="AM153" i="4"/>
  <c r="AJ153" i="4"/>
  <c r="AG153" i="4"/>
  <c r="AD153" i="4"/>
  <c r="AA153" i="4"/>
  <c r="X153" i="4"/>
  <c r="U153" i="4"/>
  <c r="R153" i="4"/>
  <c r="BW143" i="4"/>
  <c r="BT143" i="4"/>
  <c r="BQ143" i="4"/>
  <c r="BN143" i="4"/>
  <c r="BH143" i="4"/>
  <c r="BE143" i="4"/>
  <c r="BD143" i="4"/>
  <c r="BC143" i="4"/>
  <c r="BC136" i="4"/>
  <c r="BC144" i="4"/>
  <c r="BB143" i="4"/>
  <c r="BA143" i="4"/>
  <c r="AZ143" i="4"/>
  <c r="AY143" i="4"/>
  <c r="AY136" i="4"/>
  <c r="AY144" i="4"/>
  <c r="AV143" i="4"/>
  <c r="AS143" i="4"/>
  <c r="AP143" i="4"/>
  <c r="AM143" i="4"/>
  <c r="AM136" i="4"/>
  <c r="AM144" i="4"/>
  <c r="AJ143" i="4"/>
  <c r="AG143" i="4"/>
  <c r="AD143" i="4"/>
  <c r="X143" i="4"/>
  <c r="U143" i="4"/>
  <c r="R143" i="4"/>
  <c r="R136" i="4"/>
  <c r="R144" i="4"/>
  <c r="BW136" i="4"/>
  <c r="BT136" i="4"/>
  <c r="BQ136" i="4"/>
  <c r="BN136" i="4"/>
  <c r="BH136" i="4"/>
  <c r="BE136" i="4"/>
  <c r="BD136" i="4"/>
  <c r="BB136" i="4"/>
  <c r="BA136" i="4"/>
  <c r="AZ136" i="4"/>
  <c r="AV136" i="4"/>
  <c r="AV144" i="4"/>
  <c r="AS136" i="4"/>
  <c r="AP136" i="4"/>
  <c r="AJ136" i="4"/>
  <c r="AG136" i="4"/>
  <c r="AD136" i="4"/>
  <c r="X136" i="4"/>
  <c r="U136" i="4"/>
  <c r="BW122" i="4"/>
  <c r="BW123" i="4"/>
  <c r="BW124" i="4"/>
  <c r="BT122" i="4"/>
  <c r="BT123" i="4"/>
  <c r="BT124" i="4"/>
  <c r="BQ122" i="4"/>
  <c r="BQ123" i="4"/>
  <c r="BQ124" i="4"/>
  <c r="BN122" i="4"/>
  <c r="BN123" i="4"/>
  <c r="BN124" i="4"/>
  <c r="BK122" i="4"/>
  <c r="BK123" i="4"/>
  <c r="BK124" i="4"/>
  <c r="BH122" i="4"/>
  <c r="BH123" i="4"/>
  <c r="BH124" i="4"/>
  <c r="BE122" i="4"/>
  <c r="BE123" i="4"/>
  <c r="BE124" i="4"/>
  <c r="BD122" i="4"/>
  <c r="BD123" i="4"/>
  <c r="BD124" i="4"/>
  <c r="BC122" i="4"/>
  <c r="BC123" i="4"/>
  <c r="BC124" i="4"/>
  <c r="BB122" i="4"/>
  <c r="BB123" i="4"/>
  <c r="BB124" i="4"/>
  <c r="BA122" i="4"/>
  <c r="BA123" i="4"/>
  <c r="BA124" i="4"/>
  <c r="AZ122" i="4"/>
  <c r="AZ123" i="4"/>
  <c r="AZ124" i="4"/>
  <c r="AY122" i="4"/>
  <c r="AY123" i="4"/>
  <c r="AY124" i="4"/>
  <c r="AV122" i="4"/>
  <c r="AV123" i="4"/>
  <c r="AV124" i="4"/>
  <c r="AS122" i="4"/>
  <c r="AS123" i="4"/>
  <c r="AS124" i="4"/>
  <c r="AP122" i="4"/>
  <c r="AP123" i="4"/>
  <c r="AP124" i="4"/>
  <c r="AM122" i="4"/>
  <c r="AM123" i="4"/>
  <c r="AM124" i="4"/>
  <c r="AJ122" i="4"/>
  <c r="AJ123" i="4"/>
  <c r="AJ124" i="4"/>
  <c r="AG122" i="4"/>
  <c r="AG123" i="4"/>
  <c r="AG124" i="4"/>
  <c r="AD122" i="4"/>
  <c r="AD123" i="4"/>
  <c r="AD124" i="4"/>
  <c r="AA122" i="4"/>
  <c r="AA123" i="4"/>
  <c r="AA124" i="4"/>
  <c r="X122" i="4"/>
  <c r="X123" i="4"/>
  <c r="X124" i="4"/>
  <c r="U122" i="4"/>
  <c r="U123" i="4"/>
  <c r="U124" i="4"/>
  <c r="R122" i="4"/>
  <c r="R123" i="4"/>
  <c r="R124" i="4"/>
  <c r="BW114" i="4"/>
  <c r="BW115" i="4"/>
  <c r="BW116" i="4"/>
  <c r="BT114" i="4"/>
  <c r="BT115" i="4"/>
  <c r="BT116" i="4"/>
  <c r="BQ114" i="4"/>
  <c r="BQ115" i="4"/>
  <c r="BQ116" i="4"/>
  <c r="BN114" i="4"/>
  <c r="BN115" i="4"/>
  <c r="BN116" i="4"/>
  <c r="BK114" i="4"/>
  <c r="BK115" i="4"/>
  <c r="BK116" i="4"/>
  <c r="BE114" i="4"/>
  <c r="BE115" i="4"/>
  <c r="BE116" i="4"/>
  <c r="BD114" i="4"/>
  <c r="BD115" i="4"/>
  <c r="BD116" i="4"/>
  <c r="BC114" i="4"/>
  <c r="BC115" i="4"/>
  <c r="BC116" i="4"/>
  <c r="BB114" i="4"/>
  <c r="BB115" i="4"/>
  <c r="BB116" i="4"/>
  <c r="BA114" i="4"/>
  <c r="BA115" i="4"/>
  <c r="BA116" i="4"/>
  <c r="AZ114" i="4"/>
  <c r="AZ115" i="4"/>
  <c r="AZ116" i="4"/>
  <c r="AY114" i="4"/>
  <c r="AY115" i="4"/>
  <c r="AY116" i="4"/>
  <c r="AV114" i="4"/>
  <c r="AV115" i="4"/>
  <c r="AV116" i="4"/>
  <c r="AS114" i="4"/>
  <c r="AS115" i="4"/>
  <c r="AS116" i="4"/>
  <c r="AP114" i="4"/>
  <c r="AP115" i="4"/>
  <c r="AP116" i="4"/>
  <c r="AM114" i="4"/>
  <c r="AM115" i="4"/>
  <c r="AM116" i="4"/>
  <c r="AJ114" i="4"/>
  <c r="AJ115" i="4"/>
  <c r="AJ116" i="4"/>
  <c r="AG114" i="4"/>
  <c r="AG115" i="4"/>
  <c r="AG116" i="4"/>
  <c r="AD114" i="4"/>
  <c r="AD115" i="4"/>
  <c r="AD116" i="4"/>
  <c r="AA114" i="4"/>
  <c r="AA115" i="4"/>
  <c r="AA116" i="4"/>
  <c r="U114" i="4"/>
  <c r="U115" i="4"/>
  <c r="U116" i="4"/>
  <c r="R114" i="4"/>
  <c r="R115" i="4"/>
  <c r="R116" i="4"/>
  <c r="BW101" i="4"/>
  <c r="BQ101" i="4"/>
  <c r="BN101" i="4"/>
  <c r="BK101" i="4"/>
  <c r="BH101" i="4"/>
  <c r="BE101" i="4"/>
  <c r="BD101" i="4"/>
  <c r="BC101" i="4"/>
  <c r="BB101" i="4"/>
  <c r="BA101" i="4"/>
  <c r="AZ101" i="4"/>
  <c r="AY101" i="4"/>
  <c r="AV101" i="4"/>
  <c r="AS101" i="4"/>
  <c r="AP101" i="4"/>
  <c r="AM101" i="4"/>
  <c r="AJ101" i="4"/>
  <c r="AG101" i="4"/>
  <c r="AD101" i="4"/>
  <c r="AA101" i="4"/>
  <c r="U101" i="4"/>
  <c r="R101" i="4"/>
  <c r="BW89" i="4"/>
  <c r="BT89" i="4"/>
  <c r="BQ89" i="4"/>
  <c r="BN89" i="4"/>
  <c r="BH89" i="4"/>
  <c r="BE89" i="4"/>
  <c r="BD89" i="4"/>
  <c r="BC89" i="4"/>
  <c r="BB89" i="4"/>
  <c r="BA89" i="4"/>
  <c r="AZ89" i="4"/>
  <c r="AZ102" i="4"/>
  <c r="AZ103" i="4"/>
  <c r="AY89" i="4"/>
  <c r="AV89" i="4"/>
  <c r="AS89" i="4"/>
  <c r="AP89" i="4"/>
  <c r="AM89" i="4"/>
  <c r="AJ89" i="4"/>
  <c r="AJ102" i="4"/>
  <c r="AJ103" i="4"/>
  <c r="AD89" i="4"/>
  <c r="AA89" i="4"/>
  <c r="X89" i="4"/>
  <c r="U89" i="4"/>
  <c r="R89" i="4"/>
  <c r="BW77" i="4"/>
  <c r="BW78" i="4"/>
  <c r="BW79" i="4"/>
  <c r="BW80" i="4"/>
  <c r="BT77" i="4"/>
  <c r="BT78" i="4"/>
  <c r="BT79" i="4"/>
  <c r="BT80" i="4"/>
  <c r="BQ77" i="4"/>
  <c r="BQ78" i="4"/>
  <c r="BQ79" i="4"/>
  <c r="BQ80" i="4"/>
  <c r="BN77" i="4"/>
  <c r="BN78" i="4"/>
  <c r="BN79" i="4"/>
  <c r="BN80" i="4"/>
  <c r="BH77" i="4"/>
  <c r="BH78" i="4"/>
  <c r="BH79" i="4"/>
  <c r="BH80" i="4"/>
  <c r="BE77" i="4"/>
  <c r="BE78" i="4"/>
  <c r="BE79" i="4"/>
  <c r="BE80" i="4"/>
  <c r="BD77" i="4"/>
  <c r="BD78" i="4"/>
  <c r="BD79" i="4"/>
  <c r="BD80" i="4"/>
  <c r="BC77" i="4"/>
  <c r="BC78" i="4"/>
  <c r="BC79" i="4"/>
  <c r="BC80" i="4"/>
  <c r="BB77" i="4"/>
  <c r="BB78" i="4"/>
  <c r="BB79" i="4"/>
  <c r="BB80" i="4"/>
  <c r="BA77" i="4"/>
  <c r="BA78" i="4"/>
  <c r="BA79" i="4"/>
  <c r="BA80" i="4"/>
  <c r="AZ77" i="4"/>
  <c r="AZ78" i="4"/>
  <c r="AZ79" i="4"/>
  <c r="AZ80" i="4"/>
  <c r="AY77" i="4"/>
  <c r="AY78" i="4"/>
  <c r="AY79" i="4"/>
  <c r="AY80" i="4"/>
  <c r="AV77" i="4"/>
  <c r="AV78" i="4"/>
  <c r="AV79" i="4"/>
  <c r="AV80" i="4"/>
  <c r="AS77" i="4"/>
  <c r="AS78" i="4"/>
  <c r="AS79" i="4"/>
  <c r="AS80" i="4"/>
  <c r="AP77" i="4"/>
  <c r="AP78" i="4"/>
  <c r="AP79" i="4"/>
  <c r="AP80" i="4"/>
  <c r="AM77" i="4"/>
  <c r="AM78" i="4"/>
  <c r="AM79" i="4"/>
  <c r="AM80" i="4"/>
  <c r="AJ77" i="4"/>
  <c r="AJ78" i="4"/>
  <c r="AJ79" i="4"/>
  <c r="AJ80" i="4"/>
  <c r="AG77" i="4"/>
  <c r="AG78" i="4"/>
  <c r="AG79" i="4"/>
  <c r="AG80" i="4"/>
  <c r="AA77" i="4"/>
  <c r="AA78" i="4"/>
  <c r="AA79" i="4"/>
  <c r="AA80" i="4"/>
  <c r="X77" i="4"/>
  <c r="X78" i="4"/>
  <c r="X79" i="4"/>
  <c r="X80" i="4"/>
  <c r="U77" i="4"/>
  <c r="U78" i="4"/>
  <c r="U79" i="4"/>
  <c r="U80" i="4"/>
  <c r="R77" i="4"/>
  <c r="R78" i="4"/>
  <c r="R79" i="4"/>
  <c r="R80" i="4"/>
  <c r="BW40" i="4"/>
  <c r="BW41" i="4"/>
  <c r="BT40" i="4"/>
  <c r="BT41" i="4"/>
  <c r="BQ40" i="4"/>
  <c r="BQ41" i="4"/>
  <c r="BN40" i="4"/>
  <c r="BN41" i="4"/>
  <c r="BK40" i="4"/>
  <c r="BK41" i="4"/>
  <c r="BH40" i="4"/>
  <c r="BH41" i="4"/>
  <c r="BE40" i="4"/>
  <c r="BE41" i="4"/>
  <c r="BD40" i="4"/>
  <c r="BD41" i="4"/>
  <c r="BC40" i="4"/>
  <c r="BC41" i="4"/>
  <c r="BB40" i="4"/>
  <c r="BB41" i="4"/>
  <c r="BA40" i="4"/>
  <c r="BA41" i="4"/>
  <c r="AZ40" i="4"/>
  <c r="AZ41" i="4"/>
  <c r="AY40" i="4"/>
  <c r="AY41" i="4"/>
  <c r="AV40" i="4"/>
  <c r="AV41" i="4"/>
  <c r="AS40" i="4"/>
  <c r="AS41" i="4"/>
  <c r="AP40" i="4"/>
  <c r="AP41" i="4"/>
  <c r="AM40" i="4"/>
  <c r="AM41" i="4"/>
  <c r="AJ40" i="4"/>
  <c r="AJ41" i="4"/>
  <c r="AG40" i="4"/>
  <c r="AG41" i="4"/>
  <c r="AD40" i="4"/>
  <c r="AD41" i="4"/>
  <c r="AA40" i="4"/>
  <c r="AA41" i="4"/>
  <c r="X40" i="4"/>
  <c r="X41" i="4"/>
  <c r="U40" i="4"/>
  <c r="U41" i="4"/>
  <c r="R40" i="4"/>
  <c r="R41" i="4"/>
  <c r="BW34" i="4"/>
  <c r="BT34" i="4"/>
  <c r="BQ34" i="4"/>
  <c r="BN34" i="4"/>
  <c r="BK34" i="4"/>
  <c r="BH34" i="4"/>
  <c r="BE34" i="4"/>
  <c r="BD34" i="4"/>
  <c r="BC34" i="4"/>
  <c r="BB34" i="4"/>
  <c r="BA34" i="4"/>
  <c r="AZ34" i="4"/>
  <c r="AY34" i="4"/>
  <c r="AV34" i="4"/>
  <c r="AS34" i="4"/>
  <c r="AP34" i="4"/>
  <c r="AM34" i="4"/>
  <c r="AJ34" i="4"/>
  <c r="AG34" i="4"/>
  <c r="AD34" i="4"/>
  <c r="AA34" i="4"/>
  <c r="X34" i="4"/>
  <c r="U34" i="4"/>
  <c r="R34" i="4"/>
  <c r="U30" i="4"/>
  <c r="X30" i="4"/>
  <c r="X35" i="4"/>
  <c r="AA30" i="4"/>
  <c r="AD30" i="4"/>
  <c r="AD35" i="4"/>
  <c r="AG30" i="4"/>
  <c r="AJ30" i="4"/>
  <c r="AJ35" i="4"/>
  <c r="AM30" i="4"/>
  <c r="AP30" i="4"/>
  <c r="AP35" i="4"/>
  <c r="AS30" i="4"/>
  <c r="AV30" i="4"/>
  <c r="AV35" i="4"/>
  <c r="AY30" i="4"/>
  <c r="AZ30" i="4"/>
  <c r="AZ35" i="4"/>
  <c r="BA30" i="4"/>
  <c r="BB30" i="4"/>
  <c r="BB35" i="4"/>
  <c r="BC30" i="4"/>
  <c r="BD30" i="4"/>
  <c r="BD35" i="4"/>
  <c r="BE30" i="4"/>
  <c r="BH30" i="4"/>
  <c r="BK30" i="4"/>
  <c r="BK35" i="4"/>
  <c r="BN30" i="4"/>
  <c r="BQ30" i="4"/>
  <c r="BT30" i="4"/>
  <c r="BW30" i="4"/>
  <c r="BW35" i="4"/>
  <c r="BW20" i="4"/>
  <c r="BW21" i="4"/>
  <c r="BW22" i="4"/>
  <c r="BW23" i="4"/>
  <c r="BT20" i="4"/>
  <c r="BT21" i="4"/>
  <c r="BT22" i="4"/>
  <c r="BT23" i="4"/>
  <c r="BQ20" i="4"/>
  <c r="BQ21" i="4"/>
  <c r="BQ22" i="4"/>
  <c r="BQ23" i="4"/>
  <c r="BN20" i="4"/>
  <c r="BN21" i="4"/>
  <c r="BN22" i="4"/>
  <c r="BN23" i="4"/>
  <c r="BH20" i="4"/>
  <c r="BH21" i="4"/>
  <c r="BH22" i="4"/>
  <c r="BH23" i="4"/>
  <c r="BE20" i="4"/>
  <c r="BE21" i="4"/>
  <c r="BE22" i="4"/>
  <c r="BE23" i="4"/>
  <c r="BD20" i="4"/>
  <c r="BD21" i="4"/>
  <c r="BD22" i="4"/>
  <c r="BD23" i="4"/>
  <c r="BC20" i="4"/>
  <c r="BC21" i="4"/>
  <c r="BC22" i="4"/>
  <c r="BC23" i="4"/>
  <c r="BB20" i="4"/>
  <c r="BB21" i="4"/>
  <c r="BB22" i="4"/>
  <c r="BB23" i="4"/>
  <c r="BA20" i="4"/>
  <c r="BA21" i="4"/>
  <c r="BA22" i="4"/>
  <c r="BA23" i="4"/>
  <c r="AZ20" i="4"/>
  <c r="AZ21" i="4"/>
  <c r="AZ22" i="4"/>
  <c r="AZ23" i="4"/>
  <c r="AY20" i="4"/>
  <c r="AY21" i="4"/>
  <c r="AY22" i="4"/>
  <c r="AY23" i="4"/>
  <c r="AV20" i="4"/>
  <c r="AV21" i="4"/>
  <c r="AV22" i="4"/>
  <c r="AV23" i="4"/>
  <c r="AS20" i="4"/>
  <c r="AS21" i="4"/>
  <c r="AS22" i="4"/>
  <c r="AS23" i="4"/>
  <c r="AP20" i="4"/>
  <c r="AP21" i="4"/>
  <c r="AP22" i="4"/>
  <c r="AP23" i="4"/>
  <c r="AM20" i="4"/>
  <c r="AM21" i="4"/>
  <c r="AM22" i="4"/>
  <c r="AM23" i="4"/>
  <c r="AJ20" i="4"/>
  <c r="AJ21" i="4"/>
  <c r="AJ22" i="4"/>
  <c r="AJ23" i="4"/>
  <c r="AG20" i="4"/>
  <c r="AG21" i="4"/>
  <c r="AG22" i="4"/>
  <c r="AG23" i="4"/>
  <c r="AD20" i="4"/>
  <c r="AD21" i="4"/>
  <c r="AD22" i="4"/>
  <c r="AD23" i="4"/>
  <c r="AA20" i="4"/>
  <c r="AA21" i="4"/>
  <c r="AA22" i="4"/>
  <c r="AA23" i="4"/>
  <c r="X20" i="4"/>
  <c r="X21" i="4"/>
  <c r="X22" i="4"/>
  <c r="X23" i="4"/>
  <c r="U20" i="4"/>
  <c r="U21" i="4"/>
  <c r="U22" i="4"/>
  <c r="U23" i="4"/>
  <c r="R20" i="4"/>
  <c r="R21" i="4"/>
  <c r="R22" i="4"/>
  <c r="R23" i="4"/>
  <c r="U63" i="4"/>
  <c r="U64" i="4"/>
  <c r="X63" i="4"/>
  <c r="X64" i="4"/>
  <c r="AA63" i="4"/>
  <c r="AA64" i="4"/>
  <c r="AD63" i="4"/>
  <c r="AD64" i="4"/>
  <c r="AG63" i="4"/>
  <c r="AG64" i="4"/>
  <c r="AJ63" i="4"/>
  <c r="AJ64" i="4"/>
  <c r="AM63" i="4"/>
  <c r="AM64" i="4"/>
  <c r="AP63" i="4"/>
  <c r="AP64" i="4"/>
  <c r="AS63" i="4"/>
  <c r="AS64" i="4"/>
  <c r="AV63" i="4"/>
  <c r="AV64" i="4"/>
  <c r="AY63" i="4"/>
  <c r="AY64" i="4"/>
  <c r="AZ63" i="4"/>
  <c r="BA63" i="4"/>
  <c r="BA64" i="4"/>
  <c r="BB63" i="4"/>
  <c r="BB64" i="4"/>
  <c r="BC63" i="4"/>
  <c r="BC64" i="4"/>
  <c r="BD63" i="4"/>
  <c r="BD64" i="4"/>
  <c r="BE63" i="4"/>
  <c r="BE64" i="4"/>
  <c r="BH63" i="4"/>
  <c r="BH64" i="4"/>
  <c r="AZ64" i="4"/>
  <c r="BN63" i="4"/>
  <c r="BN64" i="4"/>
  <c r="BQ63" i="4"/>
  <c r="BQ64" i="4"/>
  <c r="BT63" i="4"/>
  <c r="BT64" i="4"/>
  <c r="BW63" i="4"/>
  <c r="BW64" i="4"/>
  <c r="G14" i="6"/>
  <c r="I14" i="6"/>
  <c r="BZ750" i="4"/>
  <c r="BZ732" i="4"/>
  <c r="BZ722" i="4"/>
  <c r="BZ723" i="4"/>
  <c r="BZ716" i="4"/>
  <c r="BZ698" i="4"/>
  <c r="BZ654" i="4"/>
  <c r="BZ634" i="4"/>
  <c r="BZ548" i="4"/>
  <c r="BZ549" i="4"/>
  <c r="BZ550" i="4"/>
  <c r="BZ551" i="4"/>
  <c r="C14" i="6"/>
  <c r="BZ461" i="4"/>
  <c r="BZ457" i="4"/>
  <c r="BZ428" i="4"/>
  <c r="BZ218" i="4"/>
  <c r="BZ122" i="4"/>
  <c r="BZ123" i="4"/>
  <c r="BZ124" i="4"/>
  <c r="BZ34" i="4"/>
  <c r="BZ30" i="4"/>
  <c r="AP754" i="4"/>
  <c r="AM754" i="4"/>
  <c r="BW750" i="4"/>
  <c r="BW751" i="4"/>
  <c r="BW752" i="4"/>
  <c r="BW753" i="4"/>
  <c r="BT750" i="4"/>
  <c r="BT751" i="4"/>
  <c r="BT752" i="4"/>
  <c r="BT753" i="4"/>
  <c r="BQ750" i="4"/>
  <c r="BQ751" i="4"/>
  <c r="BQ752" i="4"/>
  <c r="BQ753" i="4"/>
  <c r="BK750" i="4"/>
  <c r="BK751" i="4"/>
  <c r="BK752" i="4"/>
  <c r="BK753" i="4"/>
  <c r="BH750" i="4"/>
  <c r="BH751" i="4"/>
  <c r="BH752" i="4"/>
  <c r="BH753" i="4"/>
  <c r="BE750" i="4"/>
  <c r="BE751" i="4"/>
  <c r="BE752" i="4"/>
  <c r="BE753" i="4"/>
  <c r="BB750" i="4"/>
  <c r="BB751" i="4"/>
  <c r="BB752" i="4"/>
  <c r="BB753" i="4"/>
  <c r="AY750" i="4"/>
  <c r="AY751" i="4"/>
  <c r="AY752" i="4"/>
  <c r="AY753" i="4"/>
  <c r="AV750" i="4"/>
  <c r="AV751" i="4"/>
  <c r="AV752" i="4"/>
  <c r="AV753" i="4"/>
  <c r="AS750" i="4"/>
  <c r="AS751" i="4"/>
  <c r="AS752" i="4"/>
  <c r="AS753" i="4"/>
  <c r="AJ750" i="4"/>
  <c r="AJ751" i="4"/>
  <c r="AJ752" i="4"/>
  <c r="AJ753" i="4"/>
  <c r="AG750" i="4"/>
  <c r="AG751" i="4"/>
  <c r="AG752" i="4"/>
  <c r="AG753" i="4"/>
  <c r="AD750" i="4"/>
  <c r="AD751" i="4"/>
  <c r="AD752" i="4"/>
  <c r="AD753" i="4"/>
  <c r="AA750" i="4"/>
  <c r="AA751" i="4"/>
  <c r="AA752" i="4"/>
  <c r="AA753" i="4"/>
  <c r="X750" i="4"/>
  <c r="X751" i="4"/>
  <c r="X752" i="4"/>
  <c r="X753" i="4"/>
  <c r="U750" i="4"/>
  <c r="U751" i="4"/>
  <c r="U752" i="4"/>
  <c r="U753" i="4"/>
  <c r="R750" i="4"/>
  <c r="R751" i="4"/>
  <c r="R752" i="4"/>
  <c r="R753" i="4"/>
  <c r="BW738" i="4"/>
  <c r="BT738" i="4"/>
  <c r="BK738" i="4"/>
  <c r="BH738" i="4"/>
  <c r="BH739" i="4"/>
  <c r="BH740" i="4"/>
  <c r="BH741" i="4"/>
  <c r="BE738" i="4"/>
  <c r="BE739" i="4"/>
  <c r="BE740" i="4"/>
  <c r="BE741" i="4"/>
  <c r="BB738" i="4"/>
  <c r="BB739" i="4"/>
  <c r="BB740" i="4"/>
  <c r="BB741" i="4"/>
  <c r="AY738" i="4"/>
  <c r="AY739" i="4"/>
  <c r="AY740" i="4"/>
  <c r="AY741" i="4"/>
  <c r="AV738" i="4"/>
  <c r="AV739" i="4"/>
  <c r="AV740" i="4"/>
  <c r="AV741" i="4"/>
  <c r="AS738" i="4"/>
  <c r="AS739" i="4"/>
  <c r="AS740" i="4"/>
  <c r="AS741" i="4"/>
  <c r="AP738" i="4"/>
  <c r="AM738" i="4"/>
  <c r="AJ738" i="4"/>
  <c r="AJ739" i="4"/>
  <c r="AJ740" i="4"/>
  <c r="AJ741" i="4"/>
  <c r="AG738" i="4"/>
  <c r="AG739" i="4"/>
  <c r="AG740" i="4"/>
  <c r="AG741" i="4"/>
  <c r="AD738" i="4"/>
  <c r="AD739" i="4"/>
  <c r="AD740" i="4"/>
  <c r="AD741" i="4"/>
  <c r="AA738" i="4"/>
  <c r="AA739" i="4"/>
  <c r="AA740" i="4"/>
  <c r="AA741" i="4"/>
  <c r="X738" i="4"/>
  <c r="X739" i="4"/>
  <c r="X740" i="4"/>
  <c r="X741" i="4"/>
  <c r="U738" i="4"/>
  <c r="U739" i="4"/>
  <c r="U740" i="4"/>
  <c r="U741" i="4"/>
  <c r="R738" i="4"/>
  <c r="R739" i="4"/>
  <c r="R740" i="4"/>
  <c r="R741" i="4"/>
  <c r="BW732" i="4"/>
  <c r="BT732" i="4"/>
  <c r="BQ732" i="4"/>
  <c r="BN732" i="4"/>
  <c r="BK732" i="4"/>
  <c r="BH732" i="4"/>
  <c r="BE732" i="4"/>
  <c r="BB732" i="4"/>
  <c r="AY732" i="4"/>
  <c r="AV732" i="4"/>
  <c r="AS732" i="4"/>
  <c r="AP732" i="4"/>
  <c r="AM732" i="4"/>
  <c r="AJ732" i="4"/>
  <c r="AG732" i="4"/>
  <c r="AD732" i="4"/>
  <c r="AA732" i="4"/>
  <c r="X732" i="4"/>
  <c r="U732" i="4"/>
  <c r="R732" i="4"/>
  <c r="BW722" i="4"/>
  <c r="BW723" i="4"/>
  <c r="BT722" i="4"/>
  <c r="BT723" i="4"/>
  <c r="BQ722" i="4"/>
  <c r="BQ723" i="4"/>
  <c r="BN722" i="4"/>
  <c r="BN723" i="4"/>
  <c r="BK722" i="4"/>
  <c r="BK723" i="4"/>
  <c r="BH722" i="4"/>
  <c r="BH723" i="4"/>
  <c r="BE722" i="4"/>
  <c r="BE723" i="4"/>
  <c r="BB722" i="4"/>
  <c r="BB723" i="4"/>
  <c r="AY722" i="4"/>
  <c r="AY723" i="4"/>
  <c r="AV722" i="4"/>
  <c r="AV723" i="4"/>
  <c r="AS722" i="4"/>
  <c r="AS723" i="4"/>
  <c r="AJ722" i="4"/>
  <c r="AJ723" i="4"/>
  <c r="AG722" i="4"/>
  <c r="AG723" i="4"/>
  <c r="AD722" i="4"/>
  <c r="AD723" i="4"/>
  <c r="AA722" i="4"/>
  <c r="AA723" i="4"/>
  <c r="X722" i="4"/>
  <c r="X723" i="4"/>
  <c r="U722" i="4"/>
  <c r="U723" i="4"/>
  <c r="R722" i="4"/>
  <c r="R723" i="4"/>
  <c r="BW716" i="4"/>
  <c r="BT716" i="4"/>
  <c r="BQ716" i="4"/>
  <c r="BN716" i="4"/>
  <c r="BK716" i="4"/>
  <c r="BH716" i="4"/>
  <c r="BE716" i="4"/>
  <c r="BB716" i="4"/>
  <c r="AY716" i="4"/>
  <c r="AV716" i="4"/>
  <c r="AS716" i="4"/>
  <c r="AJ716" i="4"/>
  <c r="AG716" i="4"/>
  <c r="AD716" i="4"/>
  <c r="AA716" i="4"/>
  <c r="X716" i="4"/>
  <c r="U716" i="4"/>
  <c r="R716" i="4"/>
  <c r="BT712" i="4"/>
  <c r="BQ712" i="4"/>
  <c r="BN712" i="4"/>
  <c r="BK712" i="4"/>
  <c r="BH712" i="4"/>
  <c r="BE712" i="4"/>
  <c r="BB712" i="4"/>
  <c r="AY712" i="4"/>
  <c r="AV712" i="4"/>
  <c r="AS712" i="4"/>
  <c r="AJ712" i="4"/>
  <c r="AG712" i="4"/>
  <c r="AD712" i="4"/>
  <c r="AA712" i="4"/>
  <c r="X712" i="4"/>
  <c r="U712" i="4"/>
  <c r="R712" i="4"/>
  <c r="BZ712" i="4"/>
  <c r="BW704" i="4"/>
  <c r="BT704" i="4"/>
  <c r="BQ704" i="4"/>
  <c r="BN704" i="4"/>
  <c r="BK704" i="4"/>
  <c r="BH704" i="4"/>
  <c r="BE704" i="4"/>
  <c r="BB704" i="4"/>
  <c r="AY704" i="4"/>
  <c r="AV704" i="4"/>
  <c r="AS704" i="4"/>
  <c r="AJ704" i="4"/>
  <c r="AG704" i="4"/>
  <c r="AD704" i="4"/>
  <c r="AA704" i="4"/>
  <c r="X704" i="4"/>
  <c r="U704" i="4"/>
  <c r="R704" i="4"/>
  <c r="BW698" i="4"/>
  <c r="BT698" i="4"/>
  <c r="BQ698" i="4"/>
  <c r="BN698" i="4"/>
  <c r="BK698" i="4"/>
  <c r="BH698" i="4"/>
  <c r="BE698" i="4"/>
  <c r="BB698" i="4"/>
  <c r="AY698" i="4"/>
  <c r="AV698" i="4"/>
  <c r="AS698" i="4"/>
  <c r="AJ698" i="4"/>
  <c r="AG698" i="4"/>
  <c r="AD698" i="4"/>
  <c r="AA698" i="4"/>
  <c r="X698" i="4"/>
  <c r="U698" i="4"/>
  <c r="R698" i="4"/>
  <c r="BW694" i="4"/>
  <c r="BT694" i="4"/>
  <c r="BQ694" i="4"/>
  <c r="BN694" i="4"/>
  <c r="BK694" i="4"/>
  <c r="BH694" i="4"/>
  <c r="BE694" i="4"/>
  <c r="BB694" i="4"/>
  <c r="AY694" i="4"/>
  <c r="AV694" i="4"/>
  <c r="AS694" i="4"/>
  <c r="AJ694" i="4"/>
  <c r="AG694" i="4"/>
  <c r="AD694" i="4"/>
  <c r="AA694" i="4"/>
  <c r="X694" i="4"/>
  <c r="U694" i="4"/>
  <c r="R694" i="4"/>
  <c r="BZ694" i="4"/>
  <c r="BW690" i="4"/>
  <c r="BT690" i="4"/>
  <c r="BQ690" i="4"/>
  <c r="BN690" i="4"/>
  <c r="BH690" i="4"/>
  <c r="BE690" i="4"/>
  <c r="BB690" i="4"/>
  <c r="AY690" i="4"/>
  <c r="AV690" i="4"/>
  <c r="AS690" i="4"/>
  <c r="AP690" i="4"/>
  <c r="AM690" i="4"/>
  <c r="AJ690" i="4"/>
  <c r="AG690" i="4"/>
  <c r="AD690" i="4"/>
  <c r="AA690" i="4"/>
  <c r="X690" i="4"/>
  <c r="U690" i="4"/>
  <c r="R690" i="4"/>
  <c r="Q690" i="4"/>
  <c r="BK690" i="4"/>
  <c r="BK678" i="4"/>
  <c r="BK679" i="4"/>
  <c r="BK670" i="4"/>
  <c r="BK660" i="4"/>
  <c r="BW650" i="4"/>
  <c r="AS650" i="4"/>
  <c r="AS642" i="4"/>
  <c r="AV610" i="4"/>
  <c r="AM610" i="4"/>
  <c r="BW594" i="4"/>
  <c r="AM560" i="4"/>
  <c r="AM561" i="4"/>
  <c r="BK529" i="4"/>
  <c r="BK525" i="4"/>
  <c r="BK521" i="4"/>
  <c r="BK505" i="4"/>
  <c r="BK489" i="4"/>
  <c r="BZ472" i="4"/>
  <c r="BZ473" i="4"/>
  <c r="BQ461" i="4"/>
  <c r="BK461" i="4"/>
  <c r="BH461" i="4"/>
  <c r="BE461" i="4"/>
  <c r="BB461" i="4"/>
  <c r="AY461" i="4"/>
  <c r="AV461" i="4"/>
  <c r="AS461" i="4"/>
  <c r="AJ461" i="4"/>
  <c r="AG461" i="4"/>
  <c r="AD461" i="4"/>
  <c r="AA461" i="4"/>
  <c r="X461" i="4"/>
  <c r="U461" i="4"/>
  <c r="R461" i="4"/>
  <c r="BK453" i="4"/>
  <c r="BK424" i="4"/>
  <c r="AY424" i="4"/>
  <c r="BB391" i="4"/>
  <c r="AY391" i="4"/>
  <c r="BE378" i="4"/>
  <c r="BK366" i="4"/>
  <c r="BK367" i="4"/>
  <c r="BK360" i="4"/>
  <c r="BK361" i="4"/>
  <c r="BK324" i="4"/>
  <c r="BQ317" i="4"/>
  <c r="BK304" i="4"/>
  <c r="BK295" i="4"/>
  <c r="BH295" i="4"/>
  <c r="BQ275" i="4"/>
  <c r="BK271" i="4"/>
  <c r="BK262" i="4"/>
  <c r="BK260" i="4"/>
  <c r="BQ228" i="4"/>
  <c r="BQ234" i="4"/>
  <c r="BK228" i="4"/>
  <c r="R222" i="4"/>
  <c r="BQ214" i="4"/>
  <c r="BN214" i="4"/>
  <c r="BH214" i="4"/>
  <c r="BE214" i="4"/>
  <c r="BB214" i="4"/>
  <c r="AY214" i="4"/>
  <c r="AV214" i="4"/>
  <c r="AS214" i="4"/>
  <c r="AP214" i="4"/>
  <c r="AM214" i="4"/>
  <c r="AJ214" i="4"/>
  <c r="AG214" i="4"/>
  <c r="AD214" i="4"/>
  <c r="AA214" i="4"/>
  <c r="X214" i="4"/>
  <c r="U214" i="4"/>
  <c r="BK201" i="4"/>
  <c r="BK187" i="4"/>
  <c r="BK188" i="4"/>
  <c r="A186" i="4"/>
  <c r="BK179" i="4"/>
  <c r="BK143" i="4"/>
  <c r="BK136" i="4"/>
  <c r="BH114" i="4"/>
  <c r="BH115" i="4"/>
  <c r="BH116" i="4"/>
  <c r="X114" i="4"/>
  <c r="X115" i="4"/>
  <c r="X116" i="4"/>
  <c r="M92" i="4"/>
  <c r="BK89" i="4"/>
  <c r="M86" i="4"/>
  <c r="M75" i="4"/>
  <c r="R63" i="4"/>
  <c r="R64" i="4"/>
  <c r="BZ40" i="4"/>
  <c r="BZ41" i="4"/>
  <c r="R30" i="4"/>
  <c r="R35" i="4"/>
  <c r="M15" i="4"/>
  <c r="M14" i="4"/>
  <c r="M13" i="4"/>
  <c r="M12" i="4"/>
  <c r="M11" i="4"/>
  <c r="AG467" i="4"/>
  <c r="J14" i="6"/>
  <c r="L14" i="6"/>
  <c r="O14" i="6"/>
  <c r="H14" i="6"/>
  <c r="M14" i="6"/>
  <c r="N14" i="6"/>
  <c r="F14" i="6"/>
  <c r="BQ102" i="4"/>
  <c r="BQ103" i="4"/>
  <c r="BW102" i="4"/>
  <c r="BW103" i="4"/>
  <c r="BH144" i="4"/>
  <c r="BQ144" i="4"/>
  <c r="AY202" i="4"/>
  <c r="BN447" i="4"/>
  <c r="BQ35" i="4"/>
  <c r="BE35" i="4"/>
  <c r="BD102" i="4"/>
  <c r="BD103" i="4"/>
  <c r="AP144" i="4"/>
  <c r="BT144" i="4"/>
  <c r="AJ234" i="4"/>
  <c r="BN338" i="4"/>
  <c r="BN339" i="4"/>
  <c r="BK368" i="4"/>
  <c r="BK369" i="4"/>
  <c r="BC223" i="4"/>
  <c r="BT223" i="4"/>
  <c r="X447" i="4"/>
  <c r="AJ447" i="4"/>
  <c r="AV447" i="4"/>
  <c r="BW447" i="4"/>
  <c r="BB392" i="4"/>
  <c r="BB144" i="4"/>
  <c r="AD261" i="4"/>
  <c r="BB261" i="4"/>
  <c r="R392" i="4"/>
  <c r="AD392" i="4"/>
  <c r="AA447" i="4"/>
  <c r="AM447" i="4"/>
  <c r="AZ447" i="4"/>
  <c r="BD447" i="4"/>
  <c r="BE447" i="4"/>
  <c r="X180" i="4"/>
  <c r="AJ180" i="4"/>
  <c r="AV180" i="4"/>
  <c r="BD180" i="4"/>
  <c r="AY203" i="4"/>
  <c r="BH203" i="4"/>
  <c r="U202" i="4"/>
  <c r="AG202" i="4"/>
  <c r="AS202" i="4"/>
  <c r="BA202" i="4"/>
  <c r="AV234" i="4"/>
  <c r="AZ234" i="4"/>
  <c r="BE234" i="4"/>
  <c r="BN234" i="4"/>
  <c r="AA392" i="4"/>
  <c r="BQ429" i="4"/>
  <c r="R671" i="4"/>
  <c r="BQ125" i="4"/>
  <c r="BQ276" i="4"/>
  <c r="AY392" i="4"/>
  <c r="AS467" i="4"/>
  <c r="R102" i="4"/>
  <c r="R103" i="4"/>
  <c r="R125" i="4"/>
  <c r="X144" i="4"/>
  <c r="BW144" i="4"/>
  <c r="BT202" i="4"/>
  <c r="U234" i="4"/>
  <c r="BW261" i="4"/>
  <c r="AM276" i="4"/>
  <c r="BH276" i="4"/>
  <c r="R368" i="4"/>
  <c r="R369" i="4"/>
  <c r="AV392" i="4"/>
  <c r="BQ392" i="4"/>
  <c r="U392" i="4"/>
  <c r="AG392" i="4"/>
  <c r="R429" i="4"/>
  <c r="AP429" i="4"/>
  <c r="U643" i="4"/>
  <c r="G11" i="6"/>
  <c r="AA165" i="4"/>
  <c r="AM165" i="4"/>
  <c r="AY165" i="4"/>
  <c r="BC165" i="4"/>
  <c r="BH165" i="4"/>
  <c r="X671" i="4"/>
  <c r="AJ671" i="4"/>
  <c r="AV671" i="4"/>
  <c r="BD671" i="4"/>
  <c r="BK483" i="4"/>
  <c r="BK484" i="4"/>
  <c r="AD102" i="4"/>
  <c r="AD103" i="4"/>
  <c r="AP102" i="4"/>
  <c r="AP103" i="4"/>
  <c r="BB102" i="4"/>
  <c r="BB103" i="4"/>
  <c r="BB125" i="4"/>
  <c r="AD144" i="4"/>
  <c r="BA203" i="4"/>
  <c r="U35" i="4"/>
  <c r="AG35" i="4"/>
  <c r="AG65" i="4"/>
  <c r="AG66" i="4"/>
  <c r="AS35" i="4"/>
  <c r="BA35" i="4"/>
  <c r="BN35" i="4"/>
  <c r="BA165" i="4"/>
  <c r="BQ180" i="4"/>
  <c r="U180" i="4"/>
  <c r="AG180" i="4"/>
  <c r="AS180" i="4"/>
  <c r="X392" i="4"/>
  <c r="AS392" i="4"/>
  <c r="AG89" i="4"/>
  <c r="AG102" i="4"/>
  <c r="AG103" i="4"/>
  <c r="AG125" i="4"/>
  <c r="BK144" i="4"/>
  <c r="BK254" i="4"/>
  <c r="BK671" i="4"/>
  <c r="AV102" i="4"/>
  <c r="AV103" i="4"/>
  <c r="AV125" i="4"/>
  <c r="BE102" i="4"/>
  <c r="BE103" i="4"/>
  <c r="BE125" i="4"/>
  <c r="AJ144" i="4"/>
  <c r="AZ144" i="4"/>
  <c r="BD144" i="4"/>
  <c r="BE144" i="4"/>
  <c r="X261" i="4"/>
  <c r="AJ261" i="4"/>
  <c r="AV261" i="4"/>
  <c r="AZ261" i="4"/>
  <c r="BD261" i="4"/>
  <c r="BE261" i="4"/>
  <c r="BA180" i="4"/>
  <c r="BW180" i="4"/>
  <c r="BA223" i="4"/>
  <c r="R234" i="4"/>
  <c r="AD234" i="4"/>
  <c r="AP234" i="4"/>
  <c r="BB234" i="4"/>
  <c r="AG261" i="4"/>
  <c r="AG276" i="4"/>
  <c r="X276" i="4"/>
  <c r="X277" i="4"/>
  <c r="X278" i="4"/>
  <c r="AJ276" i="4"/>
  <c r="AJ277" i="4"/>
  <c r="AJ278" i="4"/>
  <c r="AV276" i="4"/>
  <c r="AV277" i="4"/>
  <c r="AV278" i="4"/>
  <c r="AZ276" i="4"/>
  <c r="AZ277" i="4"/>
  <c r="AZ278" i="4"/>
  <c r="BD276" i="4"/>
  <c r="BD277" i="4"/>
  <c r="BD278" i="4"/>
  <c r="BE276" i="4"/>
  <c r="BE277" i="4"/>
  <c r="BE278" i="4"/>
  <c r="BN276" i="4"/>
  <c r="BT338" i="4"/>
  <c r="BT339" i="4"/>
  <c r="AP392" i="4"/>
  <c r="R506" i="4"/>
  <c r="AD506" i="4"/>
  <c r="AP506" i="4"/>
  <c r="BB506" i="4"/>
  <c r="X506" i="4"/>
  <c r="BD506" i="4"/>
  <c r="BT165" i="4"/>
  <c r="AZ180" i="4"/>
  <c r="BE180" i="4"/>
  <c r="R180" i="4"/>
  <c r="AD180" i="4"/>
  <c r="AP180" i="4"/>
  <c r="BB180" i="4"/>
  <c r="BN202" i="4"/>
  <c r="BN203" i="4"/>
  <c r="X234" i="4"/>
  <c r="BD234" i="4"/>
  <c r="AA261" i="4"/>
  <c r="AM261" i="4"/>
  <c r="AM277" i="4"/>
  <c r="AM278" i="4"/>
  <c r="AY261" i="4"/>
  <c r="BC261" i="4"/>
  <c r="BH261" i="4"/>
  <c r="BH277" i="4"/>
  <c r="BH278" i="4"/>
  <c r="BQ261" i="4"/>
  <c r="X305" i="4"/>
  <c r="X306" i="4"/>
  <c r="AJ305" i="4"/>
  <c r="AJ306" i="4"/>
  <c r="AV305" i="4"/>
  <c r="AV306" i="4"/>
  <c r="AZ305" i="4"/>
  <c r="AZ306" i="4"/>
  <c r="BD305" i="4"/>
  <c r="BD306" i="4"/>
  <c r="BE305" i="4"/>
  <c r="BE306" i="4"/>
  <c r="AG368" i="4"/>
  <c r="AG369" i="4"/>
  <c r="AS368" i="4"/>
  <c r="AS369" i="4"/>
  <c r="BA368" i="4"/>
  <c r="BA369" i="4"/>
  <c r="BQ671" i="4"/>
  <c r="AG234" i="4"/>
  <c r="AS234" i="4"/>
  <c r="BA234" i="4"/>
  <c r="BT261" i="4"/>
  <c r="BC276" i="4"/>
  <c r="BC277" i="4"/>
  <c r="BC278" i="4"/>
  <c r="BQ305" i="4"/>
  <c r="BQ306" i="4"/>
  <c r="AA338" i="4"/>
  <c r="AA339" i="4"/>
  <c r="AM338" i="4"/>
  <c r="AM339" i="4"/>
  <c r="AY338" i="4"/>
  <c r="AY339" i="4"/>
  <c r="BC338" i="4"/>
  <c r="BC339" i="4"/>
  <c r="BH338" i="4"/>
  <c r="BH339" i="4"/>
  <c r="AP368" i="4"/>
  <c r="AP369" i="4"/>
  <c r="AA368" i="4"/>
  <c r="AA369" i="4"/>
  <c r="AM368" i="4"/>
  <c r="AM369" i="4"/>
  <c r="AY368" i="4"/>
  <c r="AY369" i="4"/>
  <c r="BC368" i="4"/>
  <c r="BC369" i="4"/>
  <c r="BH368" i="4"/>
  <c r="BH369" i="4"/>
  <c r="BQ368" i="4"/>
  <c r="BQ369" i="4"/>
  <c r="BA447" i="4"/>
  <c r="AM467" i="4"/>
  <c r="BC467" i="4"/>
  <c r="BT467" i="4"/>
  <c r="BB643" i="4"/>
  <c r="BK643" i="4"/>
  <c r="BW643" i="4"/>
  <c r="X368" i="4"/>
  <c r="X369" i="4"/>
  <c r="AJ368" i="4"/>
  <c r="AJ369" i="4"/>
  <c r="AV368" i="4"/>
  <c r="AV369" i="4"/>
  <c r="AZ368" i="4"/>
  <c r="AZ369" i="4"/>
  <c r="BD368" i="4"/>
  <c r="BD369" i="4"/>
  <c r="BE368" i="4"/>
  <c r="BE369" i="4"/>
  <c r="R643" i="4"/>
  <c r="AD643" i="4"/>
  <c r="AP643" i="4"/>
  <c r="AY643" i="4"/>
  <c r="BC643" i="4"/>
  <c r="BH643" i="4"/>
  <c r="BT643" i="4"/>
  <c r="X429" i="4"/>
  <c r="AJ429" i="4"/>
  <c r="AV429" i="4"/>
  <c r="AZ429" i="4"/>
  <c r="BD429" i="4"/>
  <c r="BE429" i="4"/>
  <c r="BB447" i="4"/>
  <c r="BT447" i="4"/>
  <c r="BA467" i="4"/>
  <c r="BN467" i="4"/>
  <c r="AV506" i="4"/>
  <c r="AG643" i="4"/>
  <c r="AA643" i="4"/>
  <c r="AM643" i="4"/>
  <c r="AD671" i="4"/>
  <c r="BB671" i="4"/>
  <c r="BW392" i="4"/>
  <c r="R447" i="4"/>
  <c r="AD447" i="4"/>
  <c r="AP447" i="4"/>
  <c r="BC447" i="4"/>
  <c r="BH447" i="4"/>
  <c r="BQ447" i="4"/>
  <c r="AP467" i="4"/>
  <c r="BW467" i="4"/>
  <c r="BW506" i="4"/>
  <c r="AA506" i="4"/>
  <c r="AM506" i="4"/>
  <c r="AY506" i="4"/>
  <c r="BC506" i="4"/>
  <c r="BH506" i="4"/>
  <c r="BB530" i="4"/>
  <c r="BA643" i="4"/>
  <c r="BN643" i="4"/>
  <c r="BZ331" i="4"/>
  <c r="BK331" i="4"/>
  <c r="AJ378" i="4"/>
  <c r="AJ392" i="4"/>
  <c r="BK438" i="4"/>
  <c r="BK102" i="4"/>
  <c r="BK103" i="4"/>
  <c r="BK125" i="4"/>
  <c r="BZ136" i="4"/>
  <c r="BZ153" i="4"/>
  <c r="BK153" i="4"/>
  <c r="BK174" i="4"/>
  <c r="BK197" i="4"/>
  <c r="BK202" i="4"/>
  <c r="BK203" i="4"/>
  <c r="BK290" i="4"/>
  <c r="BK305" i="4"/>
  <c r="BK306" i="4"/>
  <c r="BK378" i="4"/>
  <c r="BK404" i="4"/>
  <c r="BZ512" i="4"/>
  <c r="BK512" i="4"/>
  <c r="AM580" i="4"/>
  <c r="AP650" i="4"/>
  <c r="BZ529" i="4"/>
  <c r="BZ690" i="4"/>
  <c r="AJ125" i="4"/>
  <c r="AZ125" i="4"/>
  <c r="U165" i="4"/>
  <c r="BK538" i="4"/>
  <c r="BK539" i="4"/>
  <c r="BZ594" i="4"/>
  <c r="AM594" i="4"/>
  <c r="BZ483" i="4"/>
  <c r="BZ484" i="4"/>
  <c r="BK77" i="4"/>
  <c r="BK78" i="4"/>
  <c r="BK79" i="4"/>
  <c r="BK80" i="4"/>
  <c r="BT101" i="4"/>
  <c r="BT102" i="4"/>
  <c r="BT103" i="4"/>
  <c r="AA143" i="4"/>
  <c r="BK180" i="4"/>
  <c r="BK233" i="4"/>
  <c r="BK234" i="4"/>
  <c r="BZ275" i="4"/>
  <c r="BK275" i="4"/>
  <c r="BK276" i="4"/>
  <c r="BK417" i="4"/>
  <c r="BK446" i="4"/>
  <c r="BK501" i="4"/>
  <c r="U538" i="4"/>
  <c r="U539" i="4" s="1"/>
  <c r="U540" i="4" s="1"/>
  <c r="U541" i="4" s="1"/>
  <c r="U682" i="4" s="1"/>
  <c r="U755" i="4" s="1"/>
  <c r="BZ617" i="4"/>
  <c r="AM617" i="4"/>
  <c r="BZ622" i="4"/>
  <c r="AM622" i="4"/>
  <c r="I3" i="6"/>
  <c r="AS165" i="4"/>
  <c r="BN165" i="4"/>
  <c r="X101" i="4"/>
  <c r="X102" i="4"/>
  <c r="X103" i="4"/>
  <c r="X125" i="4"/>
  <c r="BK247" i="4"/>
  <c r="BK261" i="4"/>
  <c r="BK337" i="4"/>
  <c r="BZ77" i="4"/>
  <c r="BZ78" i="4"/>
  <c r="BZ79" i="4"/>
  <c r="BZ80" i="4"/>
  <c r="C5" i="6"/>
  <c r="AD77" i="4"/>
  <c r="AD78" i="4"/>
  <c r="AD79" i="4"/>
  <c r="AD80" i="4"/>
  <c r="BZ89" i="4"/>
  <c r="BK164" i="4"/>
  <c r="BK315" i="4"/>
  <c r="BK349" i="4"/>
  <c r="BK350" i="4"/>
  <c r="BK351" i="4"/>
  <c r="AY446" i="4"/>
  <c r="AY447" i="4"/>
  <c r="BK495" i="4"/>
  <c r="BK517" i="4"/>
  <c r="AM628" i="4"/>
  <c r="AS638" i="4"/>
  <c r="AS643" i="4"/>
  <c r="G5" i="6"/>
  <c r="BK20" i="4"/>
  <c r="BK21" i="4"/>
  <c r="BK22" i="4"/>
  <c r="BK23" i="4"/>
  <c r="AP125" i="4"/>
  <c r="BD125" i="4"/>
  <c r="AA136" i="4"/>
  <c r="BK159" i="4"/>
  <c r="AS223" i="4"/>
  <c r="AS235" i="4"/>
  <c r="AS236" i="4"/>
  <c r="BT203" i="4"/>
  <c r="U223" i="4"/>
  <c r="AG223" i="4"/>
  <c r="BN223" i="4"/>
  <c r="BN235" i="4"/>
  <c r="BN236" i="4"/>
  <c r="BA235" i="4"/>
  <c r="BA236" i="4"/>
  <c r="AG277" i="4"/>
  <c r="AG278" i="4"/>
  <c r="AA102" i="4"/>
  <c r="AA103" i="4"/>
  <c r="AM102" i="4"/>
  <c r="AM103" i="4"/>
  <c r="AM125" i="4"/>
  <c r="AY102" i="4"/>
  <c r="AY103" i="4"/>
  <c r="AY125" i="4"/>
  <c r="BC102" i="4"/>
  <c r="BC103" i="4"/>
  <c r="BC125" i="4"/>
  <c r="BH102" i="4"/>
  <c r="BH103" i="4"/>
  <c r="U144" i="4"/>
  <c r="U181" i="4"/>
  <c r="AG144" i="4"/>
  <c r="AS144" i="4"/>
  <c r="BA144" i="4"/>
  <c r="BA181" i="4"/>
  <c r="BN144" i="4"/>
  <c r="AA202" i="4"/>
  <c r="AA203" i="4"/>
  <c r="AM202" i="4"/>
  <c r="AM203" i="4"/>
  <c r="BC202" i="4"/>
  <c r="BC203" i="4"/>
  <c r="BQ202" i="4"/>
  <c r="BQ203" i="4"/>
  <c r="BW65" i="4"/>
  <c r="BW66" i="4"/>
  <c r="AA35" i="4"/>
  <c r="AA65" i="4"/>
  <c r="AA66" i="4"/>
  <c r="AM35" i="4"/>
  <c r="AM65" i="4"/>
  <c r="AM66" i="4"/>
  <c r="AY35" i="4"/>
  <c r="BC35" i="4"/>
  <c r="BH35" i="4"/>
  <c r="BH65" i="4"/>
  <c r="BH66" i="4"/>
  <c r="BT35" i="4"/>
  <c r="BT65" i="4"/>
  <c r="BT66" i="4"/>
  <c r="AG165" i="4"/>
  <c r="X202" i="4"/>
  <c r="X203" i="4"/>
  <c r="AJ202" i="4"/>
  <c r="AJ203" i="4"/>
  <c r="AV202" i="4"/>
  <c r="AV203" i="4"/>
  <c r="AZ202" i="4"/>
  <c r="AZ203" i="4"/>
  <c r="BD202" i="4"/>
  <c r="BD203" i="4"/>
  <c r="BE202" i="4"/>
  <c r="BE203" i="4"/>
  <c r="AA223" i="4"/>
  <c r="AM223" i="4"/>
  <c r="AY223" i="4"/>
  <c r="BH223" i="4"/>
  <c r="I5" i="6"/>
  <c r="U102" i="4"/>
  <c r="U103" i="4"/>
  <c r="U125" i="4"/>
  <c r="AS102" i="4"/>
  <c r="AS103" i="4"/>
  <c r="AS125" i="4"/>
  <c r="BA102" i="4"/>
  <c r="BA103" i="4"/>
  <c r="BA125" i="4"/>
  <c r="BN102" i="4"/>
  <c r="BN103" i="4"/>
  <c r="BN125" i="4"/>
  <c r="AA125" i="4"/>
  <c r="BH125" i="4"/>
  <c r="BT125" i="4"/>
  <c r="AD125" i="4"/>
  <c r="BW125" i="4"/>
  <c r="R165" i="4"/>
  <c r="AD165" i="4"/>
  <c r="AP165" i="4"/>
  <c r="BB165" i="4"/>
  <c r="BB181" i="4"/>
  <c r="BW165" i="4"/>
  <c r="BN180" i="4"/>
  <c r="U203" i="4"/>
  <c r="AG203" i="4"/>
  <c r="AS203" i="4"/>
  <c r="X165" i="4"/>
  <c r="AJ165" i="4"/>
  <c r="AJ181" i="4"/>
  <c r="AV165" i="4"/>
  <c r="AZ165" i="4"/>
  <c r="BD165" i="4"/>
  <c r="BE165" i="4"/>
  <c r="BQ165" i="4"/>
  <c r="AA180" i="4"/>
  <c r="AM180" i="4"/>
  <c r="AM181" i="4"/>
  <c r="AY180" i="4"/>
  <c r="BC180" i="4"/>
  <c r="BC181" i="4"/>
  <c r="BH180" i="4"/>
  <c r="BH181" i="4"/>
  <c r="BT180" i="4"/>
  <c r="R202" i="4"/>
  <c r="R203" i="4"/>
  <c r="AD202" i="4"/>
  <c r="AD203" i="4"/>
  <c r="AP202" i="4"/>
  <c r="AP203" i="4"/>
  <c r="BB202" i="4"/>
  <c r="BB203" i="4"/>
  <c r="BW202" i="4"/>
  <c r="BW203" i="4"/>
  <c r="X223" i="4"/>
  <c r="AJ223" i="4"/>
  <c r="AJ235" i="4"/>
  <c r="AJ236" i="4"/>
  <c r="AV223" i="4"/>
  <c r="AV235" i="4"/>
  <c r="AV236" i="4"/>
  <c r="AZ223" i="4"/>
  <c r="BD223" i="4"/>
  <c r="BE223" i="4"/>
  <c r="BE235" i="4"/>
  <c r="BE236" i="4"/>
  <c r="BQ223" i="4"/>
  <c r="BQ235" i="4"/>
  <c r="BQ236" i="4"/>
  <c r="AA234" i="4"/>
  <c r="AA235" i="4"/>
  <c r="AA236" i="4"/>
  <c r="AM234" i="4"/>
  <c r="AY234" i="4"/>
  <c r="BC234" i="4"/>
  <c r="BC235" i="4"/>
  <c r="BC236" i="4"/>
  <c r="BH234" i="4"/>
  <c r="BT234" i="4"/>
  <c r="BT235" i="4"/>
  <c r="BT236" i="4"/>
  <c r="BN261" i="4"/>
  <c r="U276" i="4"/>
  <c r="AS276" i="4"/>
  <c r="BA276" i="4"/>
  <c r="BT305" i="4"/>
  <c r="BT306" i="4"/>
  <c r="BN368" i="4"/>
  <c r="BN369" i="4"/>
  <c r="U261" i="4"/>
  <c r="AS261" i="4"/>
  <c r="BA261" i="4"/>
  <c r="BT276" i="4"/>
  <c r="AA305" i="4"/>
  <c r="AA306" i="4"/>
  <c r="AM305" i="4"/>
  <c r="AM306" i="4"/>
  <c r="AM352" i="4"/>
  <c r="AY305" i="4"/>
  <c r="AY306" i="4"/>
  <c r="AY352" i="4"/>
  <c r="BC305" i="4"/>
  <c r="BC306" i="4"/>
  <c r="BC352" i="4"/>
  <c r="BH305" i="4"/>
  <c r="BH306" i="4"/>
  <c r="U338" i="4"/>
  <c r="U339" i="4"/>
  <c r="AG338" i="4"/>
  <c r="AG339" i="4"/>
  <c r="AS338" i="4"/>
  <c r="AS339" i="4"/>
  <c r="BA338" i="4"/>
  <c r="BA339" i="4"/>
  <c r="U368" i="4"/>
  <c r="U369" i="4"/>
  <c r="AD223" i="4"/>
  <c r="AP223" i="4"/>
  <c r="AP235" i="4"/>
  <c r="AP236" i="4"/>
  <c r="BB223" i="4"/>
  <c r="BW223" i="4"/>
  <c r="BW235" i="4"/>
  <c r="BW236" i="4"/>
  <c r="R261" i="4"/>
  <c r="AP261" i="4"/>
  <c r="AA276" i="4"/>
  <c r="AA277" i="4"/>
  <c r="AA278" i="4"/>
  <c r="AY276" i="4"/>
  <c r="BK392" i="4"/>
  <c r="R276" i="4"/>
  <c r="AD276" i="4"/>
  <c r="AP276" i="4"/>
  <c r="BB276" i="4"/>
  <c r="BB277" i="4"/>
  <c r="BB278" i="4"/>
  <c r="BW276" i="4"/>
  <c r="BW277" i="4"/>
  <c r="BW278" i="4"/>
  <c r="R305" i="4"/>
  <c r="R306" i="4"/>
  <c r="AD305" i="4"/>
  <c r="AD306" i="4"/>
  <c r="AP305" i="4"/>
  <c r="AP306" i="4"/>
  <c r="BB305" i="4"/>
  <c r="BB306" i="4"/>
  <c r="BW305" i="4"/>
  <c r="BW306" i="4"/>
  <c r="R338" i="4"/>
  <c r="R339" i="4"/>
  <c r="AD338" i="4"/>
  <c r="AD339" i="4"/>
  <c r="AP338" i="4"/>
  <c r="AP339" i="4"/>
  <c r="AP352" i="4"/>
  <c r="BB338" i="4"/>
  <c r="BB339" i="4"/>
  <c r="BW338" i="4"/>
  <c r="BW339" i="4"/>
  <c r="AD368" i="4"/>
  <c r="AD369" i="4"/>
  <c r="BT368" i="4"/>
  <c r="BT369" i="4"/>
  <c r="BA392" i="4"/>
  <c r="BN392" i="4"/>
  <c r="AD429" i="4"/>
  <c r="BB429" i="4"/>
  <c r="BW429" i="4"/>
  <c r="BW474" i="4"/>
  <c r="BW475" i="4"/>
  <c r="R467" i="4"/>
  <c r="R474" i="4"/>
  <c r="R475" i="4"/>
  <c r="AD467" i="4"/>
  <c r="BB467" i="4"/>
  <c r="BK467" i="4"/>
  <c r="BQ506" i="4"/>
  <c r="X338" i="4"/>
  <c r="X339" i="4"/>
  <c r="AJ338" i="4"/>
  <c r="AJ339" i="4"/>
  <c r="AV338" i="4"/>
  <c r="AV339" i="4"/>
  <c r="AV352" i="4"/>
  <c r="AZ338" i="4"/>
  <c r="AZ339" i="4"/>
  <c r="BD338" i="4"/>
  <c r="BD339" i="4"/>
  <c r="BE338" i="4"/>
  <c r="BE339" i="4"/>
  <c r="BE352" i="4"/>
  <c r="BQ338" i="4"/>
  <c r="BQ339" i="4"/>
  <c r="BB368" i="4"/>
  <c r="BB369" i="4"/>
  <c r="BC392" i="4"/>
  <c r="BH392" i="4"/>
  <c r="U305" i="4"/>
  <c r="U306" i="4"/>
  <c r="AG305" i="4"/>
  <c r="AG306" i="4"/>
  <c r="AS305" i="4"/>
  <c r="AS306" i="4"/>
  <c r="BA305" i="4"/>
  <c r="BA306" i="4"/>
  <c r="BN305" i="4"/>
  <c r="BN306" i="4"/>
  <c r="BN352" i="4"/>
  <c r="BW368" i="4"/>
  <c r="BW369" i="4"/>
  <c r="AM392" i="4"/>
  <c r="BE392" i="4"/>
  <c r="U467" i="4"/>
  <c r="AD474" i="4"/>
  <c r="AD475" i="4"/>
  <c r="R530" i="4"/>
  <c r="R540" i="4"/>
  <c r="R541" i="4"/>
  <c r="BH352" i="4"/>
  <c r="AA429" i="4"/>
  <c r="AM429" i="4"/>
  <c r="AY429" i="4"/>
  <c r="BC429" i="4"/>
  <c r="BH429" i="4"/>
  <c r="BT429" i="4"/>
  <c r="BT506" i="4"/>
  <c r="U530" i="4"/>
  <c r="AG530" i="4"/>
  <c r="AS530" i="4"/>
  <c r="BA530" i="4"/>
  <c r="U629" i="4"/>
  <c r="AP629" i="4"/>
  <c r="BB629" i="4"/>
  <c r="BK629" i="4"/>
  <c r="BK680" i="4"/>
  <c r="BK681" i="4"/>
  <c r="BW629" i="4"/>
  <c r="U429" i="4"/>
  <c r="U474" i="4"/>
  <c r="U475" i="4"/>
  <c r="AG429" i="4"/>
  <c r="AS429" i="4"/>
  <c r="AS474" i="4"/>
  <c r="AS475" i="4"/>
  <c r="BA429" i="4"/>
  <c r="BN429" i="4"/>
  <c r="BN474" i="4"/>
  <c r="BN475" i="4"/>
  <c r="AA467" i="4"/>
  <c r="AY467" i="4"/>
  <c r="AY474" i="4"/>
  <c r="AY475" i="4"/>
  <c r="BH467" i="4"/>
  <c r="AJ506" i="4"/>
  <c r="AZ506" i="4"/>
  <c r="BE506" i="4"/>
  <c r="BN506" i="4"/>
  <c r="AA530" i="4"/>
  <c r="AM530" i="4"/>
  <c r="AY530" i="4"/>
  <c r="BC530" i="4"/>
  <c r="BC540" i="4"/>
  <c r="BC541" i="4"/>
  <c r="BH530" i="4"/>
  <c r="BH540" i="4"/>
  <c r="BH541" i="4"/>
  <c r="X467" i="4"/>
  <c r="AJ467" i="4"/>
  <c r="AV467" i="4"/>
  <c r="AV474" i="4"/>
  <c r="AV475" i="4"/>
  <c r="AZ467" i="4"/>
  <c r="BD467" i="4"/>
  <c r="BE467" i="4"/>
  <c r="BQ467" i="4"/>
  <c r="U506" i="4"/>
  <c r="AG506" i="4"/>
  <c r="AS506" i="4"/>
  <c r="BA506" i="4"/>
  <c r="AD530" i="4"/>
  <c r="AD540" i="4"/>
  <c r="AD541" i="4"/>
  <c r="AP530" i="4"/>
  <c r="BW530" i="4"/>
  <c r="BN530" i="4"/>
  <c r="AM540" i="4"/>
  <c r="AM541" i="4"/>
  <c r="AS629" i="4"/>
  <c r="R629" i="4"/>
  <c r="R680" i="4"/>
  <c r="R681" i="4"/>
  <c r="AD629" i="4"/>
  <c r="AD680" i="4"/>
  <c r="AD681" i="4"/>
  <c r="BT530" i="4"/>
  <c r="BB540" i="4"/>
  <c r="BB541" i="4"/>
  <c r="AG629" i="4"/>
  <c r="AP671" i="4"/>
  <c r="AP680" i="4"/>
  <c r="AP681" i="4"/>
  <c r="AZ671" i="4"/>
  <c r="BE671" i="4"/>
  <c r="X530" i="4"/>
  <c r="X540" i="4"/>
  <c r="X541" i="4"/>
  <c r="AJ530" i="4"/>
  <c r="AV530" i="4"/>
  <c r="AV540" i="4"/>
  <c r="AV541" i="4"/>
  <c r="AZ530" i="4"/>
  <c r="BD530" i="4"/>
  <c r="BE530" i="4"/>
  <c r="BQ530" i="4"/>
  <c r="BQ540" i="4"/>
  <c r="BQ541" i="4"/>
  <c r="BA629" i="4"/>
  <c r="BN629" i="4"/>
  <c r="BW671" i="4"/>
  <c r="BW680" i="4"/>
  <c r="BW681" i="4"/>
  <c r="AA671" i="4"/>
  <c r="AM671" i="4"/>
  <c r="AY671" i="4"/>
  <c r="BC671" i="4"/>
  <c r="BH671" i="4"/>
  <c r="BT671" i="4"/>
  <c r="AA629" i="4"/>
  <c r="AY629" i="4"/>
  <c r="BC629" i="4"/>
  <c r="BH629" i="4"/>
  <c r="BT629" i="4"/>
  <c r="U671" i="4"/>
  <c r="U680" i="4"/>
  <c r="U681" i="4"/>
  <c r="AG671" i="4"/>
  <c r="AS671" i="4"/>
  <c r="BA671" i="4"/>
  <c r="BA680" i="4"/>
  <c r="BA681" i="4"/>
  <c r="BN671" i="4"/>
  <c r="X629" i="4"/>
  <c r="AJ629" i="4"/>
  <c r="AV629" i="4"/>
  <c r="AZ629" i="4"/>
  <c r="BD629" i="4"/>
  <c r="BE629" i="4"/>
  <c r="BQ629" i="4"/>
  <c r="X643" i="4"/>
  <c r="X680" i="4"/>
  <c r="X681" i="4"/>
  <c r="AJ643" i="4"/>
  <c r="AV643" i="4"/>
  <c r="AV680" i="4"/>
  <c r="AV681" i="4"/>
  <c r="AZ643" i="4"/>
  <c r="BD643" i="4"/>
  <c r="BD680" i="4"/>
  <c r="BD681" i="4"/>
  <c r="BE643" i="4"/>
  <c r="BQ643" i="4"/>
  <c r="BQ680" i="4"/>
  <c r="BQ681" i="4"/>
  <c r="BD65" i="4"/>
  <c r="BD66" i="4"/>
  <c r="AZ65" i="4"/>
  <c r="AZ66" i="4"/>
  <c r="BA65" i="4"/>
  <c r="BA66" i="4"/>
  <c r="BC65" i="4"/>
  <c r="BC66" i="4"/>
  <c r="AJ65" i="4"/>
  <c r="AJ66" i="4"/>
  <c r="BN65" i="4"/>
  <c r="BN66" i="4"/>
  <c r="AV65" i="4"/>
  <c r="AV66" i="4"/>
  <c r="AD65" i="4"/>
  <c r="AD66" i="4"/>
  <c r="BE65" i="4"/>
  <c r="BE66" i="4"/>
  <c r="AS65" i="4"/>
  <c r="AS66" i="4"/>
  <c r="I11" i="6"/>
  <c r="J11" i="6"/>
  <c r="G8" i="6"/>
  <c r="BZ187" i="4"/>
  <c r="BZ188" i="4"/>
  <c r="BZ222" i="4"/>
  <c r="BZ304" i="4"/>
  <c r="BZ360" i="4"/>
  <c r="BZ361" i="4"/>
  <c r="BZ391" i="4"/>
  <c r="BZ424" i="4"/>
  <c r="BZ525" i="4"/>
  <c r="BZ660" i="4"/>
  <c r="BZ260" i="4"/>
  <c r="BZ179" i="4"/>
  <c r="BZ201" i="4"/>
  <c r="BZ271" i="4"/>
  <c r="BZ295" i="4"/>
  <c r="BZ366" i="4"/>
  <c r="BZ367" i="4"/>
  <c r="BZ453" i="4"/>
  <c r="BZ505" i="4"/>
  <c r="BZ678" i="4"/>
  <c r="BZ679" i="4"/>
  <c r="BZ751" i="4"/>
  <c r="BZ752" i="4"/>
  <c r="BZ753" i="4"/>
  <c r="C20" i="6"/>
  <c r="BZ114" i="4"/>
  <c r="BZ115" i="4"/>
  <c r="BZ116" i="4"/>
  <c r="BZ324" i="4"/>
  <c r="BZ489" i="4"/>
  <c r="BZ521" i="4"/>
  <c r="BZ560" i="4"/>
  <c r="BZ561" i="4"/>
  <c r="BZ670" i="4"/>
  <c r="BZ599" i="4"/>
  <c r="BH717" i="4"/>
  <c r="BZ159" i="4"/>
  <c r="BZ233" i="4"/>
  <c r="BZ267" i="4"/>
  <c r="BZ628" i="4"/>
  <c r="R717" i="4"/>
  <c r="BZ466" i="4"/>
  <c r="BB65" i="4"/>
  <c r="BB66" i="4"/>
  <c r="BQ65" i="4"/>
  <c r="BQ66" i="4"/>
  <c r="BW739" i="4"/>
  <c r="BW740" i="4"/>
  <c r="BW741" i="4"/>
  <c r="BH705" i="4"/>
  <c r="BZ501" i="4"/>
  <c r="X705" i="4"/>
  <c r="AJ705" i="4"/>
  <c r="BN705" i="4"/>
  <c r="BW712" i="4"/>
  <c r="BW717" i="4"/>
  <c r="BZ738" i="4"/>
  <c r="BZ739" i="4"/>
  <c r="BZ740" i="4"/>
  <c r="BZ741" i="4"/>
  <c r="C19" i="6"/>
  <c r="BQ738" i="4"/>
  <c r="BQ739" i="4"/>
  <c r="BQ740" i="4"/>
  <c r="BQ741" i="4"/>
  <c r="R705" i="4"/>
  <c r="BK214" i="4"/>
  <c r="BK223" i="4"/>
  <c r="BZ349" i="4"/>
  <c r="BZ350" i="4"/>
  <c r="BZ351" i="4"/>
  <c r="BZ665" i="4"/>
  <c r="BT739" i="4"/>
  <c r="BT740" i="4"/>
  <c r="BT741" i="4"/>
  <c r="BZ228" i="4"/>
  <c r="U717" i="4"/>
  <c r="AG717" i="4"/>
  <c r="BK717" i="4"/>
  <c r="R214" i="4"/>
  <c r="R223" i="4"/>
  <c r="R235" i="4"/>
  <c r="R236" i="4"/>
  <c r="BZ197" i="4"/>
  <c r="BZ517" i="4"/>
  <c r="U705" i="4"/>
  <c r="BK705" i="4"/>
  <c r="AA705" i="4"/>
  <c r="AS705" i="4"/>
  <c r="AY705" i="4"/>
  <c r="BE705" i="4"/>
  <c r="BQ705" i="4"/>
  <c r="BZ717" i="4"/>
  <c r="X717" i="4"/>
  <c r="AJ717" i="4"/>
  <c r="AV717" i="4"/>
  <c r="BN717" i="4"/>
  <c r="BZ387" i="4"/>
  <c r="BZ586" i="4"/>
  <c r="AD705" i="4"/>
  <c r="BB705" i="4"/>
  <c r="BT705" i="4"/>
  <c r="BK63" i="4"/>
  <c r="BK64" i="4"/>
  <c r="BZ174" i="4"/>
  <c r="BZ417" i="4"/>
  <c r="BZ567" i="4"/>
  <c r="BZ574" i="4"/>
  <c r="BZ604" i="4"/>
  <c r="BK739" i="4"/>
  <c r="BK740" i="4"/>
  <c r="BK741" i="4"/>
  <c r="X65" i="4"/>
  <c r="X66" i="4"/>
  <c r="AY65" i="4"/>
  <c r="AY66" i="4"/>
  <c r="R65" i="4"/>
  <c r="R66" i="4"/>
  <c r="BZ35" i="4"/>
  <c r="U65" i="4"/>
  <c r="U66" i="4"/>
  <c r="AP65" i="4"/>
  <c r="AP66" i="4"/>
  <c r="BZ63" i="4"/>
  <c r="BZ64" i="4"/>
  <c r="BZ20" i="4"/>
  <c r="BZ21" i="4"/>
  <c r="BZ22" i="4"/>
  <c r="BZ23" i="4"/>
  <c r="C3" i="6"/>
  <c r="BZ164" i="4"/>
  <c r="BZ143" i="4"/>
  <c r="BZ337" i="4"/>
  <c r="BZ247" i="4"/>
  <c r="BZ290" i="4"/>
  <c r="BZ315" i="4"/>
  <c r="BZ254" i="4"/>
  <c r="BZ404" i="4"/>
  <c r="BZ438" i="4"/>
  <c r="BZ495" i="4"/>
  <c r="BZ638" i="4"/>
  <c r="BZ650" i="4"/>
  <c r="AV705" i="4"/>
  <c r="AG705" i="4"/>
  <c r="AG724" i="4"/>
  <c r="AG725" i="4"/>
  <c r="AG754" i="4"/>
  <c r="BW705" i="4"/>
  <c r="AD717" i="4"/>
  <c r="BB717" i="4"/>
  <c r="BT717" i="4"/>
  <c r="BZ642" i="4"/>
  <c r="BZ580" i="4"/>
  <c r="AA717" i="4"/>
  <c r="AS717" i="4"/>
  <c r="AY717" i="4"/>
  <c r="BE717" i="4"/>
  <c r="BQ717" i="4"/>
  <c r="BZ704" i="4"/>
  <c r="M3" i="6"/>
  <c r="N3" i="6"/>
  <c r="F3" i="6"/>
  <c r="BT474" i="4"/>
  <c r="BT475" i="4"/>
  <c r="O5" i="6"/>
  <c r="L5" i="6"/>
  <c r="H5" i="6"/>
  <c r="K20" i="6"/>
  <c r="I20" i="6"/>
  <c r="L8" i="6"/>
  <c r="BT680" i="4"/>
  <c r="BT681" i="4"/>
  <c r="BE540" i="4"/>
  <c r="BE541" i="4"/>
  <c r="AG540" i="4"/>
  <c r="AG541" i="4"/>
  <c r="J5" i="6"/>
  <c r="I19" i="6"/>
  <c r="K19" i="6"/>
  <c r="L11" i="6"/>
  <c r="BE680" i="4"/>
  <c r="BE681" i="4"/>
  <c r="AG680" i="4"/>
  <c r="AG681" i="4"/>
  <c r="M5" i="6"/>
  <c r="N5" i="6"/>
  <c r="F5" i="6"/>
  <c r="G19" i="6"/>
  <c r="E19" i="6"/>
  <c r="M19" i="6"/>
  <c r="N19" i="6"/>
  <c r="AP474" i="4"/>
  <c r="AP475" i="4"/>
  <c r="G20" i="6"/>
  <c r="H20" i="6"/>
  <c r="E20" i="6"/>
  <c r="F20" i="6"/>
  <c r="H19" i="6"/>
  <c r="O19" i="6"/>
  <c r="F19" i="6"/>
  <c r="AP540" i="4"/>
  <c r="AP541" i="4"/>
  <c r="AG474" i="4"/>
  <c r="AG475" i="4"/>
  <c r="BH474" i="4"/>
  <c r="BH475" i="4"/>
  <c r="AD352" i="4"/>
  <c r="BQ181" i="4"/>
  <c r="BD181" i="4"/>
  <c r="BD204" i="4"/>
  <c r="X181" i="4"/>
  <c r="AD181" i="4"/>
  <c r="AD204" i="4"/>
  <c r="BK506" i="4"/>
  <c r="BH680" i="4"/>
  <c r="BH681" i="4"/>
  <c r="BC474" i="4"/>
  <c r="BC475" i="4"/>
  <c r="BQ352" i="4"/>
  <c r="BD352" i="4"/>
  <c r="X352" i="4"/>
  <c r="BB352" i="4"/>
  <c r="AD277" i="4"/>
  <c r="AD278" i="4"/>
  <c r="BN277" i="4"/>
  <c r="BN278" i="4"/>
  <c r="AY235" i="4"/>
  <c r="AY236" i="4"/>
  <c r="AZ235" i="4"/>
  <c r="AZ236" i="4"/>
  <c r="AV181" i="4"/>
  <c r="BW540" i="4"/>
  <c r="BW541" i="4"/>
  <c r="BA474" i="4"/>
  <c r="BA475" i="4"/>
  <c r="BA682" i="4" s="1"/>
  <c r="BA755" i="4" s="1"/>
  <c r="BT277" i="4"/>
  <c r="BT278" i="4"/>
  <c r="U235" i="4"/>
  <c r="U236" i="4"/>
  <c r="BK530" i="4"/>
  <c r="BQ277" i="4"/>
  <c r="BQ278" i="4"/>
  <c r="I15" i="6"/>
  <c r="I7" i="6"/>
  <c r="BH204" i="4"/>
  <c r="BA204" i="4"/>
  <c r="I8" i="6"/>
  <c r="J8" i="6"/>
  <c r="G13" i="6"/>
  <c r="I10" i="6"/>
  <c r="J10" i="6"/>
  <c r="AS540" i="4"/>
  <c r="AS541" i="4"/>
  <c r="BA352" i="4"/>
  <c r="U352" i="4"/>
  <c r="R277" i="4"/>
  <c r="R278" i="4"/>
  <c r="AG352" i="4"/>
  <c r="AM629" i="4"/>
  <c r="AM680" i="4"/>
  <c r="AM681" i="4"/>
  <c r="BZ101" i="4"/>
  <c r="AY540" i="4"/>
  <c r="AY541" i="4"/>
  <c r="BB680" i="4"/>
  <c r="BB681" i="4"/>
  <c r="AM474" i="4"/>
  <c r="AM475" i="4"/>
  <c r="AA352" i="4"/>
  <c r="AG235" i="4"/>
  <c r="AG236" i="4"/>
  <c r="AS181" i="4"/>
  <c r="AY680" i="4"/>
  <c r="AY681" i="4"/>
  <c r="BN680" i="4"/>
  <c r="BN681" i="4"/>
  <c r="AJ474" i="4"/>
  <c r="AJ475" i="4"/>
  <c r="BA540" i="4"/>
  <c r="BA541" i="4"/>
  <c r="BE474" i="4"/>
  <c r="BE475" i="4"/>
  <c r="AZ540" i="4"/>
  <c r="AZ541" i="4"/>
  <c r="BN540" i="4"/>
  <c r="BN541" i="4"/>
  <c r="BT352" i="4"/>
  <c r="I6" i="6"/>
  <c r="G6" i="6"/>
  <c r="J6" i="6"/>
  <c r="AS352" i="4"/>
  <c r="I9" i="6"/>
  <c r="AS680" i="4"/>
  <c r="AS681" i="4"/>
  <c r="BC680" i="4"/>
  <c r="BC681" i="4"/>
  <c r="BD540" i="4"/>
  <c r="BD541" i="4"/>
  <c r="AA474" i="4"/>
  <c r="AA475" i="4"/>
  <c r="AZ352" i="4"/>
  <c r="AJ352" i="4"/>
  <c r="BB474" i="4"/>
  <c r="BB475" i="4"/>
  <c r="BE476" i="4"/>
  <c r="R352" i="4"/>
  <c r="AP277" i="4"/>
  <c r="AP278" i="4"/>
  <c r="AD235" i="4"/>
  <c r="AD236" i="4"/>
  <c r="AM235" i="4"/>
  <c r="AM236" i="4"/>
  <c r="BD235" i="4"/>
  <c r="BD236" i="4"/>
  <c r="X235" i="4"/>
  <c r="X236" i="4"/>
  <c r="AY181" i="4"/>
  <c r="AY204" i="4"/>
  <c r="AZ181" i="4"/>
  <c r="BW181" i="4"/>
  <c r="BW204" i="4"/>
  <c r="AP181" i="4"/>
  <c r="AG181" i="4"/>
  <c r="AG204" i="4"/>
  <c r="AG682" i="4"/>
  <c r="BK447" i="4"/>
  <c r="AS204" i="4"/>
  <c r="AA680" i="4"/>
  <c r="AA681" i="4"/>
  <c r="AJ540" i="4"/>
  <c r="AJ541" i="4"/>
  <c r="BT540" i="4"/>
  <c r="BT541" i="4"/>
  <c r="BC204" i="4"/>
  <c r="I4" i="6"/>
  <c r="AZ680" i="4"/>
  <c r="AZ681" i="4"/>
  <c r="AJ680" i="4"/>
  <c r="AJ681" i="4"/>
  <c r="BQ474" i="4"/>
  <c r="BQ475" i="4"/>
  <c r="X474" i="4"/>
  <c r="X475" i="4"/>
  <c r="AA540" i="4"/>
  <c r="AA541" i="4"/>
  <c r="BW352" i="4"/>
  <c r="AY277" i="4"/>
  <c r="AY278" i="4"/>
  <c r="BB235" i="4"/>
  <c r="BB236" i="4"/>
  <c r="BH235" i="4"/>
  <c r="BH236" i="4"/>
  <c r="BT181" i="4"/>
  <c r="BE181" i="4"/>
  <c r="BE204" i="4"/>
  <c r="BE682" i="4"/>
  <c r="BN181" i="4"/>
  <c r="BN204" i="4"/>
  <c r="BN682" i="4"/>
  <c r="R181" i="4"/>
  <c r="R204" i="4"/>
  <c r="R682" i="4"/>
  <c r="BK429" i="4"/>
  <c r="BK474" i="4"/>
  <c r="BK475" i="4"/>
  <c r="BA277" i="4"/>
  <c r="BA278" i="4"/>
  <c r="U277" i="4"/>
  <c r="U278" i="4"/>
  <c r="BB204" i="4"/>
  <c r="AV204" i="4"/>
  <c r="AV682" i="4"/>
  <c r="AM204" i="4"/>
  <c r="BK165" i="4"/>
  <c r="BK181" i="4"/>
  <c r="BK204" i="4"/>
  <c r="BK338" i="4"/>
  <c r="BK339" i="4"/>
  <c r="BK352" i="4"/>
  <c r="I13" i="6"/>
  <c r="J13" i="6"/>
  <c r="AS277" i="4"/>
  <c r="AS278" i="4"/>
  <c r="BK235" i="4"/>
  <c r="BK236" i="4"/>
  <c r="BH682" i="4"/>
  <c r="X204" i="4"/>
  <c r="X682" i="4"/>
  <c r="BT204" i="4"/>
  <c r="AA144" i="4"/>
  <c r="AA181" i="4"/>
  <c r="AA204" i="4"/>
  <c r="BZ530" i="4"/>
  <c r="AP204" i="4"/>
  <c r="U204" i="4"/>
  <c r="AZ204" i="4"/>
  <c r="AJ204" i="4"/>
  <c r="BQ204" i="4"/>
  <c r="BK277" i="4"/>
  <c r="BK278" i="4"/>
  <c r="BK540" i="4"/>
  <c r="BK541" i="4"/>
  <c r="G4" i="6"/>
  <c r="G7" i="6"/>
  <c r="BZ276" i="4"/>
  <c r="BH724" i="4"/>
  <c r="BH725" i="4"/>
  <c r="BH754" i="4"/>
  <c r="BZ506" i="4"/>
  <c r="BZ368" i="4"/>
  <c r="BZ369" i="4"/>
  <c r="C11" i="6"/>
  <c r="H11" i="6"/>
  <c r="BZ180" i="4"/>
  <c r="BZ214" i="4"/>
  <c r="BZ223" i="4"/>
  <c r="BK724" i="4"/>
  <c r="BK725" i="4"/>
  <c r="BK754" i="4"/>
  <c r="AA724" i="4"/>
  <c r="AA725" i="4"/>
  <c r="AA754" i="4"/>
  <c r="BW724" i="4"/>
  <c r="BW725" i="4"/>
  <c r="BW754" i="4"/>
  <c r="BQ724" i="4"/>
  <c r="BQ725" i="4"/>
  <c r="BQ754" i="4"/>
  <c r="AV724" i="4"/>
  <c r="AV725" i="4"/>
  <c r="AV754" i="4"/>
  <c r="BT724" i="4"/>
  <c r="BT725" i="4"/>
  <c r="BT754" i="4"/>
  <c r="BZ610" i="4"/>
  <c r="BZ629" i="4"/>
  <c r="BZ144" i="4"/>
  <c r="BZ234" i="4"/>
  <c r="BZ467" i="4"/>
  <c r="R724" i="4"/>
  <c r="R725" i="4"/>
  <c r="R754" i="4"/>
  <c r="BZ705" i="4"/>
  <c r="BZ724" i="4"/>
  <c r="BZ725" i="4"/>
  <c r="BZ671" i="4"/>
  <c r="U724" i="4"/>
  <c r="U725" i="4"/>
  <c r="U754" i="4"/>
  <c r="BZ378" i="4"/>
  <c r="BZ392" i="4"/>
  <c r="AS724" i="4"/>
  <c r="AS725" i="4"/>
  <c r="AS754" i="4"/>
  <c r="AD724" i="4"/>
  <c r="AD725" i="4"/>
  <c r="AD754" i="4"/>
  <c r="BZ429" i="4"/>
  <c r="BB724" i="4"/>
  <c r="BB725" i="4"/>
  <c r="BB754" i="4"/>
  <c r="BN724" i="4"/>
  <c r="BN725" i="4"/>
  <c r="BN754" i="4"/>
  <c r="X724" i="4"/>
  <c r="X725" i="4"/>
  <c r="X754" i="4"/>
  <c r="BE724" i="4"/>
  <c r="BE725" i="4"/>
  <c r="BE754" i="4"/>
  <c r="AJ724" i="4"/>
  <c r="AJ725" i="4"/>
  <c r="AJ754" i="4"/>
  <c r="AY724" i="4"/>
  <c r="AY725" i="4"/>
  <c r="AY754" i="4"/>
  <c r="BZ446" i="4"/>
  <c r="BZ447" i="4"/>
  <c r="BK65" i="4"/>
  <c r="BK66" i="4"/>
  <c r="BZ643" i="4"/>
  <c r="BZ202" i="4"/>
  <c r="BZ203" i="4"/>
  <c r="BZ305" i="4"/>
  <c r="BZ306" i="4"/>
  <c r="BZ65" i="4"/>
  <c r="BZ66" i="4"/>
  <c r="C4" i="6"/>
  <c r="BZ165" i="4"/>
  <c r="BZ102" i="4"/>
  <c r="BZ103" i="4"/>
  <c r="BZ125" i="4"/>
  <c r="C6" i="6"/>
  <c r="BZ338" i="4"/>
  <c r="BZ339" i="4"/>
  <c r="BZ261" i="4"/>
  <c r="O20" i="6"/>
  <c r="BQ682" i="4"/>
  <c r="AA682" i="4"/>
  <c r="BE755" i="4"/>
  <c r="J4" i="6"/>
  <c r="M20" i="6"/>
  <c r="N20" i="6"/>
  <c r="M6" i="6"/>
  <c r="N6" i="6"/>
  <c r="F6" i="6"/>
  <c r="K18" i="6"/>
  <c r="K21" i="6"/>
  <c r="K23" i="6"/>
  <c r="I18" i="6"/>
  <c r="I21" i="6"/>
  <c r="L7" i="6"/>
  <c r="O6" i="6"/>
  <c r="H6" i="6"/>
  <c r="L6" i="6"/>
  <c r="M4" i="6"/>
  <c r="N4" i="6"/>
  <c r="F4" i="6"/>
  <c r="M11" i="6"/>
  <c r="N11" i="6"/>
  <c r="F11" i="6"/>
  <c r="O4" i="6"/>
  <c r="H4" i="6"/>
  <c r="L4" i="6"/>
  <c r="BW682" i="4"/>
  <c r="BW755" i="4"/>
  <c r="L13" i="6"/>
  <c r="J7" i="6"/>
  <c r="O11" i="6"/>
  <c r="BC682" i="4"/>
  <c r="BC755" i="4"/>
  <c r="BZ754" i="4"/>
  <c r="C18" i="6"/>
  <c r="C21" i="6"/>
  <c r="G18" i="6"/>
  <c r="E18" i="6"/>
  <c r="E10" i="6"/>
  <c r="AY682" i="4"/>
  <c r="BT682" i="4"/>
  <c r="BT755" i="4"/>
  <c r="AS682" i="4"/>
  <c r="AM682" i="4"/>
  <c r="AM755" i="4"/>
  <c r="BB682" i="4"/>
  <c r="AP682" i="4"/>
  <c r="AD682" i="4"/>
  <c r="AD755" i="4"/>
  <c r="AJ682" i="4"/>
  <c r="AJ755" i="4"/>
  <c r="BK682" i="4"/>
  <c r="BZ277" i="4"/>
  <c r="BZ278" i="4"/>
  <c r="C9" i="6"/>
  <c r="BZ235" i="4"/>
  <c r="BZ236" i="4"/>
  <c r="C8" i="6"/>
  <c r="BZ680" i="4"/>
  <c r="BZ681" i="4"/>
  <c r="C15" i="6"/>
  <c r="BZ474" i="4"/>
  <c r="BZ475" i="4"/>
  <c r="C12" i="6"/>
  <c r="X755" i="4"/>
  <c r="BZ181" i="4"/>
  <c r="BZ204" i="4"/>
  <c r="C7" i="6"/>
  <c r="O7" i="6"/>
  <c r="BN755" i="4"/>
  <c r="BZ352" i="4"/>
  <c r="C10" i="6"/>
  <c r="R755" i="4"/>
  <c r="AA755" i="4"/>
  <c r="BH755" i="4"/>
  <c r="BQ755" i="4"/>
  <c r="AY755" i="4"/>
  <c r="O10" i="6"/>
  <c r="H10" i="6"/>
  <c r="M10" i="6"/>
  <c r="N10" i="6"/>
  <c r="M15" i="6"/>
  <c r="N15" i="6"/>
  <c r="F15" i="6"/>
  <c r="M9" i="6"/>
  <c r="N9" i="6"/>
  <c r="F9" i="6"/>
  <c r="M7" i="6"/>
  <c r="N7" i="6"/>
  <c r="F7" i="6"/>
  <c r="M8" i="6"/>
  <c r="N8" i="6"/>
  <c r="F8" i="6"/>
  <c r="O8" i="6"/>
  <c r="H8" i="6"/>
  <c r="F10" i="6"/>
  <c r="E16" i="6"/>
  <c r="H7" i="6"/>
  <c r="M12" i="6"/>
  <c r="F12" i="6"/>
  <c r="E21" i="6"/>
  <c r="F18" i="6"/>
  <c r="M18" i="6"/>
  <c r="G21" i="6"/>
  <c r="O18" i="6"/>
  <c r="H18" i="6"/>
  <c r="G15" i="6"/>
  <c r="BK755" i="4"/>
  <c r="AG755" i="4"/>
  <c r="AS755" i="4"/>
  <c r="BB755" i="4"/>
  <c r="AV755" i="4"/>
  <c r="AP755" i="4"/>
  <c r="N12" i="6"/>
  <c r="O21" i="6"/>
  <c r="L21" i="6"/>
  <c r="J21" i="6"/>
  <c r="H21" i="6"/>
  <c r="N18" i="6"/>
  <c r="M21" i="6"/>
  <c r="E23" i="6"/>
  <c r="F21" i="6"/>
  <c r="H15" i="6"/>
  <c r="L15" i="6"/>
  <c r="O15" i="6"/>
  <c r="J15" i="6"/>
  <c r="N21" i="6"/>
  <c r="O3" i="6" l="1"/>
  <c r="L3" i="6"/>
  <c r="J3" i="6"/>
  <c r="H3" i="6"/>
  <c r="BL682" i="4"/>
  <c r="BL755" i="4" s="1"/>
  <c r="I12" i="6"/>
  <c r="CB682" i="4"/>
  <c r="CB755" i="4" s="1"/>
  <c r="J9" i="6"/>
  <c r="O9" i="6"/>
  <c r="H9" i="6"/>
  <c r="L9" i="6"/>
  <c r="G16" i="6"/>
  <c r="G12" i="6"/>
  <c r="CA682" i="4"/>
  <c r="CA755" i="4" s="1"/>
  <c r="C13" i="6"/>
  <c r="BZ682" i="4"/>
  <c r="BZ755" i="4" s="1"/>
  <c r="I16" i="6" l="1"/>
  <c r="J12" i="6"/>
  <c r="L12" i="6"/>
  <c r="H12" i="6"/>
  <c r="O12" i="6"/>
  <c r="L16" i="6"/>
  <c r="G23" i="6"/>
  <c r="L23" i="6" s="1"/>
  <c r="O13" i="6"/>
  <c r="F13" i="6"/>
  <c r="M13" i="6"/>
  <c r="C16" i="6"/>
  <c r="H13" i="6"/>
  <c r="I23" i="6" l="1"/>
  <c r="J23" i="6" s="1"/>
  <c r="J16" i="6"/>
  <c r="C23" i="6"/>
  <c r="O16" i="6"/>
  <c r="F16" i="6"/>
  <c r="H16" i="6"/>
  <c r="N13" i="6"/>
  <c r="M16" i="6"/>
  <c r="N16" i="6" l="1"/>
  <c r="M23" i="6"/>
  <c r="N23" i="6" s="1"/>
  <c r="O23" i="6"/>
  <c r="F23" i="6"/>
  <c r="H23" i="6"/>
</calcChain>
</file>

<file path=xl/sharedStrings.xml><?xml version="1.0" encoding="utf-8"?>
<sst xmlns="http://schemas.openxmlformats.org/spreadsheetml/2006/main" count="1876" uniqueCount="990">
  <si>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</si>
  <si>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</si>
  <si>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</si>
  <si>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</si>
  <si>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</si>
  <si>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</si>
  <si>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</si>
  <si>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</si>
  <si>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</si>
  <si>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</si>
  <si>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</si>
  <si>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</si>
  <si>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</si>
  <si>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</si>
  <si>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</si>
  <si>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</si>
  <si>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</si>
  <si>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</si>
  <si>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</si>
  <si>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ESTAMPILLA PRO - CULTURA</t>
  </si>
  <si>
    <t>ESTAMPILLA PRO - ADULTO MAYOR</t>
  </si>
  <si>
    <t>ESTAMPILLA PRO - DESARROLLO</t>
  </si>
  <si>
    <t>CONVENIO ANTICONTRABANDO</t>
  </si>
  <si>
    <t xml:space="preserve">SOBRETASA AL ACPM   </t>
  </si>
  <si>
    <t xml:space="preserve">MONOPOLIO EDUCACIÓN  51% DESTINACION ESPECIFICA  </t>
  </si>
  <si>
    <t xml:space="preserve">SGP SALÚD PUBLICA </t>
  </si>
  <si>
    <t xml:space="preserve">SGP PRESTACION DE SERVCIOS </t>
  </si>
  <si>
    <t xml:space="preserve">FONDO LOCAL DE SALUD  - RENTAS CEDIDAS  </t>
  </si>
  <si>
    <t>FONDO LOCAL DE SALUD  - ESTUPEFACIENTES -  LEY 1393  -LOTERIAS-RIFAS-PREMIOS</t>
  </si>
  <si>
    <t>SGP APORTES PATRONALES -EDUCACION  - CANCELACIÓN DE PRESTACIONES SOCIALES -EDUCACIÓN</t>
  </si>
  <si>
    <t xml:space="preserve">FONDO DE EDUCACION,  PAE, CONVENIO MEN  </t>
  </si>
  <si>
    <t>SGP AGUA POTABLE SSF</t>
  </si>
  <si>
    <t xml:space="preserve">RECURSO ORDINARIO </t>
  </si>
  <si>
    <t xml:space="preserve">LEY 1816 (3% MONOPOLIO LICORES) (DEPORTES) </t>
  </si>
  <si>
    <t xml:space="preserve">  (46)RECURSOS DEL CREDITO</t>
  </si>
  <si>
    <t>NACIÓN  - COFINANCIACIÓN</t>
  </si>
  <si>
    <t>TOTAL 2018</t>
  </si>
  <si>
    <t>304 -Secretaría Administrativa</t>
  </si>
  <si>
    <t>BUEN GOBIERNO</t>
  </si>
  <si>
    <t>Gestión Territorial</t>
  </si>
  <si>
    <t>Modernización tecnológica y Administrativa</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</si>
  <si>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</si>
  <si>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</si>
  <si>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</si>
  <si>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</si>
  <si>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</si>
  <si>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</si>
  <si>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</si>
  <si>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</si>
  <si>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</si>
  <si>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</si>
  <si>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</si>
  <si>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</si>
  <si>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</si>
  <si>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</si>
  <si>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</si>
  <si>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</si>
  <si>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</si>
  <si>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</si>
  <si>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</si>
  <si>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</si>
  <si>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</si>
  <si>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 xml:space="preserve"> </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</si>
  <si>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</si>
  <si>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</si>
  <si>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</si>
  <si>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Adquirir  un (1) bien inmueble para adelantar acciones de cara al servicio de la comunidad</t>
  </si>
  <si>
    <t>I</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</si>
  <si>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</si>
  <si>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</si>
  <si>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</si>
  <si>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</si>
  <si>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</si>
  <si>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</si>
  <si>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</si>
  <si>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</si>
  <si>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</si>
  <si>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</si>
  <si>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</si>
  <si>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</si>
  <si>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</si>
  <si>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</si>
  <si>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</si>
  <si>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</si>
  <si>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</si>
  <si>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</si>
  <si>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</si>
  <si>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</si>
  <si>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</si>
  <si>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</si>
  <si>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</si>
  <si>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</si>
  <si>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</si>
  <si>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</si>
  <si>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</si>
  <si>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</si>
  <si>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</si>
  <si>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</si>
  <si>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</si>
  <si>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</si>
  <si>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</si>
  <si>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</si>
  <si>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</si>
  <si>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</si>
  <si>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</si>
  <si>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</si>
  <si>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</si>
  <si>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</si>
  <si>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</si>
  <si>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</si>
  <si>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</si>
  <si>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</si>
  <si>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</si>
  <si>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</si>
  <si>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</si>
  <si>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</si>
  <si>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</si>
  <si>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</si>
  <si>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</si>
  <si>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</si>
  <si>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</si>
  <si>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</si>
  <si>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</si>
  <si>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</si>
  <si>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</si>
  <si>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</si>
  <si>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</si>
  <si>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</si>
  <si>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</si>
  <si>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</si>
  <si>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</si>
  <si>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</si>
  <si>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</si>
  <si>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</si>
  <si>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</si>
  <si>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</si>
  <si>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</si>
  <si>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</si>
  <si>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</si>
  <si>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</si>
  <si>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</si>
  <si>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</si>
  <si>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</si>
  <si>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</si>
  <si>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</si>
  <si>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</si>
  <si>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</si>
  <si>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</si>
  <si>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</si>
  <si>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</si>
  <si>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</si>
  <si>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</si>
  <si>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</si>
  <si>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</si>
  <si>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</si>
  <si>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</si>
  <si>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</si>
  <si>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</si>
  <si>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</si>
  <si>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</si>
  <si>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</si>
  <si>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</si>
  <si>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</si>
  <si>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</si>
  <si>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</si>
  <si>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</si>
  <si>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</si>
  <si>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</si>
  <si>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</si>
  <si>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</si>
  <si>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</si>
  <si>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</si>
  <si>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</si>
  <si>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</si>
  <si>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</si>
  <si>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</si>
  <si>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</si>
  <si>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</si>
  <si>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</si>
  <si>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</si>
  <si>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</si>
  <si>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</si>
  <si>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</si>
  <si>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</si>
  <si>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</si>
  <si>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</si>
  <si>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</si>
  <si>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</si>
  <si>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</si>
  <si>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</si>
  <si>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</si>
  <si>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</si>
  <si>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</si>
  <si>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</si>
  <si>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</si>
  <si>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</si>
  <si>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</si>
  <si>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</si>
  <si>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</si>
  <si>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</si>
  <si>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</si>
  <si>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</si>
  <si>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</si>
  <si>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</si>
  <si>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</si>
  <si>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</si>
  <si>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</si>
  <si>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</si>
  <si>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</si>
  <si>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</si>
  <si>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</si>
  <si>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</si>
  <si>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</si>
  <si>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</si>
  <si>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</si>
  <si>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</si>
  <si>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</si>
  <si>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</si>
  <si>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</si>
  <si>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</si>
  <si>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</si>
  <si>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</si>
  <si>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</si>
  <si>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</si>
  <si>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</si>
  <si>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</si>
  <si>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</si>
  <si>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</si>
  <si>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</si>
  <si>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</si>
  <si>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</si>
  <si>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</si>
  <si>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</si>
  <si>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</si>
  <si>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</si>
  <si>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</si>
  <si>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</si>
  <si>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</si>
  <si>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</si>
  <si>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</si>
  <si>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</si>
  <si>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</si>
  <si>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</si>
  <si>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</si>
  <si>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</si>
  <si>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</si>
  <si>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</si>
  <si>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</si>
  <si>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</si>
  <si>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</si>
  <si>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</si>
  <si>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</si>
  <si>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</si>
  <si>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</si>
  <si>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</si>
  <si>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</si>
  <si>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</si>
  <si>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</si>
  <si>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</si>
  <si>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</si>
  <si>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</si>
  <si>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</si>
  <si>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</si>
  <si>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</si>
  <si>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</si>
  <si>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</si>
  <si>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</si>
  <si>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</si>
  <si>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</si>
  <si>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</si>
  <si>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</si>
  <si>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</si>
  <si>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</si>
  <si>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</si>
  <si>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</si>
  <si>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</si>
  <si>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</si>
  <si>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</si>
  <si>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</si>
  <si>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</si>
  <si>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</si>
  <si>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</si>
  <si>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</si>
  <si>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</si>
  <si>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</si>
  <si>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</si>
  <si>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</si>
  <si>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</si>
  <si>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</si>
  <si>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</si>
  <si>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</si>
  <si>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</si>
  <si>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</si>
  <si>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</si>
  <si>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</si>
  <si>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</si>
  <si>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</si>
  <si>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</si>
  <si>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</si>
  <si>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</si>
  <si>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</si>
  <si>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</si>
  <si>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</si>
  <si>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</si>
  <si>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</si>
  <si>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</si>
  <si>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</si>
  <si>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</si>
  <si>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</si>
  <si>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</si>
  <si>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</si>
  <si>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</si>
  <si>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</si>
  <si>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</si>
  <si>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</si>
  <si>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</si>
  <si>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</si>
  <si>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</si>
  <si>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</si>
  <si>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</si>
  <si>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</si>
  <si>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</si>
  <si>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</si>
  <si>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</si>
  <si>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</si>
  <si>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</si>
  <si>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</si>
  <si>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</si>
  <si>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</si>
  <si>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</si>
  <si>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</si>
  <si>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</si>
  <si>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</si>
  <si>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</si>
  <si>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</si>
  <si>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</si>
  <si>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</si>
  <si>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</si>
  <si>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</si>
  <si>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</si>
  <si>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 xml:space="preserve"> Igualar la tasa de desempleo del Departamento al promedio nacional para el 2019                                                                                                                                                                                                                                                                     Aumentar el 20%, en pesos constantes, el valor de “hoteles, restaurantes, bares y similares” en el PIB.  </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</si>
  <si>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</si>
  <si>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</si>
  <si>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</si>
  <si>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</si>
  <si>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</si>
  <si>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</si>
  <si>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</si>
  <si>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</si>
  <si>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</si>
  <si>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</si>
  <si>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</si>
  <si>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</si>
  <si>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</si>
  <si>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</si>
  <si>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</si>
  <si>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</si>
  <si>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</si>
  <si>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</si>
  <si>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</si>
  <si>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</si>
  <si>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</si>
  <si>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</si>
  <si>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</si>
  <si>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</si>
  <si>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</si>
  <si>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</si>
  <si>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</si>
  <si>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</si>
  <si>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</si>
  <si>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</si>
  <si>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</si>
  <si>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</si>
  <si>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</si>
  <si>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</si>
  <si>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</si>
  <si>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</si>
  <si>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</si>
  <si>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</si>
  <si>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</si>
  <si>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</si>
  <si>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</si>
  <si>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</si>
  <si>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</si>
  <si>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</si>
  <si>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</si>
  <si>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</si>
  <si>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</si>
  <si>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</si>
  <si>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</si>
  <si>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 xml:space="preserve">Igualar la tasa de desempleo del departamento al promedio nacional para el 2019                                                                                                                                                                                                                                                                         Equiparar el crecimiento del PIB del departamento  del Quindio al PIB Nacional .                                                                                                                                                                                                                                                                                            Disminuir el Procentajes de personas en situción de pobreza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</si>
  <si>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</si>
  <si>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</si>
  <si>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</si>
  <si>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</si>
  <si>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</si>
  <si>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</si>
  <si>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</si>
  <si>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</si>
  <si>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</si>
  <si>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</si>
  <si>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</si>
  <si>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</si>
  <si>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</si>
  <si>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</si>
  <si>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</si>
  <si>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</si>
  <si>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</si>
  <si>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</si>
  <si>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</si>
  <si>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</si>
  <si>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</si>
  <si>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</si>
  <si>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</si>
  <si>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</si>
  <si>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</si>
  <si>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</si>
  <si>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</si>
  <si>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</si>
  <si>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</si>
  <si>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</si>
  <si>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</si>
  <si>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</si>
  <si>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</si>
  <si>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</si>
  <si>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</si>
  <si>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</si>
  <si>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</si>
  <si>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</si>
  <si>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</si>
  <si>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</si>
  <si>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</si>
  <si>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</si>
  <si>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</si>
  <si>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</si>
  <si>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</si>
  <si>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</si>
  <si>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</si>
  <si>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</si>
  <si>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</si>
  <si>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</si>
  <si>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</si>
  <si>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</si>
  <si>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</si>
  <si>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</si>
  <si>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</si>
  <si>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</si>
  <si>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</si>
  <si>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</si>
  <si>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</si>
  <si>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</si>
  <si>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</si>
  <si>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</si>
  <si>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</si>
  <si>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</si>
  <si>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</si>
  <si>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</si>
  <si>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</si>
  <si>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</si>
  <si>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</si>
  <si>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</si>
  <si>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</si>
  <si>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</si>
  <si>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</si>
  <si>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</si>
  <si>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</si>
  <si>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</si>
  <si>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</si>
  <si>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</si>
  <si>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</si>
  <si>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</si>
  <si>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</si>
  <si>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</si>
  <si>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</si>
  <si>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</si>
  <si>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</si>
  <si>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</si>
  <si>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</si>
  <si>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</si>
  <si>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</si>
  <si>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</si>
  <si>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</si>
  <si>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</si>
  <si>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</si>
  <si>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</si>
  <si>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</si>
  <si>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</si>
  <si>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</si>
  <si>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</si>
  <si>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</si>
  <si>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</si>
  <si>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</si>
  <si>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</si>
  <si>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</si>
  <si>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</si>
  <si>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</si>
  <si>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</si>
  <si>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</si>
  <si>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</si>
  <si>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</si>
  <si>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</si>
  <si>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</si>
  <si>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</si>
  <si>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</si>
  <si>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</si>
  <si>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</si>
  <si>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</si>
  <si>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</si>
  <si>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</si>
  <si>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</si>
  <si>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</si>
  <si>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</si>
  <si>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</si>
  <si>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Apoyar los  procesos de capacitación  de quinientos (500) docentes del departamento</t>
  </si>
  <si>
    <t xml:space="preserve">Realizar seis (6)  festivales o encuentros de literatura y escritura el departamento </t>
  </si>
  <si>
    <t>Funcionamiento de las Instituciones Educativas</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</si>
  <si>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</si>
  <si>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</si>
  <si>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</si>
  <si>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</si>
  <si>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</si>
  <si>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</si>
  <si>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</si>
  <si>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</si>
  <si>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</si>
  <si>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</si>
  <si>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</si>
  <si>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</si>
  <si>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</si>
  <si>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</si>
  <si>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</si>
  <si>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</si>
  <si>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</si>
  <si>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</si>
  <si>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</si>
  <si>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</si>
  <si>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</si>
  <si>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</si>
  <si>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</si>
  <si>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</si>
  <si>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</si>
  <si>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</si>
  <si>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</si>
  <si>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</si>
  <si>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</si>
  <si>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</si>
  <si>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</si>
  <si>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</si>
  <si>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</si>
  <si>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</si>
  <si>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</si>
  <si>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</si>
  <si>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</si>
  <si>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</si>
  <si>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</si>
  <si>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</si>
  <si>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</si>
  <si>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</si>
  <si>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</si>
  <si>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</si>
  <si>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</si>
  <si>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</si>
  <si>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</si>
  <si>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</si>
  <si>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</si>
  <si>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</si>
  <si>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</si>
  <si>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</si>
  <si>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</si>
  <si>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</si>
  <si>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</si>
  <si>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</si>
  <si>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</si>
  <si>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</si>
  <si>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</si>
  <si>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</si>
  <si>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</si>
  <si>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</si>
  <si>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</si>
  <si>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</si>
  <si>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</si>
  <si>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</si>
  <si>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</si>
  <si>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</si>
  <si>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</si>
  <si>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</si>
  <si>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</si>
  <si>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</si>
  <si>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</si>
  <si>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</si>
  <si>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</si>
  <si>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</si>
  <si>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</si>
  <si>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</si>
  <si>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</si>
  <si>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</si>
  <si>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</si>
  <si>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</si>
  <si>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</si>
  <si>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</si>
  <si>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</si>
  <si>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</si>
  <si>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</si>
  <si>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</si>
  <si>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</si>
  <si>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</si>
  <si>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</si>
  <si>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</si>
  <si>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</si>
  <si>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</si>
  <si>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</si>
  <si>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</si>
  <si>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</si>
  <si>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</si>
  <si>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</si>
  <si>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</si>
  <si>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</si>
  <si>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</si>
  <si>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</si>
  <si>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</si>
  <si>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</si>
  <si>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</si>
  <si>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</si>
  <si>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</si>
  <si>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</si>
  <si>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</si>
  <si>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</si>
  <si>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</si>
  <si>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</si>
  <si>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</si>
  <si>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</si>
  <si>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</si>
  <si>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</si>
  <si>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</si>
  <si>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</si>
  <si>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</si>
  <si>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</si>
  <si>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</si>
  <si>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</si>
  <si>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</si>
  <si>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</si>
  <si>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</si>
  <si>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</si>
  <si>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</si>
  <si>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</si>
  <si>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</si>
  <si>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</si>
  <si>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</si>
  <si>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</si>
  <si>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</si>
  <si>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</si>
  <si>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</si>
  <si>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</si>
  <si>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</si>
  <si>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</si>
  <si>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</si>
  <si>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</si>
  <si>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</si>
  <si>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</si>
  <si>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</si>
  <si>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</si>
  <si>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</si>
  <si>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</si>
  <si>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</si>
  <si>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</si>
  <si>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</si>
  <si>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</si>
  <si>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</si>
  <si>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</si>
  <si>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</si>
  <si>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</si>
  <si>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</si>
  <si>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</si>
  <si>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</si>
  <si>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</si>
  <si>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</si>
  <si>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</si>
  <si>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</si>
  <si>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</si>
  <si>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</si>
  <si>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</si>
  <si>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</si>
  <si>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</si>
  <si>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</si>
  <si>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</si>
  <si>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</si>
  <si>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</si>
  <si>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</si>
  <si>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</si>
  <si>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</si>
  <si>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</si>
  <si>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</si>
  <si>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</si>
  <si>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</si>
  <si>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</si>
  <si>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</si>
  <si>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</si>
  <si>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</si>
  <si>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</si>
  <si>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</si>
  <si>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</si>
  <si>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</si>
  <si>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</si>
  <si>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</si>
  <si>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</si>
  <si>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</si>
  <si>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</si>
  <si>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</si>
  <si>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</si>
  <si>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</si>
  <si>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</si>
  <si>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</si>
  <si>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</si>
  <si>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</si>
  <si>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</si>
  <si>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</si>
  <si>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</si>
  <si>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</si>
  <si>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</si>
  <si>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</si>
  <si>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</si>
  <si>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</si>
  <si>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</si>
  <si>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</si>
  <si>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</si>
  <si>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</si>
  <si>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</si>
  <si>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</si>
  <si>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</si>
  <si>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</si>
  <si>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</si>
  <si>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</si>
  <si>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</si>
  <si>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</si>
  <si>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</si>
  <si>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</si>
  <si>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</si>
  <si>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</si>
  <si>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</si>
  <si>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</si>
  <si>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</si>
  <si>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</si>
  <si>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</si>
  <si>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</si>
  <si>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</si>
  <si>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</si>
  <si>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</si>
  <si>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</si>
  <si>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</si>
  <si>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</si>
  <si>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</si>
  <si>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</si>
  <si>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</si>
  <si>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</si>
  <si>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</si>
  <si>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</si>
  <si>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</si>
  <si>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</si>
  <si>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</si>
  <si>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</si>
  <si>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</si>
  <si>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</si>
  <si>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</si>
  <si>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</si>
  <si>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</si>
  <si>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</si>
  <si>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</si>
  <si>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</si>
  <si>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</si>
  <si>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</si>
  <si>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</si>
  <si>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</si>
  <si>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</si>
  <si>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</si>
  <si>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</si>
  <si>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</si>
  <si>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</si>
  <si>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</si>
  <si>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</si>
  <si>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</si>
  <si>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</si>
  <si>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</si>
  <si>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</si>
  <si>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</si>
  <si>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</si>
  <si>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</si>
  <si>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</si>
  <si>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</si>
  <si>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</si>
  <si>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</si>
  <si>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</si>
  <si>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</si>
  <si>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</si>
  <si>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</si>
  <si>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</si>
  <si>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</si>
  <si>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</si>
  <si>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</si>
  <si>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</si>
  <si>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</si>
  <si>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</si>
  <si>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</si>
  <si>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</si>
  <si>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</si>
  <si>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</si>
  <si>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</si>
  <si>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</si>
  <si>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</si>
  <si>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</si>
  <si>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</si>
  <si>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</si>
  <si>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</si>
  <si>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</si>
  <si>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</si>
  <si>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</si>
  <si>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</si>
  <si>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</si>
  <si>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</si>
  <si>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</si>
  <si>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</si>
  <si>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</si>
  <si>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</si>
  <si>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</si>
  <si>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</si>
  <si>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</si>
  <si>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</si>
  <si>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</si>
  <si>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</si>
  <si>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</si>
  <si>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</si>
  <si>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</si>
  <si>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</si>
  <si>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</si>
  <si>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</si>
  <si>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</si>
  <si>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</si>
  <si>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</si>
  <si>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</si>
  <si>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</si>
  <si>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</si>
  <si>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</si>
  <si>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</si>
  <si>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</si>
  <si>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</si>
  <si>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</si>
  <si>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</si>
  <si>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</si>
  <si>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</si>
  <si>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</si>
  <si>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</si>
  <si>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</si>
  <si>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</si>
  <si>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</si>
  <si>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</si>
  <si>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</si>
  <si>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</si>
  <si>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</si>
  <si>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</si>
  <si>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</si>
  <si>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</si>
  <si>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</si>
  <si>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</si>
  <si>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</si>
  <si>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</si>
  <si>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</si>
  <si>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</si>
  <si>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</si>
  <si>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</si>
  <si>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</si>
  <si>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</si>
  <si>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</si>
  <si>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</si>
  <si>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</si>
  <si>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 CONTRIBUCION ESPECIAL           (FONDO DE SEGURIDAD 5%)  (92)</t>
  </si>
  <si>
    <t>  OTROS (IVA TELEFONIA MÓVIL  - REGISTRO- MATERIAL RIO)    </t>
  </si>
  <si>
    <t>Apoyar la construcción, el mantenimiento, el mejoramiento y/o la rehabilitación de dos (2) obras físicas de infraestructura  Institucional o de edificios públicos del Departamento del Quindío.</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</si>
  <si>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</si>
  <si>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</si>
  <si>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</si>
  <si>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</si>
  <si>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Seguridad humana como dinamizador de la vida, dignidad y libertad en el Quindío </t>
  </si>
  <si>
    <t>FORTALECIMIENTO DE LA SEGURIDAD VIAL DEPARTAMENTAL</t>
  </si>
  <si>
    <t>2018003630-001</t>
  </si>
  <si>
    <t>Implementacion Plataforma Tecnologica para la Recoleccion Actualizada y Analisis de Datos de Siniestralidad Vial, Mapa de Siniestralidad e Insumos linea Base Plan Seguridad Vial Quindio</t>
  </si>
  <si>
    <t>Fortalecimiento de la comunicación, la ciudadanía  y el sistema departamental de cultura  en el Quindio.</t>
  </si>
  <si>
    <t>5
8</t>
  </si>
  <si>
    <t>12.9
665</t>
  </si>
  <si>
    <t>8.9
798</t>
  </si>
  <si>
    <t>2
4</t>
  </si>
  <si>
    <t>43,29 m3/s
2.730 Hectareas</t>
  </si>
  <si>
    <t>43,29 m3/s
3.000 Hectareas</t>
  </si>
  <si>
    <t>5
6
7</t>
  </si>
  <si>
    <t>12.9
3.4
31.70</t>
  </si>
  <si>
    <t>8.9
4.6
27</t>
  </si>
  <si>
    <t>8.8
DE CADA 100</t>
  </si>
  <si>
    <t>7
DE CADA 100</t>
  </si>
  <si>
    <t>14
15
19 </t>
  </si>
  <si>
    <t>6.20
73.23
8.06 EBS
5.77 EM         </t>
  </si>
  <si>
    <t>3
78
5 EBS
4 EM </t>
  </si>
  <si>
    <t>15
16
17</t>
  </si>
  <si>
    <t>73.23%
45
63.27%</t>
  </si>
  <si>
    <t>78%
90
50%</t>
  </si>
  <si>
    <t>24
25
29
30
33</t>
  </si>
  <si>
    <t>2.1/100
13/100.000
8.8/1000
11.34/1000
0</t>
  </si>
  <si>
    <t> 2.1/100
10/100.000
8.8/1000
11.34/1000
0</t>
  </si>
  <si>
    <t>Diseño e implementación  de una estrategia para la atención de la  población  en vulnerabiliadad extrema  en el Departamento del Quindio  </t>
  </si>
  <si>
    <t>Evaluar los municipios de Armenia y Calarcá que se encuentran  certificados en salud</t>
  </si>
  <si>
    <t>F-PLA-43</t>
  </si>
  <si>
    <t>E</t>
  </si>
  <si>
    <t>PRESUPUESTADO</t>
  </si>
  <si>
    <t xml:space="preserve">P </t>
  </si>
  <si>
    <t>E (COMPROMISOS)</t>
  </si>
  <si>
    <t>E (OBLIGACIONES)</t>
  </si>
  <si>
    <t>I TRIMESTRE 2018</t>
  </si>
  <si>
    <t xml:space="preserve">Elevar el promedio de la participación de la ciudadania en los procesos de elección popular en el cuatrenio
Consolidar mecanismos de integración regional y municipal                                   </t>
  </si>
  <si>
    <t xml:space="preserve">Dsiminuir la presión por cargas contaminantes medida por el indice de alteración potencial de la calidad del agua (IACAL), a categoria moderada </t>
  </si>
  <si>
    <t>5% EBS   4% EM
150*100.000
27%
20%
5 de cada 10</t>
  </si>
  <si>
    <t>8,06% EBS 5,77% EM       
 174,7*100.000
30.7%
24,9%
6 de cada 10</t>
  </si>
  <si>
    <t>8,06% EBS 5,77% EM    
 174,7*100.000
30.7%
24,9%
6 de cada 10</t>
  </si>
  <si>
    <t>8,06% EBS 5,77% EM
 174,7*100.000
30.7%
24,9% 
6 de cada 10</t>
  </si>
  <si>
    <t xml:space="preserve"> 12,9% (Quindío)
6 de cada 10</t>
  </si>
  <si>
    <t xml:space="preserve">  8,9% (nacional)
5 de cada 10</t>
  </si>
  <si>
    <t xml:space="preserve">5% EBS
4% EM
5./10
 </t>
  </si>
  <si>
    <t xml:space="preserve">En la actualidad este valor equivaldría al 4.6%
5% EBS   4% EM                   
 </t>
  </si>
  <si>
    <t xml:space="preserve">3,4% (Quindío) Vs. 4,6% (Nacional)
8,06% EBS 5,77% EM                    </t>
  </si>
  <si>
    <t xml:space="preserve">8.06  EBS
5.77 EM </t>
  </si>
  <si>
    <t>5  EBS
4 EM</t>
  </si>
  <si>
    <t xml:space="preserve">8.06 EBS
5.77 EM </t>
  </si>
  <si>
    <t>5 EBS
4 EM</t>
  </si>
  <si>
    <t xml:space="preserve">6.20
73.23
8.06 EBS
5.77 EM         </t>
  </si>
  <si>
    <t xml:space="preserve">3
78
5 EBS
4 EM </t>
  </si>
  <si>
    <t xml:space="preserve">8.06   EBS
5.77 EM </t>
  </si>
  <si>
    <t>5   EBS
4 EM</t>
  </si>
  <si>
    <t xml:space="preserve">3
78
5 EBS
 4 EM </t>
  </si>
  <si>
    <t>6.20
73.23
8.06 EBS
5.77 EM</t>
  </si>
  <si>
    <t>150 x 1000 habitantes
20%
5 de cada 10</t>
  </si>
  <si>
    <t>174,7 x 100 mil habitantes
24.90
6 de cada 10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</si>
  <si>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</si>
  <si>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</si>
  <si>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t>
  </si>
  <si>
    <t>2,1 de cada 100
10 x 100 mil habitantes
60 X 1000 habitantes
8,8 x 1000 nacidos
11,34 x 1000</t>
  </si>
  <si>
    <t>2,1 de cada 100
13 x 100 mil habitantes
76, 1 x 1000 habitantes
8,8 x 1000 nacidos
11,34 x 1000
50%</t>
  </si>
  <si>
    <t>2,1 de cada 100
10 x 100 mil habitantes
60 X 1000 habitantes
8,8 x 1000 nacidos
11,34 x 1000
100%</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</si>
  <si>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</si>
  <si>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</si>
  <si>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</si>
  <si>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 SGP PRESTACIÓN DE SERVICIOS - EDUCACIÓN  - CONECTIVIDAD (25 - 21)</t>
  </si>
  <si>
    <t>Contar con cincuenta y dos (52) instituciones educativas con  mayor eficiencia en la gestión de sus procesos y proyectos  ante la entidad  territorial y la Secretaria de Educación Departamental</t>
  </si>
  <si>
    <r>
      <t xml:space="preserve"> </t>
    </r>
    <r>
      <rPr>
        <sz val="12"/>
        <color theme="1"/>
        <rFont val="Arial"/>
        <family val="2"/>
      </rPr>
      <t xml:space="preserve"> Reducir la proporción de jóvenes en el sistema de responsabilidad penal con riesgo alto de reincidencia en las conductas delictivas</t>
    </r>
  </si>
  <si>
    <r>
      <t xml:space="preserve"> </t>
    </r>
    <r>
      <rPr>
        <sz val="12"/>
        <color theme="1"/>
        <rFont val="Arial"/>
        <family val="2"/>
      </rPr>
      <t xml:space="preserve"> Disminuir el porcentaje de mujeres amenazadas por sus compañeros sentimentales                                                                                             Disminuir incidencia de violencia intrafamiliar</t>
    </r>
  </si>
  <si>
    <r>
      <t xml:space="preserve"> </t>
    </r>
    <r>
      <rPr>
        <sz val="12"/>
        <color theme="1"/>
        <rFont val="Arial"/>
        <family val="2"/>
      </rPr>
      <t xml:space="preserve"> Disminuir el porcentaje de mujeres amenazadas por sus compañeros sentimentales</t>
    </r>
  </si>
  <si>
    <r>
      <rPr>
        <sz val="12"/>
        <color theme="1"/>
        <rFont val="Arial"/>
        <family val="2"/>
      </rPr>
      <t xml:space="preserve"> Disminuir la incidencia de embarazo en adolescentes</t>
    </r>
  </si>
  <si>
    <r>
      <rPr>
        <sz val="12"/>
        <color theme="1"/>
        <rFont val="Arial"/>
        <family val="2"/>
      </rPr>
      <t xml:space="preserve"> Incrementar el % IPS con seguimiento por parte del departamento</t>
    </r>
  </si>
  <si>
    <r>
      <rPr>
        <sz val="12"/>
        <color theme="1"/>
        <rFont val="Arial"/>
        <family val="2"/>
      </rPr>
      <t xml:space="preserve"> Aumentar el porcentaje de cumplimiento de la Ley 1448 del 2011 de atención a víctimas</t>
    </r>
  </si>
  <si>
    <r>
      <rPr>
        <sz val="12"/>
        <color theme="1"/>
        <rFont val="Arial"/>
        <family val="2"/>
      </rPr>
      <t>  Aumentar el % de personas discapacitadas atendidas</t>
    </r>
  </si>
  <si>
    <t>SEGUIMIENTO PLAN OPERATIVO ANUAL DE INVERSIONES</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</si>
  <si>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</si>
  <si>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</si>
  <si>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</si>
  <si>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</si>
  <si>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</si>
  <si>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</si>
  <si>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</si>
  <si>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</si>
  <si>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</si>
  <si>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</si>
  <si>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</si>
  <si>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</si>
  <si>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</si>
  <si>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</si>
  <si>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ADMINISTRATIVA</t>
  </si>
  <si>
    <t>PLANEACION</t>
  </si>
  <si>
    <t>HACIENDA</t>
  </si>
  <si>
    <t>AGUAS E INFRAESTRUCTURA</t>
  </si>
  <si>
    <t>INTERIOR</t>
  </si>
  <si>
    <t>CULTURA</t>
  </si>
  <si>
    <t>TURISMO INDUSTRIA Y COMERCIO</t>
  </si>
  <si>
    <t>AGRICULTURA, DESARROLLO RURAL Y MEDIO AMBIENTE</t>
  </si>
  <si>
    <t>OFICINA PRIVADA</t>
  </si>
  <si>
    <t>EDUCACION</t>
  </si>
  <si>
    <t>FAMILIA</t>
  </si>
  <si>
    <t>REPRESENTACION JUDICIAL</t>
  </si>
  <si>
    <t>SALUD</t>
  </si>
  <si>
    <t>SUBTOTAL</t>
  </si>
  <si>
    <t>INDEPORTES</t>
  </si>
  <si>
    <t>PROMOTORA</t>
  </si>
  <si>
    <t>IDTQ</t>
  </si>
  <si>
    <t>DEPARTAMENTO DEL QUINDIO
EJECUCION GASTOS DE INVERSION POR SECRETARIAS
I TRIMESTRE 2018</t>
  </si>
  <si>
    <t>201663000-0007</t>
  </si>
  <si>
    <t>37
38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</si>
</sst>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_-* #,##0_-;\-* #,##0_-;_-* &quot;-&quot;??_-;_-@_-"/>
    <numFmt numFmtId="167" formatCode="0.0"/>
    <numFmt numFmtId="168" formatCode="#,##0.0"/>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11"/>
      <name val="Calibri"/>
      <family val="2"/>
      <scheme val="minor"/>
    </font>
    <font>
      <b/>
      <sz val="11"/>
      <name val="Arial"/>
      <family val="2"/>
    </font>
    <font>
      <b/>
      <sz val="10"/>
      <name val="Arial"/>
      <family val="2"/>
    </font>
    <font>
      <sz val="11"/>
      <color indexed="8"/>
      <name val="Calibri"/>
      <family val="2"/>
    </font>
    <font>
      <b/>
      <sz val="10"/>
      <color theme="1"/>
      <name val="Arial"/>
      <family val="2"/>
    </font>
    <font>
      <b/>
      <sz val="16"/>
      <name val="Arial"/>
      <family val="2"/>
    </font>
    <font>
      <sz val="11"/>
      <name val="Arial"/>
      <family val="2"/>
    </font>
    <font>
      <sz val="11"/>
      <color theme="1"/>
      <name val="Arial"/>
      <family val="2"/>
    </font>
    <font>
      <sz val="12"/>
      <name val="Arial"/>
      <family val="2"/>
    </font>
    <font>
      <sz val="10"/>
      <name val="Arial"/>
      <family val="2"/>
    </font>
    <font>
      <sz val="12"/>
      <color theme="1"/>
      <name val="Arial"/>
      <family val="2"/>
    </font>
    <font>
      <sz val="12"/>
      <color rgb="FF000000"/>
      <name val="Arial"/>
      <family val="2"/>
    </font>
    <font>
      <b/>
      <sz val="12"/>
      <color theme="1"/>
      <name val="Arial"/>
      <family val="2"/>
    </font>
    <font>
      <b/>
      <sz val="12"/>
      <color rgb="FFFF0000"/>
      <name val="Arial"/>
      <family val="2"/>
    </font>
    <font>
      <sz val="12"/>
      <color indexed="8"/>
      <name val="Arial"/>
      <family val="2"/>
    </font>
    <font>
      <sz val="12"/>
      <color rgb="FFFF0000"/>
      <name val="Arial"/>
      <family val="2"/>
    </font>
    <font>
      <sz val="10"/>
      <color indexed="8"/>
      <name val="Arial"/>
      <family val="2"/>
    </font>
    <font>
      <sz val="10"/>
      <color theme="1"/>
      <name val="Arial"/>
      <family val="2"/>
    </font>
    <font>
      <sz val="10"/>
      <color theme="0"/>
      <name val="Arial"/>
      <family val="2"/>
    </font>
    <font>
      <b/>
      <sz val="10"/>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rgb="FF7030A0"/>
        <bgColor indexed="64"/>
      </patternFill>
    </fill>
    <fill>
      <patternFill patternType="solid">
        <fgColor rgb="FF92D050"/>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auto="1"/>
      </bottom>
      <diagonal/>
    </border>
    <border>
      <left style="thin">
        <color indexed="64"/>
      </left>
      <right style="thin">
        <color indexed="64"/>
      </right>
      <top/>
      <bottom style="double">
        <color indexed="64"/>
      </bottom>
      <diagonal/>
    </border>
  </borders>
  <cellStyleXfs count="5">
    <xf numFmtId="0" fontId="0" fillId="0" borderId="0"/>
    <xf numFmtId="43"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cellStyleXfs>
  <cellXfs count="964">
    <xf numFmtId="0" fontId="0" fillId="0" borderId="0" xfId="0"/>
    <xf numFmtId="0" fontId="6" fillId="0" borderId="0" xfId="0" applyFont="1" applyBorder="1" applyAlignment="1">
      <alignment horizontal="center" vertical="center"/>
    </xf>
    <xf numFmtId="0" fontId="9" fillId="0" borderId="0" xfId="0" applyFont="1" applyFill="1" applyBorder="1" applyAlignment="1">
      <alignment vertical="center"/>
    </xf>
    <xf numFmtId="0" fontId="12" fillId="8" borderId="2"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9" fillId="2" borderId="0" xfId="0" applyFont="1" applyFill="1" applyBorder="1" applyAlignment="1">
      <alignment vertical="center"/>
    </xf>
    <xf numFmtId="0" fontId="10" fillId="0" borderId="2" xfId="0" applyFont="1" applyFill="1" applyBorder="1"/>
    <xf numFmtId="0" fontId="9" fillId="3" borderId="0" xfId="0" applyFont="1" applyFill="1" applyBorder="1" applyAlignment="1">
      <alignment vertical="center"/>
    </xf>
    <xf numFmtId="0" fontId="5" fillId="0" borderId="13" xfId="0" applyFont="1" applyFill="1" applyBorder="1" applyAlignment="1">
      <alignment horizontal="center" vertical="center"/>
    </xf>
    <xf numFmtId="0" fontId="9" fillId="0" borderId="0" xfId="0" applyFont="1" applyFill="1" applyBorder="1" applyAlignment="1">
      <alignment vertical="center" wrapText="1"/>
    </xf>
    <xf numFmtId="0" fontId="9" fillId="0" borderId="8" xfId="0" applyFont="1" applyFill="1" applyBorder="1" applyAlignment="1">
      <alignment vertical="center"/>
    </xf>
    <xf numFmtId="0" fontId="10" fillId="0" borderId="0" xfId="0" applyFont="1" applyFill="1" applyBorder="1"/>
    <xf numFmtId="0" fontId="9" fillId="0" borderId="0" xfId="0" applyFont="1" applyFill="1" applyBorder="1" applyAlignment="1">
      <alignment horizontal="right" vertical="center"/>
    </xf>
    <xf numFmtId="43" fontId="10" fillId="0" borderId="2" xfId="1" applyFont="1" applyFill="1" applyBorder="1" applyAlignment="1">
      <alignment horizontal="center" vertical="center"/>
    </xf>
    <xf numFmtId="43" fontId="11" fillId="0" borderId="2" xfId="1" applyFont="1" applyFill="1" applyBorder="1" applyAlignment="1">
      <alignment horizontal="center" vertical="center" wrapText="1"/>
    </xf>
    <xf numFmtId="0" fontId="10" fillId="2" borderId="0" xfId="0" applyFont="1" applyFill="1"/>
    <xf numFmtId="166" fontId="10" fillId="2" borderId="0" xfId="1" applyNumberFormat="1" applyFont="1" applyFill="1" applyAlignment="1">
      <alignment horizontal="center"/>
    </xf>
    <xf numFmtId="0" fontId="10" fillId="2" borderId="0" xfId="0" applyFont="1" applyFill="1" applyAlignment="1"/>
    <xf numFmtId="165" fontId="10" fillId="2" borderId="0" xfId="0" applyNumberFormat="1" applyFont="1" applyFill="1"/>
    <xf numFmtId="43" fontId="10" fillId="2" borderId="0" xfId="0" applyNumberFormat="1" applyFont="1" applyFill="1" applyBorder="1" applyAlignment="1">
      <alignment vertical="center"/>
    </xf>
    <xf numFmtId="0" fontId="10" fillId="0" borderId="0" xfId="0" applyFont="1"/>
    <xf numFmtId="0" fontId="10" fillId="11" borderId="0" xfId="0" applyFont="1" applyFill="1"/>
    <xf numFmtId="166" fontId="10" fillId="0" borderId="0" xfId="1" applyNumberFormat="1" applyFont="1" applyAlignment="1">
      <alignment horizontal="center"/>
    </xf>
    <xf numFmtId="0" fontId="10" fillId="0" borderId="0" xfId="0" applyFont="1" applyAlignment="1"/>
    <xf numFmtId="0" fontId="5" fillId="0" borderId="13" xfId="0" applyFont="1" applyFill="1" applyBorder="1" applyAlignment="1">
      <alignment vertical="center"/>
    </xf>
    <xf numFmtId="0" fontId="5" fillId="2" borderId="13" xfId="0" applyFont="1" applyFill="1" applyBorder="1" applyAlignment="1">
      <alignment vertical="center"/>
    </xf>
    <xf numFmtId="0" fontId="3" fillId="0" borderId="13" xfId="0" applyFont="1" applyBorder="1" applyAlignment="1">
      <alignment vertical="center"/>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horizontal="left" vertical="center"/>
    </xf>
    <xf numFmtId="164" fontId="6" fillId="0" borderId="2" xfId="0" applyNumberFormat="1" applyFont="1" applyBorder="1" applyAlignment="1">
      <alignment horizontal="left" vertical="center"/>
    </xf>
    <xf numFmtId="17" fontId="6" fillId="0" borderId="2" xfId="0" applyNumberFormat="1" applyFont="1" applyBorder="1" applyAlignment="1">
      <alignment horizontal="left" vertical="center"/>
    </xf>
    <xf numFmtId="3" fontId="6" fillId="3" borderId="2"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165" fontId="3" fillId="0" borderId="2" xfId="2" applyNumberFormat="1" applyFont="1" applyFill="1" applyBorder="1" applyAlignment="1">
      <alignment horizontal="center" vertical="center" wrapText="1"/>
    </xf>
    <xf numFmtId="165" fontId="17" fillId="0" borderId="2" xfId="2" applyNumberFormat="1"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7" xfId="0" applyFont="1" applyFill="1" applyBorder="1" applyAlignment="1">
      <alignment horizontal="center" vertical="center"/>
    </xf>
    <xf numFmtId="0" fontId="3" fillId="5" borderId="7" xfId="0" applyFont="1" applyFill="1" applyBorder="1" applyAlignment="1">
      <alignment horizontal="left" vertical="center" wrapText="1"/>
    </xf>
    <xf numFmtId="0" fontId="3" fillId="5" borderId="7" xfId="0" applyFont="1" applyFill="1" applyBorder="1" applyAlignment="1">
      <alignment vertical="center"/>
    </xf>
    <xf numFmtId="0" fontId="3" fillId="5" borderId="7" xfId="0" applyFont="1" applyFill="1" applyBorder="1" applyAlignment="1">
      <alignment horizontal="center" vertical="center"/>
    </xf>
    <xf numFmtId="0" fontId="3" fillId="0" borderId="9" xfId="0" applyFont="1" applyFill="1" applyBorder="1" applyAlignment="1">
      <alignment vertical="center" wrapText="1"/>
    </xf>
    <xf numFmtId="0" fontId="3" fillId="6" borderId="6" xfId="0" applyFont="1" applyFill="1" applyBorder="1" applyAlignment="1">
      <alignment horizontal="left" vertical="center"/>
    </xf>
    <xf numFmtId="0" fontId="3" fillId="6" borderId="7" xfId="0" applyFont="1" applyFill="1" applyBorder="1" applyAlignment="1">
      <alignment horizontal="left" vertical="center"/>
    </xf>
    <xf numFmtId="0" fontId="3" fillId="6" borderId="7" xfId="0" applyFont="1" applyFill="1" applyBorder="1" applyAlignment="1">
      <alignment vertical="center"/>
    </xf>
    <xf numFmtId="0" fontId="3" fillId="6" borderId="7" xfId="0" applyFont="1" applyFill="1" applyBorder="1" applyAlignment="1">
      <alignment horizontal="center" vertical="center"/>
    </xf>
    <xf numFmtId="0" fontId="3" fillId="0" borderId="0" xfId="0" applyFont="1" applyFill="1" applyBorder="1" applyAlignment="1">
      <alignment vertical="center" wrapText="1"/>
    </xf>
    <xf numFmtId="0" fontId="3" fillId="0" borderId="7" xfId="0" applyFont="1" applyFill="1" applyBorder="1" applyAlignment="1">
      <alignment vertical="center"/>
    </xf>
    <xf numFmtId="0" fontId="3" fillId="0" borderId="11"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2" xfId="0" applyNumberFormat="1" applyFont="1" applyFill="1" applyBorder="1" applyAlignment="1">
      <alignment horizontal="center" vertical="center"/>
    </xf>
    <xf numFmtId="1" fontId="12" fillId="0" borderId="2" xfId="0" applyNumberFormat="1" applyFont="1" applyFill="1" applyBorder="1" applyAlignment="1">
      <alignment horizontal="center" vertical="center"/>
    </xf>
    <xf numFmtId="1" fontId="14" fillId="0" borderId="2" xfId="0" applyNumberFormat="1" applyFont="1" applyFill="1" applyBorder="1" applyAlignment="1">
      <alignment horizontal="center" vertical="center"/>
    </xf>
    <xf numFmtId="0" fontId="12" fillId="0" borderId="2" xfId="0" applyNumberFormat="1" applyFont="1" applyFill="1" applyBorder="1" applyAlignment="1">
      <alignment horizontal="justify" vertical="center"/>
    </xf>
    <xf numFmtId="43" fontId="12" fillId="0" borderId="2" xfId="1" applyFont="1" applyFill="1" applyBorder="1" applyAlignment="1">
      <alignment horizontal="right" vertical="center" wrapText="1"/>
    </xf>
    <xf numFmtId="0" fontId="12" fillId="0" borderId="11" xfId="0" applyFont="1" applyFill="1" applyBorder="1" applyAlignment="1">
      <alignment vertical="center" wrapText="1"/>
    </xf>
    <xf numFmtId="0" fontId="12" fillId="0" borderId="2" xfId="0" applyFont="1" applyFill="1" applyBorder="1" applyAlignment="1">
      <alignment horizontal="center" vertical="center"/>
    </xf>
    <xf numFmtId="1" fontId="12" fillId="0" borderId="4" xfId="0" applyNumberFormat="1" applyFont="1" applyFill="1" applyBorder="1" applyAlignment="1">
      <alignment horizontal="center" vertical="center"/>
    </xf>
    <xf numFmtId="0" fontId="12" fillId="0" borderId="4" xfId="0" applyFont="1" applyFill="1" applyBorder="1" applyAlignment="1">
      <alignment horizontal="justify" vertical="center" wrapText="1"/>
    </xf>
    <xf numFmtId="0" fontId="12" fillId="0" borderId="1" xfId="0" applyFont="1" applyFill="1" applyBorder="1" applyAlignment="1">
      <alignment vertical="center" wrapText="1"/>
    </xf>
    <xf numFmtId="1" fontId="12" fillId="0" borderId="11" xfId="0" applyNumberFormat="1" applyFont="1" applyFill="1" applyBorder="1" applyAlignment="1">
      <alignment horizontal="center" vertical="center"/>
    </xf>
    <xf numFmtId="0" fontId="12" fillId="0" borderId="1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4" xfId="0" applyFont="1" applyFill="1" applyBorder="1" applyAlignment="1">
      <alignment vertical="center" wrapText="1"/>
    </xf>
    <xf numFmtId="1" fontId="12" fillId="0" borderId="12" xfId="0" applyNumberFormat="1" applyFont="1" applyFill="1" applyBorder="1" applyAlignment="1">
      <alignment horizontal="center" vertical="center"/>
    </xf>
    <xf numFmtId="0" fontId="3" fillId="0" borderId="12" xfId="0" applyFont="1" applyFill="1" applyBorder="1" applyAlignment="1">
      <alignment vertical="center" wrapText="1"/>
    </xf>
    <xf numFmtId="0" fontId="12"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2" fillId="8" borderId="2" xfId="0" applyFont="1" applyFill="1" applyBorder="1" applyAlignment="1">
      <alignment horizontal="justify" vertical="center" wrapText="1"/>
    </xf>
    <xf numFmtId="0" fontId="12" fillId="8" borderId="2" xfId="0" applyFont="1" applyFill="1" applyBorder="1" applyAlignment="1">
      <alignment horizontal="center" vertical="center" wrapText="1"/>
    </xf>
    <xf numFmtId="0" fontId="12" fillId="8" borderId="2" xfId="0" applyNumberFormat="1" applyFont="1" applyFill="1" applyBorder="1" applyAlignment="1">
      <alignment horizontal="center" vertical="center"/>
    </xf>
    <xf numFmtId="0" fontId="3" fillId="0" borderId="13" xfId="0" applyFont="1" applyFill="1" applyBorder="1" applyAlignment="1">
      <alignment vertical="center" wrapText="1"/>
    </xf>
    <xf numFmtId="0" fontId="12" fillId="6" borderId="2" xfId="0" applyFont="1" applyFill="1" applyBorder="1" applyAlignment="1">
      <alignment horizontal="justify" vertical="center" wrapText="1"/>
    </xf>
    <xf numFmtId="0" fontId="12" fillId="6" borderId="2" xfId="0" applyFont="1" applyFill="1" applyBorder="1" applyAlignment="1">
      <alignment horizontal="center" vertical="center" wrapText="1"/>
    </xf>
    <xf numFmtId="0" fontId="12" fillId="6" borderId="2" xfId="0" applyNumberFormat="1" applyFont="1" applyFill="1" applyBorder="1" applyAlignment="1">
      <alignment horizontal="center" vertical="center"/>
    </xf>
    <xf numFmtId="0" fontId="12" fillId="5" borderId="2" xfId="0" applyFont="1" applyFill="1" applyBorder="1" applyAlignment="1">
      <alignment horizontal="justify" vertical="center" wrapText="1"/>
    </xf>
    <xf numFmtId="0" fontId="12" fillId="5" borderId="2" xfId="0" applyFont="1" applyFill="1" applyBorder="1" applyAlignment="1">
      <alignment horizontal="center" vertical="center" wrapText="1"/>
    </xf>
    <xf numFmtId="0" fontId="12" fillId="5" borderId="2" xfId="0" applyNumberFormat="1" applyFont="1" applyFill="1" applyBorder="1" applyAlignment="1">
      <alignment horizontal="center" vertical="center"/>
    </xf>
    <xf numFmtId="0" fontId="12" fillId="9" borderId="2" xfId="0" applyFont="1" applyFill="1" applyBorder="1" applyAlignment="1">
      <alignment horizontal="justify" vertical="center" wrapText="1"/>
    </xf>
    <xf numFmtId="0" fontId="12" fillId="9" borderId="2" xfId="0" applyFont="1" applyFill="1" applyBorder="1" applyAlignment="1">
      <alignment horizontal="center" vertical="center" wrapText="1"/>
    </xf>
    <xf numFmtId="0" fontId="12" fillId="9" borderId="2" xfId="0" applyNumberFormat="1" applyFont="1" applyFill="1" applyBorder="1" applyAlignment="1">
      <alignment horizontal="center" vertical="center"/>
    </xf>
    <xf numFmtId="0" fontId="12" fillId="0" borderId="6" xfId="0" applyFont="1" applyFill="1" applyBorder="1" applyAlignment="1">
      <alignment horizontal="justify" vertical="center" wrapText="1"/>
    </xf>
    <xf numFmtId="0" fontId="12" fillId="0" borderId="7"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12" fillId="0" borderId="7" xfId="0" applyNumberFormat="1"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8" borderId="6" xfId="0" applyFont="1" applyFill="1" applyBorder="1" applyAlignment="1">
      <alignment horizontal="justify" vertical="center" wrapText="1"/>
    </xf>
    <xf numFmtId="0" fontId="3" fillId="8" borderId="7" xfId="0" applyFont="1" applyFill="1" applyBorder="1" applyAlignment="1">
      <alignment horizontal="left" vertical="center"/>
    </xf>
    <xf numFmtId="0" fontId="3" fillId="8" borderId="7" xfId="0" applyFont="1" applyFill="1" applyBorder="1" applyAlignment="1">
      <alignment vertical="center"/>
    </xf>
    <xf numFmtId="0" fontId="3" fillId="8" borderId="8" xfId="0" applyFont="1" applyFill="1" applyBorder="1" applyAlignment="1">
      <alignment vertical="center"/>
    </xf>
    <xf numFmtId="0" fontId="12" fillId="0" borderId="8" xfId="0" applyFont="1" applyFill="1" applyBorder="1" applyAlignment="1">
      <alignment horizontal="justify" vertical="center" wrapText="1"/>
    </xf>
    <xf numFmtId="0" fontId="12" fillId="0" borderId="4" xfId="0" applyFont="1" applyFill="1" applyBorder="1" applyAlignment="1">
      <alignment horizontal="center" vertical="center"/>
    </xf>
    <xf numFmtId="2" fontId="12" fillId="0" borderId="7" xfId="0" applyNumberFormat="1" applyFont="1" applyFill="1" applyBorder="1" applyAlignment="1">
      <alignment horizontal="center" vertical="center"/>
    </xf>
    <xf numFmtId="2" fontId="12" fillId="8" borderId="2" xfId="0" applyNumberFormat="1" applyFont="1" applyFill="1" applyBorder="1" applyAlignment="1">
      <alignment horizontal="center" vertical="center"/>
    </xf>
    <xf numFmtId="0" fontId="12" fillId="6" borderId="7" xfId="0" applyFont="1" applyFill="1" applyBorder="1" applyAlignment="1">
      <alignment horizontal="justify" vertical="center" wrapText="1"/>
    </xf>
    <xf numFmtId="0" fontId="12" fillId="6" borderId="7" xfId="0" applyFont="1" applyFill="1" applyBorder="1" applyAlignment="1">
      <alignment horizontal="center" vertical="center" wrapText="1"/>
    </xf>
    <xf numFmtId="0" fontId="12" fillId="6" borderId="7" xfId="0" applyNumberFormat="1" applyFont="1" applyFill="1" applyBorder="1" applyAlignment="1">
      <alignment horizontal="center" vertical="center"/>
    </xf>
    <xf numFmtId="2" fontId="12" fillId="6" borderId="7" xfId="0" applyNumberFormat="1" applyFont="1" applyFill="1" applyBorder="1" applyAlignment="1">
      <alignment horizontal="center" vertical="center"/>
    </xf>
    <xf numFmtId="0" fontId="12" fillId="6" borderId="7" xfId="0" applyNumberFormat="1" applyFont="1" applyFill="1" applyBorder="1" applyAlignment="1">
      <alignment horizontal="justify" vertical="center"/>
    </xf>
    <xf numFmtId="0" fontId="12" fillId="0" borderId="7" xfId="0" applyNumberFormat="1" applyFont="1" applyFill="1" applyBorder="1" applyAlignment="1">
      <alignment horizontal="justify" vertical="center"/>
    </xf>
    <xf numFmtId="2" fontId="3" fillId="6" borderId="7" xfId="0" applyNumberFormat="1" applyFont="1" applyFill="1" applyBorder="1" applyAlignment="1">
      <alignment vertical="center"/>
    </xf>
    <xf numFmtId="0" fontId="12" fillId="0" borderId="4" xfId="0" applyFont="1" applyBorder="1" applyAlignment="1">
      <alignment vertical="center" wrapText="1"/>
    </xf>
    <xf numFmtId="2" fontId="3" fillId="8" borderId="7" xfId="0" applyNumberFormat="1" applyFont="1" applyFill="1" applyBorder="1" applyAlignment="1">
      <alignment vertical="center"/>
    </xf>
    <xf numFmtId="0" fontId="12" fillId="0" borderId="12" xfId="0" applyFont="1" applyBorder="1" applyAlignment="1">
      <alignment vertical="center" wrapText="1"/>
    </xf>
    <xf numFmtId="0" fontId="12" fillId="8" borderId="4" xfId="0" applyFont="1" applyFill="1" applyBorder="1" applyAlignment="1">
      <alignment horizontal="justify" vertical="center" wrapText="1"/>
    </xf>
    <xf numFmtId="0" fontId="12" fillId="8" borderId="4" xfId="0" applyFont="1" applyFill="1" applyBorder="1" applyAlignment="1">
      <alignment horizontal="center" vertical="center" wrapText="1"/>
    </xf>
    <xf numFmtId="0" fontId="12" fillId="6" borderId="8" xfId="0" applyFont="1" applyFill="1" applyBorder="1" applyAlignment="1">
      <alignment horizontal="justify" vertical="center" wrapText="1"/>
    </xf>
    <xf numFmtId="0" fontId="12" fillId="6" borderId="6"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4" xfId="0" applyFont="1" applyFill="1" applyBorder="1" applyAlignment="1">
      <alignment horizontal="justify" vertical="center" wrapText="1"/>
    </xf>
    <xf numFmtId="0" fontId="12" fillId="6" borderId="4" xfId="0" applyFont="1" applyFill="1" applyBorder="1" applyAlignment="1">
      <alignment horizontal="center" vertical="center" wrapText="1"/>
    </xf>
    <xf numFmtId="2" fontId="12" fillId="6" borderId="2" xfId="0" applyNumberFormat="1" applyFont="1" applyFill="1" applyBorder="1" applyAlignment="1">
      <alignment horizontal="center" vertical="center"/>
    </xf>
    <xf numFmtId="0" fontId="12" fillId="0" borderId="9" xfId="0" applyFont="1" applyFill="1" applyBorder="1" applyAlignment="1">
      <alignment horizontal="justify" vertical="center" wrapText="1"/>
    </xf>
    <xf numFmtId="0" fontId="12" fillId="0" borderId="9" xfId="0" applyFont="1" applyFill="1" applyBorder="1" applyAlignment="1">
      <alignment horizontal="center" vertical="center" wrapText="1"/>
    </xf>
    <xf numFmtId="0" fontId="3" fillId="6" borderId="8" xfId="0" applyFont="1" applyFill="1" applyBorder="1" applyAlignment="1">
      <alignment horizontal="justify" vertical="center" wrapText="1"/>
    </xf>
    <xf numFmtId="0" fontId="3" fillId="6" borderId="6" xfId="0" applyFont="1" applyFill="1" applyBorder="1" applyAlignment="1">
      <alignment horizontal="center" vertical="center"/>
    </xf>
    <xf numFmtId="0" fontId="3" fillId="10" borderId="6" xfId="0" applyFont="1" applyFill="1" applyBorder="1" applyAlignment="1">
      <alignment horizontal="left" vertical="center"/>
    </xf>
    <xf numFmtId="0" fontId="3" fillId="10" borderId="7" xfId="0" applyFont="1" applyFill="1" applyBorder="1" applyAlignment="1">
      <alignment vertical="center"/>
    </xf>
    <xf numFmtId="2" fontId="3" fillId="10" borderId="7" xfId="0" applyNumberFormat="1" applyFont="1" applyFill="1" applyBorder="1" applyAlignment="1">
      <alignment vertical="center"/>
    </xf>
    <xf numFmtId="0" fontId="12"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5" fontId="12" fillId="0" borderId="2" xfId="2"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xf>
    <xf numFmtId="2"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vertical="center"/>
    </xf>
    <xf numFmtId="167" fontId="12" fillId="0" borderId="2" xfId="0" applyNumberFormat="1" applyFont="1" applyFill="1" applyBorder="1" applyAlignment="1">
      <alignment horizontal="center" vertical="center"/>
    </xf>
    <xf numFmtId="0" fontId="12" fillId="0" borderId="12" xfId="0" applyFont="1" applyFill="1" applyBorder="1" applyAlignment="1">
      <alignment vertical="center" wrapText="1"/>
    </xf>
    <xf numFmtId="1" fontId="12" fillId="8" borderId="2" xfId="0" applyNumberFormat="1" applyFont="1" applyFill="1" applyBorder="1" applyAlignment="1">
      <alignment horizontal="center" vertical="center"/>
    </xf>
    <xf numFmtId="0" fontId="3" fillId="0" borderId="14" xfId="0" applyFont="1" applyFill="1" applyBorder="1" applyAlignment="1">
      <alignment vertical="center" wrapText="1"/>
    </xf>
    <xf numFmtId="1" fontId="12" fillId="6" borderId="2" xfId="0" applyNumberFormat="1" applyFont="1" applyFill="1" applyBorder="1" applyAlignment="1">
      <alignment horizontal="center" vertical="center"/>
    </xf>
    <xf numFmtId="1" fontId="12" fillId="5" borderId="2" xfId="0" applyNumberFormat="1" applyFont="1" applyFill="1" applyBorder="1" applyAlignment="1">
      <alignment horizontal="center" vertical="center"/>
    </xf>
    <xf numFmtId="1" fontId="12" fillId="9" borderId="2" xfId="0" applyNumberFormat="1" applyFont="1" applyFill="1" applyBorder="1" applyAlignment="1">
      <alignment horizontal="center" vertical="center"/>
    </xf>
    <xf numFmtId="0" fontId="12" fillId="0" borderId="5" xfId="0" applyFont="1" applyFill="1" applyBorder="1" applyAlignment="1">
      <alignment horizontal="justify" vertical="center" wrapText="1"/>
    </xf>
    <xf numFmtId="0" fontId="12" fillId="0" borderId="9" xfId="0" applyNumberFormat="1" applyFont="1" applyFill="1" applyBorder="1" applyAlignment="1">
      <alignment horizontal="center" vertical="center"/>
    </xf>
    <xf numFmtId="0" fontId="3" fillId="4" borderId="5" xfId="0" applyFont="1" applyFill="1" applyBorder="1" applyAlignment="1">
      <alignment horizontal="left" vertical="center"/>
    </xf>
    <xf numFmtId="0" fontId="3" fillId="4" borderId="9" xfId="0" applyFont="1" applyFill="1" applyBorder="1" applyAlignment="1">
      <alignment horizontal="left" vertical="center"/>
    </xf>
    <xf numFmtId="0" fontId="3" fillId="4" borderId="9" xfId="0" applyFont="1" applyFill="1" applyBorder="1" applyAlignment="1">
      <alignment horizontal="center" vertical="center"/>
    </xf>
    <xf numFmtId="1" fontId="3" fillId="4" borderId="9" xfId="0" applyNumberFormat="1" applyFont="1" applyFill="1" applyBorder="1" applyAlignment="1">
      <alignment horizontal="left" vertical="center"/>
    </xf>
    <xf numFmtId="1" fontId="3" fillId="5" borderId="7" xfId="0" applyNumberFormat="1" applyFont="1" applyFill="1" applyBorder="1" applyAlignment="1">
      <alignment vertical="center"/>
    </xf>
    <xf numFmtId="0" fontId="3" fillId="6" borderId="7" xfId="0" applyFont="1" applyFill="1" applyBorder="1" applyAlignment="1">
      <alignment horizontal="justify" vertical="center" wrapText="1"/>
    </xf>
    <xf numFmtId="1" fontId="3" fillId="6" borderId="7" xfId="0" applyNumberFormat="1" applyFont="1" applyFill="1" applyBorder="1" applyAlignment="1">
      <alignment vertical="center"/>
    </xf>
    <xf numFmtId="0" fontId="3" fillId="0" borderId="7" xfId="0" applyFont="1" applyFill="1" applyBorder="1" applyAlignment="1">
      <alignment horizontal="center" vertical="center" wrapText="1"/>
    </xf>
    <xf numFmtId="1" fontId="3" fillId="8" borderId="7" xfId="0" applyNumberFormat="1" applyFont="1" applyFill="1" applyBorder="1" applyAlignment="1">
      <alignment vertical="center"/>
    </xf>
    <xf numFmtId="0" fontId="12" fillId="0" borderId="12" xfId="0" applyNumberFormat="1" applyFont="1" applyFill="1" applyBorder="1" applyAlignment="1">
      <alignment horizontal="center" vertical="center"/>
    </xf>
    <xf numFmtId="2" fontId="12" fillId="5" borderId="2" xfId="0" applyNumberFormat="1" applyFont="1" applyFill="1" applyBorder="1" applyAlignment="1">
      <alignment horizontal="center" vertical="center"/>
    </xf>
    <xf numFmtId="2" fontId="12" fillId="9" borderId="2" xfId="0" applyNumberFormat="1" applyFont="1" applyFill="1" applyBorder="1" applyAlignment="1">
      <alignment horizontal="center" vertical="center"/>
    </xf>
    <xf numFmtId="2" fontId="3" fillId="4" borderId="7" xfId="0" applyNumberFormat="1" applyFont="1" applyFill="1" applyBorder="1" applyAlignment="1">
      <alignment horizontal="left" vertical="center"/>
    </xf>
    <xf numFmtId="2" fontId="3" fillId="5" borderId="7" xfId="0" applyNumberFormat="1" applyFont="1" applyFill="1" applyBorder="1" applyAlignment="1">
      <alignment vertical="center"/>
    </xf>
    <xf numFmtId="0" fontId="3" fillId="6" borderId="6" xfId="0" applyFont="1" applyFill="1" applyBorder="1" applyAlignment="1">
      <alignment horizontal="justify" vertical="center" wrapText="1"/>
    </xf>
    <xf numFmtId="0" fontId="12" fillId="0" borderId="2" xfId="1" applyNumberFormat="1" applyFont="1" applyFill="1" applyBorder="1" applyAlignment="1">
      <alignment horizontal="center" vertical="center" wrapText="1"/>
    </xf>
    <xf numFmtId="43" fontId="12" fillId="0" borderId="2" xfId="1" applyFont="1" applyFill="1" applyBorder="1" applyAlignment="1">
      <alignment horizontal="center" vertical="center" wrapText="1"/>
    </xf>
    <xf numFmtId="0" fontId="12" fillId="8" borderId="2" xfId="0" applyNumberFormat="1" applyFont="1" applyFill="1" applyBorder="1" applyAlignment="1">
      <alignment horizontal="center" vertical="center" wrapText="1"/>
    </xf>
    <xf numFmtId="1" fontId="12" fillId="8" borderId="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3" fillId="8" borderId="2" xfId="0" applyFont="1" applyFill="1" applyBorder="1" applyAlignment="1">
      <alignment horizontal="justify" vertical="center" wrapText="1"/>
    </xf>
    <xf numFmtId="0" fontId="3" fillId="8" borderId="6" xfId="0" applyFont="1" applyFill="1" applyBorder="1" applyAlignment="1">
      <alignment horizontal="left" vertical="center"/>
    </xf>
    <xf numFmtId="0" fontId="12" fillId="0" borderId="4" xfId="0" applyNumberFormat="1" applyFont="1" applyFill="1" applyBorder="1" applyAlignment="1">
      <alignment vertical="center" wrapText="1"/>
    </xf>
    <xf numFmtId="43" fontId="12" fillId="0" borderId="6" xfId="1" applyFont="1" applyFill="1" applyBorder="1" applyAlignment="1">
      <alignment horizontal="center" vertical="center" wrapText="1"/>
    </xf>
    <xf numFmtId="0" fontId="12" fillId="0" borderId="2" xfId="0" applyFont="1" applyFill="1" applyBorder="1"/>
    <xf numFmtId="0" fontId="12" fillId="0" borderId="2" xfId="0" applyNumberFormat="1" applyFont="1" applyFill="1" applyBorder="1" applyAlignment="1">
      <alignment vertical="center" wrapText="1"/>
    </xf>
    <xf numFmtId="0" fontId="12" fillId="0" borderId="12" xfId="0" applyNumberFormat="1" applyFont="1" applyFill="1" applyBorder="1" applyAlignment="1">
      <alignment horizontal="center" vertical="center" wrapText="1"/>
    </xf>
    <xf numFmtId="165" fontId="12" fillId="8" borderId="2" xfId="0" applyNumberFormat="1" applyFont="1" applyFill="1" applyBorder="1" applyAlignment="1">
      <alignment horizontal="justify" vertical="center" wrapText="1"/>
    </xf>
    <xf numFmtId="165" fontId="12" fillId="8" borderId="2" xfId="0" applyNumberFormat="1" applyFont="1" applyFill="1" applyBorder="1" applyAlignment="1">
      <alignment horizontal="center" vertical="center" wrapText="1"/>
    </xf>
    <xf numFmtId="0" fontId="12" fillId="6" borderId="2" xfId="0" applyNumberFormat="1" applyFont="1" applyFill="1" applyBorder="1" applyAlignment="1">
      <alignment horizontal="center" vertical="center" wrapText="1"/>
    </xf>
    <xf numFmtId="1" fontId="12" fillId="6" borderId="2" xfId="0" applyNumberFormat="1" applyFont="1" applyFill="1" applyBorder="1" applyAlignment="1">
      <alignment horizontal="center" vertical="center" wrapText="1"/>
    </xf>
    <xf numFmtId="0" fontId="12" fillId="5" borderId="8" xfId="0" applyFont="1" applyFill="1" applyBorder="1" applyAlignment="1">
      <alignment horizontal="justify" vertical="center" wrapText="1"/>
    </xf>
    <xf numFmtId="0" fontId="12" fillId="5" borderId="2" xfId="0" applyNumberFormat="1" applyFont="1" applyFill="1" applyBorder="1" applyAlignment="1">
      <alignment horizontal="center" vertical="center" wrapText="1"/>
    </xf>
    <xf numFmtId="1" fontId="12" fillId="5" borderId="2"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0" fontId="3" fillId="6" borderId="2" xfId="0" applyFont="1" applyFill="1" applyBorder="1" applyAlignment="1">
      <alignment horizontal="justify" vertical="center" wrapText="1"/>
    </xf>
    <xf numFmtId="3" fontId="3" fillId="8" borderId="7" xfId="0" applyNumberFormat="1" applyFont="1" applyFill="1" applyBorder="1" applyAlignment="1">
      <alignment vertical="center"/>
    </xf>
    <xf numFmtId="0" fontId="12" fillId="0" borderId="2" xfId="0" applyNumberFormat="1" applyFont="1" applyFill="1" applyBorder="1" applyAlignment="1">
      <alignment horizontal="justify" vertical="center" wrapText="1"/>
    </xf>
    <xf numFmtId="0" fontId="12" fillId="0" borderId="2" xfId="2" applyNumberFormat="1" applyFont="1" applyFill="1" applyBorder="1" applyAlignment="1">
      <alignment horizontal="center" vertical="center" wrapText="1"/>
    </xf>
    <xf numFmtId="1" fontId="12" fillId="0" borderId="2" xfId="2" applyNumberFormat="1"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2" xfId="0" applyFont="1" applyFill="1" applyBorder="1" applyAlignment="1">
      <alignment horizontal="justify" vertical="center" wrapText="1"/>
    </xf>
    <xf numFmtId="0" fontId="12" fillId="10" borderId="2" xfId="0" applyNumberFormat="1" applyFont="1" applyFill="1" applyBorder="1" applyAlignment="1">
      <alignment horizontal="center" vertical="center" wrapText="1"/>
    </xf>
    <xf numFmtId="165" fontId="12" fillId="10" borderId="2" xfId="0" applyNumberFormat="1" applyFont="1" applyFill="1" applyBorder="1" applyAlignment="1">
      <alignment horizontal="justify" vertical="center" wrapText="1"/>
    </xf>
    <xf numFmtId="0" fontId="3" fillId="0" borderId="5" xfId="0" applyFont="1" applyFill="1" applyBorder="1" applyAlignment="1">
      <alignment vertical="center" wrapText="1"/>
    </xf>
    <xf numFmtId="0" fontId="3" fillId="8" borderId="8" xfId="0" applyFont="1" applyFill="1" applyBorder="1" applyAlignment="1">
      <alignment horizontal="justify" vertical="center" wrapText="1"/>
    </xf>
    <xf numFmtId="0" fontId="3" fillId="8" borderId="5" xfId="0" applyFont="1" applyFill="1" applyBorder="1" applyAlignment="1">
      <alignment vertical="center"/>
    </xf>
    <xf numFmtId="0" fontId="3" fillId="8" borderId="9" xfId="0" applyFont="1" applyFill="1" applyBorder="1" applyAlignment="1">
      <alignment vertical="center"/>
    </xf>
    <xf numFmtId="2" fontId="3" fillId="8" borderId="9" xfId="0" applyNumberFormat="1" applyFont="1" applyFill="1" applyBorder="1" applyAlignment="1">
      <alignment vertical="center"/>
    </xf>
    <xf numFmtId="0" fontId="3" fillId="0" borderId="17" xfId="0" applyFont="1" applyFill="1" applyBorder="1" applyAlignment="1">
      <alignment vertical="center"/>
    </xf>
    <xf numFmtId="0" fontId="12" fillId="0" borderId="3" xfId="0" applyFont="1" applyFill="1" applyBorder="1" applyAlignment="1">
      <alignment vertical="center" wrapText="1"/>
    </xf>
    <xf numFmtId="0" fontId="12" fillId="0" borderId="2" xfId="0" applyNumberFormat="1" applyFont="1" applyBorder="1" applyAlignment="1">
      <alignment horizontal="center" vertical="center"/>
    </xf>
    <xf numFmtId="0" fontId="12" fillId="0" borderId="7" xfId="0" applyFont="1" applyFill="1" applyBorder="1" applyAlignment="1">
      <alignment horizontal="justify" vertical="center"/>
    </xf>
    <xf numFmtId="0" fontId="12" fillId="10" borderId="12" xfId="0" applyFont="1" applyFill="1" applyBorder="1" applyAlignment="1">
      <alignment horizontal="center" vertical="center" wrapText="1"/>
    </xf>
    <xf numFmtId="1" fontId="12" fillId="9" borderId="2" xfId="0" applyNumberFormat="1" applyFont="1" applyFill="1" applyBorder="1" applyAlignment="1">
      <alignment horizontal="justify" vertical="center" wrapText="1"/>
    </xf>
    <xf numFmtId="0" fontId="12" fillId="9" borderId="2"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0" fontId="12" fillId="0" borderId="12" xfId="0" applyFont="1" applyBorder="1" applyAlignment="1">
      <alignment horizontal="justify" vertical="center" wrapText="1"/>
    </xf>
    <xf numFmtId="2" fontId="12" fillId="0" borderId="9" xfId="0" applyNumberFormat="1" applyFont="1" applyFill="1" applyBorder="1" applyAlignment="1">
      <alignment horizontal="center" vertical="center"/>
    </xf>
    <xf numFmtId="0" fontId="3" fillId="8" borderId="6" xfId="0" applyFont="1" applyFill="1" applyBorder="1" applyAlignment="1">
      <alignment vertical="center"/>
    </xf>
    <xf numFmtId="0" fontId="3" fillId="8" borderId="7" xfId="0" applyFont="1" applyFill="1" applyBorder="1" applyAlignment="1">
      <alignment horizontal="center" vertical="center"/>
    </xf>
    <xf numFmtId="2" fontId="3" fillId="8" borderId="13" xfId="0" applyNumberFormat="1" applyFont="1" applyFill="1" applyBorder="1" applyAlignment="1">
      <alignment vertical="center"/>
    </xf>
    <xf numFmtId="0" fontId="12" fillId="0" borderId="2" xfId="2" applyNumberFormat="1" applyFont="1" applyFill="1" applyBorder="1" applyAlignment="1">
      <alignment horizontal="center" vertical="center"/>
    </xf>
    <xf numFmtId="2" fontId="12" fillId="8" borderId="12" xfId="2" applyNumberFormat="1" applyFont="1" applyFill="1" applyBorder="1" applyAlignment="1">
      <alignment horizontal="center" vertical="center"/>
    </xf>
    <xf numFmtId="2" fontId="12" fillId="8" borderId="2" xfId="2" applyNumberFormat="1" applyFont="1" applyFill="1" applyBorder="1" applyAlignment="1">
      <alignment horizontal="center" vertical="center"/>
    </xf>
    <xf numFmtId="0" fontId="12" fillId="8" borderId="2" xfId="2" applyNumberFormat="1" applyFont="1" applyFill="1" applyBorder="1" applyAlignment="1">
      <alignment horizontal="center" vertical="center"/>
    </xf>
    <xf numFmtId="2" fontId="12" fillId="0" borderId="7" xfId="2" applyNumberFormat="1" applyFont="1" applyFill="1" applyBorder="1" applyAlignment="1">
      <alignment horizontal="center" vertical="center"/>
    </xf>
    <xf numFmtId="2" fontId="12" fillId="0" borderId="9" xfId="2" applyNumberFormat="1" applyFont="1" applyFill="1" applyBorder="1" applyAlignment="1">
      <alignment horizontal="center" vertical="center"/>
    </xf>
    <xf numFmtId="0" fontId="12" fillId="0" borderId="9" xfId="2" applyNumberFormat="1" applyFont="1" applyFill="1" applyBorder="1" applyAlignment="1">
      <alignment horizontal="center" vertical="center"/>
    </xf>
    <xf numFmtId="0" fontId="3" fillId="6" borderId="9" xfId="0" applyFont="1" applyFill="1" applyBorder="1" applyAlignment="1">
      <alignment horizontal="center" vertical="center"/>
    </xf>
    <xf numFmtId="0" fontId="3" fillId="6" borderId="9" xfId="0" applyFont="1" applyFill="1" applyBorder="1" applyAlignment="1">
      <alignment vertical="center"/>
    </xf>
    <xf numFmtId="2" fontId="3" fillId="6" borderId="9" xfId="0" applyNumberFormat="1" applyFont="1" applyFill="1" applyBorder="1" applyAlignment="1">
      <alignment vertical="center"/>
    </xf>
    <xf numFmtId="2" fontId="3" fillId="8" borderId="7" xfId="0" applyNumberFormat="1" applyFont="1" applyFill="1" applyBorder="1" applyAlignment="1">
      <alignment horizontal="left" vertical="center"/>
    </xf>
    <xf numFmtId="0" fontId="12" fillId="5" borderId="4" xfId="0" applyFont="1" applyFill="1" applyBorder="1" applyAlignment="1">
      <alignment horizontal="justify" vertical="center" wrapText="1"/>
    </xf>
    <xf numFmtId="0" fontId="12" fillId="5" borderId="4" xfId="0" applyFont="1" applyFill="1" applyBorder="1" applyAlignment="1">
      <alignment horizontal="center" vertical="center" wrapText="1"/>
    </xf>
    <xf numFmtId="0" fontId="3" fillId="5" borderId="7" xfId="0" applyFont="1" applyFill="1" applyBorder="1" applyAlignment="1">
      <alignment horizontal="justify" vertical="center" wrapText="1"/>
    </xf>
    <xf numFmtId="0" fontId="12" fillId="0" borderId="11" xfId="0" applyFont="1" applyBorder="1" applyAlignment="1">
      <alignment vertical="center" wrapText="1"/>
    </xf>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3" fillId="7" borderId="6"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12" fillId="0" borderId="2" xfId="0" applyFont="1" applyFill="1" applyBorder="1" applyAlignment="1">
      <alignment horizontal="justify" vertical="center"/>
    </xf>
    <xf numFmtId="0" fontId="12" fillId="8" borderId="2" xfId="0" applyFont="1" applyFill="1" applyBorder="1" applyAlignment="1">
      <alignment horizontal="justify" vertical="center"/>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12" xfId="0" applyNumberFormat="1" applyFont="1" applyFill="1" applyBorder="1" applyAlignment="1">
      <alignment horizontal="center" vertical="center"/>
    </xf>
    <xf numFmtId="0" fontId="12" fillId="8" borderId="2" xfId="0" applyFont="1" applyFill="1" applyBorder="1" applyAlignment="1">
      <alignment horizontal="center" vertical="center"/>
    </xf>
    <xf numFmtId="3" fontId="12" fillId="8" borderId="2"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 fillId="0" borderId="13" xfId="0" applyFont="1" applyFill="1" applyBorder="1" applyAlignment="1">
      <alignment horizontal="justify" vertical="center"/>
    </xf>
    <xf numFmtId="0" fontId="3" fillId="0" borderId="13" xfId="0" applyFont="1" applyFill="1" applyBorder="1" applyAlignment="1">
      <alignment horizontal="center" vertical="center"/>
    </xf>
    <xf numFmtId="0" fontId="12" fillId="0" borderId="7" xfId="0" applyFont="1" applyFill="1" applyBorder="1" applyAlignment="1">
      <alignment horizontal="center" vertical="center"/>
    </xf>
    <xf numFmtId="3" fontId="12" fillId="0" borderId="7" xfId="0" applyNumberFormat="1" applyFont="1" applyFill="1" applyBorder="1" applyAlignment="1">
      <alignment horizontal="center" vertical="center" wrapText="1"/>
    </xf>
    <xf numFmtId="3" fontId="12" fillId="8" borderId="2" xfId="0" applyNumberFormat="1" applyFont="1" applyFill="1" applyBorder="1" applyAlignment="1">
      <alignment horizontal="center" vertical="center"/>
    </xf>
    <xf numFmtId="3" fontId="12" fillId="0" borderId="7" xfId="0" applyNumberFormat="1" applyFont="1" applyFill="1" applyBorder="1" applyAlignment="1">
      <alignment horizontal="center" vertical="center"/>
    </xf>
    <xf numFmtId="0" fontId="3" fillId="6" borderId="2" xfId="0" applyFont="1" applyFill="1" applyBorder="1" applyAlignment="1">
      <alignment horizontal="justify" vertical="center"/>
    </xf>
    <xf numFmtId="0" fontId="3" fillId="6" borderId="2" xfId="0" applyFont="1" applyFill="1" applyBorder="1" applyAlignment="1">
      <alignment horizontal="center" vertical="center"/>
    </xf>
    <xf numFmtId="0" fontId="12" fillId="6" borderId="2" xfId="0" applyFont="1" applyFill="1" applyBorder="1" applyAlignment="1">
      <alignment horizontal="center" vertical="center"/>
    </xf>
    <xf numFmtId="3" fontId="12" fillId="6" borderId="2" xfId="0" applyNumberFormat="1" applyFont="1" applyFill="1" applyBorder="1" applyAlignment="1">
      <alignment horizontal="center" vertical="center"/>
    </xf>
    <xf numFmtId="3" fontId="3" fillId="6" borderId="7" xfId="0" applyNumberFormat="1" applyFont="1" applyFill="1" applyBorder="1" applyAlignment="1">
      <alignment vertical="center"/>
    </xf>
    <xf numFmtId="0" fontId="3" fillId="0" borderId="17" xfId="0" applyFont="1" applyFill="1" applyBorder="1" applyAlignment="1">
      <alignment horizontal="center" vertical="center" wrapText="1"/>
    </xf>
    <xf numFmtId="0" fontId="3" fillId="10" borderId="6" xfId="0" applyFont="1" applyFill="1" applyBorder="1" applyAlignment="1">
      <alignment horizontal="left" vertical="center" wrapText="1"/>
    </xf>
    <xf numFmtId="3" fontId="3" fillId="10" borderId="7" xfId="0" applyNumberFormat="1" applyFont="1" applyFill="1" applyBorder="1" applyAlignment="1">
      <alignment vertical="center"/>
    </xf>
    <xf numFmtId="0" fontId="3" fillId="0" borderId="10" xfId="0" applyFont="1" applyFill="1" applyBorder="1" applyAlignment="1">
      <alignment vertical="center" wrapText="1"/>
    </xf>
    <xf numFmtId="3" fontId="12" fillId="0" borderId="9"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12" xfId="0" applyFont="1" applyBorder="1" applyAlignment="1">
      <alignment horizontal="center" vertical="center" wrapText="1"/>
    </xf>
    <xf numFmtId="0" fontId="3" fillId="0" borderId="17" xfId="0" applyFont="1" applyFill="1" applyBorder="1" applyAlignment="1">
      <alignment vertical="center" wrapText="1"/>
    </xf>
    <xf numFmtId="3" fontId="12" fillId="6" borderId="2" xfId="0" applyNumberFormat="1" applyFont="1" applyFill="1" applyBorder="1" applyAlignment="1">
      <alignment horizontal="center" vertical="center" wrapText="1"/>
    </xf>
    <xf numFmtId="0" fontId="3" fillId="5" borderId="2" xfId="0" applyFont="1" applyFill="1" applyBorder="1" applyAlignment="1">
      <alignment horizontal="justify" vertical="center"/>
    </xf>
    <xf numFmtId="0" fontId="3" fillId="5" borderId="2" xfId="0" applyFont="1" applyFill="1" applyBorder="1" applyAlignment="1">
      <alignment horizontal="center" vertical="center"/>
    </xf>
    <xf numFmtId="0" fontId="12" fillId="5" borderId="2" xfId="0" applyFont="1" applyFill="1" applyBorder="1" applyAlignment="1">
      <alignment horizontal="center" vertical="center"/>
    </xf>
    <xf numFmtId="3" fontId="12" fillId="5" borderId="2" xfId="0" applyNumberFormat="1" applyFont="1" applyFill="1" applyBorder="1" applyAlignment="1">
      <alignment horizontal="center" vertical="center" wrapText="1"/>
    </xf>
    <xf numFmtId="0" fontId="3" fillId="9" borderId="2" xfId="0" applyFont="1" applyFill="1" applyBorder="1" applyAlignment="1">
      <alignment horizontal="justify" vertical="center"/>
    </xf>
    <xf numFmtId="0" fontId="3" fillId="9" borderId="2" xfId="0" applyFont="1" applyFill="1" applyBorder="1" applyAlignment="1">
      <alignment horizontal="center" vertical="center"/>
    </xf>
    <xf numFmtId="0" fontId="12" fillId="9" borderId="2" xfId="0" applyFont="1" applyFill="1" applyBorder="1" applyAlignment="1">
      <alignment horizontal="center" vertical="center"/>
    </xf>
    <xf numFmtId="3" fontId="12" fillId="9" borderId="2" xfId="0" applyNumberFormat="1" applyFont="1" applyFill="1" applyBorder="1" applyAlignment="1">
      <alignment horizontal="center" vertical="center" wrapText="1"/>
    </xf>
    <xf numFmtId="0" fontId="3" fillId="0" borderId="7" xfId="0" applyFont="1" applyFill="1" applyBorder="1" applyAlignment="1">
      <alignment horizontal="justify" vertical="center"/>
    </xf>
    <xf numFmtId="0" fontId="3" fillId="0" borderId="7" xfId="0" applyFont="1" applyFill="1" applyBorder="1" applyAlignment="1">
      <alignment horizontal="center" vertical="center"/>
    </xf>
    <xf numFmtId="3" fontId="3" fillId="4" borderId="7" xfId="0" applyNumberFormat="1" applyFont="1" applyFill="1" applyBorder="1" applyAlignment="1">
      <alignment horizontal="left" vertical="center"/>
    </xf>
    <xf numFmtId="3" fontId="3" fillId="5" borderId="7" xfId="0" applyNumberFormat="1" applyFont="1" applyFill="1" applyBorder="1" applyAlignment="1">
      <alignment vertical="center"/>
    </xf>
    <xf numFmtId="0" fontId="3" fillId="8" borderId="7" xfId="0" applyFont="1" applyFill="1" applyBorder="1" applyAlignment="1">
      <alignment horizontal="justify" vertical="center" wrapText="1"/>
    </xf>
    <xf numFmtId="4" fontId="12" fillId="0" borderId="2"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 fontId="3" fillId="8" borderId="7" xfId="0" applyNumberFormat="1" applyFont="1" applyFill="1" applyBorder="1" applyAlignment="1">
      <alignment vertical="center"/>
    </xf>
    <xf numFmtId="4" fontId="12" fillId="8" borderId="2" xfId="0" applyNumberFormat="1" applyFont="1" applyFill="1" applyBorder="1" applyAlignment="1">
      <alignment horizontal="center" vertical="center" wrapText="1"/>
    </xf>
    <xf numFmtId="4" fontId="12" fillId="0" borderId="7" xfId="0" applyNumberFormat="1" applyFont="1" applyFill="1" applyBorder="1" applyAlignment="1">
      <alignment horizontal="center" vertical="center" wrapText="1"/>
    </xf>
    <xf numFmtId="0" fontId="3" fillId="8" borderId="12" xfId="0" applyFont="1" applyFill="1" applyBorder="1" applyAlignment="1">
      <alignment horizontal="justify" vertical="center" wrapText="1"/>
    </xf>
    <xf numFmtId="0" fontId="12" fillId="0" borderId="1" xfId="0" applyFont="1" applyFill="1" applyBorder="1" applyAlignment="1">
      <alignment horizontal="center" vertical="center" wrapText="1"/>
    </xf>
    <xf numFmtId="4" fontId="12" fillId="6" borderId="2" xfId="0" applyNumberFormat="1" applyFont="1" applyFill="1" applyBorder="1" applyAlignment="1">
      <alignment horizontal="center" vertical="center" wrapText="1"/>
    </xf>
    <xf numFmtId="4" fontId="3" fillId="6" borderId="7" xfId="0" applyNumberFormat="1" applyFont="1" applyFill="1" applyBorder="1" applyAlignment="1">
      <alignment vertical="center"/>
    </xf>
    <xf numFmtId="4" fontId="3" fillId="10" borderId="7" xfId="0" applyNumberFormat="1" applyFont="1" applyFill="1" applyBorder="1" applyAlignment="1">
      <alignment vertical="center"/>
    </xf>
    <xf numFmtId="4" fontId="12" fillId="5" borderId="2" xfId="0" applyNumberFormat="1" applyFont="1" applyFill="1" applyBorder="1" applyAlignment="1">
      <alignment horizontal="center" vertical="center" wrapText="1"/>
    </xf>
    <xf numFmtId="4" fontId="12" fillId="9" borderId="2" xfId="0" applyNumberFormat="1"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7" xfId="0" applyFont="1" applyFill="1" applyBorder="1" applyAlignment="1">
      <alignment horizontal="center" vertical="center" wrapText="1"/>
    </xf>
    <xf numFmtId="4" fontId="3" fillId="4" borderId="7" xfId="0" applyNumberFormat="1" applyFont="1" applyFill="1" applyBorder="1" applyAlignment="1">
      <alignment horizontal="left" vertical="center" wrapText="1"/>
    </xf>
    <xf numFmtId="4" fontId="3" fillId="5" borderId="7" xfId="0" applyNumberFormat="1" applyFont="1" applyFill="1" applyBorder="1" applyAlignment="1">
      <alignment vertical="center"/>
    </xf>
    <xf numFmtId="43" fontId="12" fillId="0" borderId="11" xfId="2" applyFont="1" applyFill="1" applyBorder="1" applyAlignment="1">
      <alignment horizontal="center" vertical="center"/>
    </xf>
    <xf numFmtId="4" fontId="12" fillId="8" borderId="2" xfId="0" applyNumberFormat="1" applyFont="1" applyFill="1" applyBorder="1" applyAlignment="1">
      <alignment horizontal="justify" vertical="center" wrapText="1"/>
    </xf>
    <xf numFmtId="4" fontId="12" fillId="0" borderId="7" xfId="0" applyNumberFormat="1" applyFont="1" applyFill="1" applyBorder="1" applyAlignment="1">
      <alignment horizontal="justify" vertical="center" wrapText="1"/>
    </xf>
    <xf numFmtId="3" fontId="12" fillId="8" borderId="2" xfId="0" applyNumberFormat="1" applyFont="1" applyFill="1" applyBorder="1" applyAlignment="1">
      <alignment horizontal="justify" vertical="center" wrapText="1"/>
    </xf>
    <xf numFmtId="4" fontId="12" fillId="6" borderId="2" xfId="0" applyNumberFormat="1" applyFont="1" applyFill="1" applyBorder="1" applyAlignment="1">
      <alignment horizontal="justify"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vertical="center" wrapText="1"/>
    </xf>
    <xf numFmtId="0" fontId="12" fillId="10" borderId="13"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4" fontId="12" fillId="10" borderId="12" xfId="0" applyNumberFormat="1" applyFont="1" applyFill="1" applyBorder="1" applyAlignment="1">
      <alignment horizontal="center" vertical="center" wrapText="1"/>
    </xf>
    <xf numFmtId="0" fontId="12" fillId="10" borderId="12" xfId="0" applyNumberFormat="1"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3" fillId="10" borderId="2" xfId="0" applyFont="1" applyFill="1" applyBorder="1" applyAlignment="1">
      <alignment vertical="center"/>
    </xf>
    <xf numFmtId="0" fontId="3" fillId="0" borderId="2" xfId="0" applyFont="1" applyFill="1" applyBorder="1" applyAlignment="1">
      <alignment horizontal="justify" vertical="center" wrapText="1"/>
    </xf>
    <xf numFmtId="0" fontId="3" fillId="8" borderId="7" xfId="0" applyFont="1" applyFill="1" applyBorder="1" applyAlignment="1">
      <alignment horizontal="center" vertical="center" wrapText="1"/>
    </xf>
    <xf numFmtId="0" fontId="12" fillId="8" borderId="7" xfId="0" applyFont="1" applyFill="1" applyBorder="1" applyAlignment="1">
      <alignment horizontal="justify" vertical="center" wrapText="1"/>
    </xf>
    <xf numFmtId="0" fontId="12" fillId="8" borderId="7" xfId="0" applyNumberFormat="1" applyFont="1" applyFill="1" applyBorder="1" applyAlignment="1">
      <alignment horizontal="center" vertical="center" wrapText="1"/>
    </xf>
    <xf numFmtId="4" fontId="12" fillId="8" borderId="7" xfId="0" applyNumberFormat="1" applyFont="1" applyFill="1" applyBorder="1" applyAlignment="1">
      <alignment horizontal="center" vertical="center" wrapText="1"/>
    </xf>
    <xf numFmtId="0" fontId="12" fillId="8"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12" fillId="0" borderId="11" xfId="0" applyFont="1" applyFill="1" applyBorder="1" applyAlignment="1">
      <alignment vertical="center"/>
    </xf>
    <xf numFmtId="0" fontId="12" fillId="0" borderId="12" xfId="0" applyFont="1" applyFill="1" applyBorder="1" applyAlignment="1">
      <alignment vertical="center"/>
    </xf>
    <xf numFmtId="0" fontId="3" fillId="8" borderId="2" xfId="0" applyFont="1" applyFill="1" applyBorder="1" applyAlignment="1">
      <alignment horizontal="justify" vertical="center"/>
    </xf>
    <xf numFmtId="2" fontId="12" fillId="8" borderId="2" xfId="0" applyNumberFormat="1" applyFont="1" applyFill="1" applyBorder="1" applyAlignment="1">
      <alignment horizontal="center" vertical="center" wrapText="1"/>
    </xf>
    <xf numFmtId="2" fontId="12" fillId="6"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2" fontId="12" fillId="0" borderId="7"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8" borderId="4" xfId="0" applyNumberFormat="1" applyFont="1" applyFill="1" applyBorder="1" applyAlignment="1">
      <alignment horizontal="center" vertical="center" wrapText="1"/>
    </xf>
    <xf numFmtId="2" fontId="12" fillId="8" borderId="4" xfId="0" applyNumberFormat="1" applyFont="1" applyFill="1" applyBorder="1" applyAlignment="1">
      <alignment horizontal="center" vertical="center" wrapText="1"/>
    </xf>
    <xf numFmtId="0" fontId="12" fillId="6" borderId="3" xfId="0" applyFont="1" applyFill="1" applyBorder="1" applyAlignment="1">
      <alignment horizontal="justify" vertical="center" wrapText="1"/>
    </xf>
    <xf numFmtId="0" fontId="12" fillId="6" borderId="4" xfId="0" applyNumberFormat="1"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0" fontId="12" fillId="5" borderId="3" xfId="0" applyFont="1" applyFill="1" applyBorder="1" applyAlignment="1">
      <alignment horizontal="justify" vertical="center" wrapText="1"/>
    </xf>
    <xf numFmtId="0" fontId="12" fillId="5" borderId="4" xfId="0" applyNumberFormat="1" applyFont="1" applyFill="1" applyBorder="1" applyAlignment="1">
      <alignment horizontal="center" vertical="center" wrapText="1"/>
    </xf>
    <xf numFmtId="2" fontId="12" fillId="5" borderId="4"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xf>
    <xf numFmtId="1" fontId="3" fillId="4" borderId="7" xfId="0" applyNumberFormat="1" applyFont="1" applyFill="1" applyBorder="1" applyAlignment="1">
      <alignment horizontal="left" vertical="center"/>
    </xf>
    <xf numFmtId="10"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10" fontId="12" fillId="0" borderId="7"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43" fontId="3" fillId="8" borderId="7" xfId="1" applyFont="1" applyFill="1" applyBorder="1" applyAlignment="1">
      <alignment vertical="center"/>
    </xf>
    <xf numFmtId="10" fontId="12" fillId="0" borderId="2" xfId="0" applyNumberFormat="1" applyFont="1" applyFill="1" applyBorder="1" applyAlignment="1">
      <alignment vertical="center" wrapText="1"/>
    </xf>
    <xf numFmtId="43" fontId="3" fillId="8" borderId="8" xfId="1" applyFont="1" applyFill="1" applyBorder="1" applyAlignment="1">
      <alignment vertical="center"/>
    </xf>
    <xf numFmtId="3" fontId="12" fillId="0" borderId="2" xfId="0" applyNumberFormat="1" applyFont="1" applyFill="1" applyBorder="1" applyAlignment="1">
      <alignment horizontal="left" vertical="center" wrapText="1"/>
    </xf>
    <xf numFmtId="10" fontId="12" fillId="6" borderId="2" xfId="0" applyNumberFormat="1"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3" fillId="8" borderId="9" xfId="0" applyFont="1" applyFill="1" applyBorder="1" applyAlignment="1">
      <alignment horizontal="justify" vertical="center" wrapText="1"/>
    </xf>
    <xf numFmtId="165" fontId="12" fillId="0" borderId="11" xfId="2" applyNumberFormat="1" applyFont="1" applyFill="1" applyBorder="1" applyAlignment="1">
      <alignment horizontal="justify" vertical="center"/>
    </xf>
    <xf numFmtId="0" fontId="12" fillId="0" borderId="1" xfId="0" applyFont="1" applyFill="1" applyBorder="1" applyAlignment="1">
      <alignment horizontal="justify" vertical="center" wrapText="1"/>
    </xf>
    <xf numFmtId="10" fontId="12" fillId="0" borderId="1"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wrapText="1"/>
    </xf>
    <xf numFmtId="0" fontId="12" fillId="8" borderId="8" xfId="0" applyFont="1" applyFill="1" applyBorder="1" applyAlignment="1">
      <alignment horizontal="justify" vertical="center" wrapText="1"/>
    </xf>
    <xf numFmtId="0" fontId="12" fillId="8" borderId="12" xfId="0" applyFont="1" applyFill="1" applyBorder="1" applyAlignment="1">
      <alignment horizontal="center" vertical="center"/>
    </xf>
    <xf numFmtId="4" fontId="12" fillId="0" borderId="7" xfId="0" applyNumberFormat="1" applyFont="1" applyFill="1" applyBorder="1" applyAlignment="1">
      <alignment horizontal="center" vertical="center"/>
    </xf>
    <xf numFmtId="4" fontId="12" fillId="0" borderId="9" xfId="0" applyNumberFormat="1" applyFont="1" applyFill="1" applyBorder="1" applyAlignment="1">
      <alignment horizontal="center" vertical="center"/>
    </xf>
    <xf numFmtId="10" fontId="12" fillId="0" borderId="11" xfId="0" applyNumberFormat="1" applyFont="1" applyFill="1" applyBorder="1" applyAlignment="1">
      <alignment vertical="center" wrapText="1"/>
    </xf>
    <xf numFmtId="3" fontId="12" fillId="0" borderId="2" xfId="0" applyNumberFormat="1" applyFont="1" applyFill="1" applyBorder="1" applyAlignment="1">
      <alignment horizontal="left" vertical="center"/>
    </xf>
    <xf numFmtId="0" fontId="12" fillId="0" borderId="13" xfId="0" applyFont="1" applyFill="1" applyBorder="1" applyAlignment="1">
      <alignment horizontal="justify" vertical="center" wrapText="1"/>
    </xf>
    <xf numFmtId="10" fontId="12"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10" fontId="12" fillId="0" borderId="1" xfId="0" applyNumberFormat="1" applyFont="1" applyFill="1" applyBorder="1" applyAlignment="1">
      <alignment vertical="center" wrapText="1"/>
    </xf>
    <xf numFmtId="10" fontId="12" fillId="0" borderId="12" xfId="0" applyNumberFormat="1" applyFont="1" applyFill="1" applyBorder="1" applyAlignment="1">
      <alignment vertical="center" wrapText="1"/>
    </xf>
    <xf numFmtId="13" fontId="12" fillId="0" borderId="11" xfId="0" applyNumberFormat="1" applyFont="1" applyFill="1" applyBorder="1" applyAlignment="1">
      <alignment horizontal="center" vertical="center" wrapText="1"/>
    </xf>
    <xf numFmtId="10" fontId="12" fillId="0" borderId="12" xfId="0" applyNumberFormat="1" applyFont="1" applyBorder="1" applyAlignment="1">
      <alignment horizontal="center" vertical="center" wrapText="1"/>
    </xf>
    <xf numFmtId="0" fontId="12" fillId="8" borderId="12" xfId="0" applyFont="1" applyFill="1" applyBorder="1" applyAlignment="1">
      <alignment horizontal="justify" vertical="center" wrapText="1"/>
    </xf>
    <xf numFmtId="0" fontId="12" fillId="8" borderId="12" xfId="0" applyFont="1" applyFill="1" applyBorder="1" applyAlignment="1">
      <alignment horizontal="center" vertical="center" wrapText="1"/>
    </xf>
    <xf numFmtId="3" fontId="12" fillId="8" borderId="12" xfId="0" applyNumberFormat="1" applyFont="1" applyFill="1" applyBorder="1" applyAlignment="1">
      <alignment horizontal="center" vertical="center" wrapText="1"/>
    </xf>
    <xf numFmtId="3" fontId="12" fillId="8" borderId="12" xfId="0" applyNumberFormat="1" applyFont="1" applyFill="1" applyBorder="1" applyAlignment="1">
      <alignment horizontal="center" vertical="center"/>
    </xf>
    <xf numFmtId="0" fontId="12" fillId="6" borderId="14" xfId="0" applyFont="1" applyFill="1" applyBorder="1" applyAlignment="1">
      <alignment horizontal="justify" vertical="center" wrapText="1"/>
    </xf>
    <xf numFmtId="4" fontId="12" fillId="8" borderId="2" xfId="0" applyNumberFormat="1" applyFont="1" applyFill="1" applyBorder="1" applyAlignment="1">
      <alignment horizontal="center" vertical="center"/>
    </xf>
    <xf numFmtId="9" fontId="12" fillId="0" borderId="2" xfId="3" applyFont="1" applyFill="1" applyBorder="1" applyAlignment="1">
      <alignment horizontal="center" vertical="center" wrapText="1"/>
    </xf>
    <xf numFmtId="9" fontId="12" fillId="0" borderId="2" xfId="3" applyNumberFormat="1" applyFont="1" applyFill="1" applyBorder="1" applyAlignment="1">
      <alignment horizontal="center" vertical="center" wrapText="1"/>
    </xf>
    <xf numFmtId="9" fontId="12" fillId="8" borderId="2" xfId="3" applyFont="1" applyFill="1" applyBorder="1" applyAlignment="1">
      <alignment horizontal="center" vertical="center" wrapText="1"/>
    </xf>
    <xf numFmtId="3" fontId="12" fillId="8" borderId="2" xfId="3" applyNumberFormat="1" applyFont="1" applyFill="1" applyBorder="1" applyAlignment="1">
      <alignment horizontal="center" vertical="center" wrapText="1"/>
    </xf>
    <xf numFmtId="3" fontId="12" fillId="8" borderId="2" xfId="0" applyNumberFormat="1"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2" xfId="0" applyFont="1" applyFill="1" applyBorder="1" applyAlignment="1">
      <alignment horizontal="right" vertical="center" wrapText="1"/>
    </xf>
    <xf numFmtId="3" fontId="12" fillId="8" borderId="2" xfId="0" applyNumberFormat="1" applyFont="1" applyFill="1" applyBorder="1" applyAlignment="1">
      <alignment horizontal="right" vertical="center"/>
    </xf>
    <xf numFmtId="0" fontId="12" fillId="6" borderId="8" xfId="0" applyFont="1" applyFill="1" applyBorder="1" applyAlignment="1">
      <alignment horizontal="right" vertical="center" wrapText="1"/>
    </xf>
    <xf numFmtId="3" fontId="12" fillId="6" borderId="2" xfId="0" applyNumberFormat="1" applyFont="1" applyFill="1" applyBorder="1" applyAlignment="1">
      <alignment horizontal="right" vertical="center" wrapText="1"/>
    </xf>
    <xf numFmtId="3" fontId="12" fillId="6" borderId="2" xfId="0" applyNumberFormat="1" applyFont="1" applyFill="1" applyBorder="1" applyAlignment="1">
      <alignment horizontal="right" vertical="center"/>
    </xf>
    <xf numFmtId="49" fontId="12" fillId="6" borderId="8" xfId="0" applyNumberFormat="1" applyFont="1" applyFill="1" applyBorder="1" applyAlignment="1">
      <alignment horizontal="justify" vertical="center" wrapText="1"/>
    </xf>
    <xf numFmtId="49" fontId="12" fillId="6" borderId="2" xfId="0" applyNumberFormat="1" applyFont="1" applyFill="1" applyBorder="1" applyAlignment="1">
      <alignment horizontal="center" vertical="center" wrapText="1"/>
    </xf>
    <xf numFmtId="49" fontId="12" fillId="6" borderId="2" xfId="0" applyNumberFormat="1" applyFont="1" applyFill="1" applyBorder="1" applyAlignment="1">
      <alignment horizontal="justify" vertical="center" wrapText="1"/>
    </xf>
    <xf numFmtId="49" fontId="12" fillId="5" borderId="2" xfId="0" applyNumberFormat="1" applyFont="1" applyFill="1" applyBorder="1" applyAlignment="1">
      <alignment horizontal="justify" vertical="center" wrapText="1"/>
    </xf>
    <xf numFmtId="49" fontId="12" fillId="5" borderId="2" xfId="0" applyNumberFormat="1" applyFont="1" applyFill="1" applyBorder="1" applyAlignment="1">
      <alignment horizontal="center" vertical="center" wrapText="1"/>
    </xf>
    <xf numFmtId="10" fontId="12" fillId="5" borderId="2" xfId="0" applyNumberFormat="1" applyFont="1" applyFill="1" applyBorder="1" applyAlignment="1">
      <alignment horizontal="center" vertical="center" wrapText="1"/>
    </xf>
    <xf numFmtId="3" fontId="12" fillId="9" borderId="2" xfId="0" applyNumberFormat="1" applyFont="1" applyFill="1" applyBorder="1" applyAlignment="1">
      <alignment horizontal="center" vertical="center"/>
    </xf>
    <xf numFmtId="49" fontId="12" fillId="0" borderId="7" xfId="0" applyNumberFormat="1" applyFont="1" applyFill="1" applyBorder="1" applyAlignment="1">
      <alignment horizontal="justify" vertical="center" wrapText="1"/>
    </xf>
    <xf numFmtId="49" fontId="12" fillId="0" borderId="7" xfId="0" applyNumberFormat="1" applyFont="1" applyFill="1" applyBorder="1" applyAlignment="1">
      <alignment horizontal="center" vertical="center" wrapText="1"/>
    </xf>
    <xf numFmtId="49" fontId="12" fillId="3" borderId="4"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2" fillId="3" borderId="11" xfId="0" applyNumberFormat="1"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 fontId="12" fillId="0" borderId="0" xfId="0" applyNumberFormat="1" applyFont="1" applyFill="1" applyBorder="1" applyAlignment="1">
      <alignment horizontal="center" vertical="center"/>
    </xf>
    <xf numFmtId="3" fontId="3" fillId="8" borderId="7" xfId="0" applyNumberFormat="1" applyFont="1" applyFill="1" applyBorder="1" applyAlignment="1">
      <alignment horizontal="left" vertical="center"/>
    </xf>
    <xf numFmtId="49" fontId="12" fillId="3" borderId="12" xfId="0" applyNumberFormat="1" applyFont="1" applyFill="1" applyBorder="1" applyAlignment="1">
      <alignment vertical="center" wrapText="1"/>
    </xf>
    <xf numFmtId="9" fontId="12" fillId="0"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8" borderId="2" xfId="0" applyFont="1" applyFill="1" applyBorder="1" applyAlignment="1">
      <alignment vertical="center" wrapText="1"/>
    </xf>
    <xf numFmtId="0" fontId="12" fillId="6" borderId="2" xfId="0" applyFont="1" applyFill="1" applyBorder="1" applyAlignment="1">
      <alignment vertical="center" wrapText="1"/>
    </xf>
    <xf numFmtId="0" fontId="12" fillId="5" borderId="2" xfId="0" applyFont="1" applyFill="1" applyBorder="1" applyAlignment="1">
      <alignment vertical="center" wrapText="1"/>
    </xf>
    <xf numFmtId="0" fontId="12" fillId="9" borderId="2" xfId="0" applyFont="1" applyFill="1" applyBorder="1" applyAlignment="1">
      <alignment horizontal="justify" vertical="center"/>
    </xf>
    <xf numFmtId="3" fontId="12" fillId="5" borderId="2" xfId="0" applyNumberFormat="1" applyFont="1" applyFill="1" applyBorder="1" applyAlignment="1">
      <alignment horizontal="center" vertical="center"/>
    </xf>
    <xf numFmtId="0" fontId="3" fillId="6" borderId="9" xfId="0" applyFont="1" applyFill="1" applyBorder="1" applyAlignment="1">
      <alignment horizontal="justify" vertical="center" wrapText="1"/>
    </xf>
    <xf numFmtId="3" fontId="12" fillId="0" borderId="2" xfId="1" applyNumberFormat="1" applyFont="1" applyFill="1" applyBorder="1" applyAlignment="1">
      <alignment horizontal="center" vertical="center"/>
    </xf>
    <xf numFmtId="0" fontId="12" fillId="8" borderId="2" xfId="2" applyNumberFormat="1" applyFont="1" applyFill="1" applyBorder="1" applyAlignment="1">
      <alignment horizontal="center" vertical="center" wrapText="1"/>
    </xf>
    <xf numFmtId="3" fontId="12" fillId="8" borderId="2" xfId="2" applyNumberFormat="1" applyFont="1" applyFill="1" applyBorder="1" applyAlignment="1">
      <alignment horizontal="center" vertical="center" wrapText="1"/>
    </xf>
    <xf numFmtId="0" fontId="12" fillId="0" borderId="4" xfId="0" applyFont="1" applyFill="1" applyBorder="1" applyAlignment="1">
      <alignment vertical="center"/>
    </xf>
    <xf numFmtId="3" fontId="12" fillId="0" borderId="2" xfId="3" applyNumberFormat="1"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1" fontId="3" fillId="8" borderId="7" xfId="0" applyNumberFormat="1" applyFont="1" applyFill="1" applyBorder="1" applyAlignment="1">
      <alignment horizontal="left" vertical="center"/>
    </xf>
    <xf numFmtId="0" fontId="3" fillId="6" borderId="9" xfId="0" applyNumberFormat="1" applyFont="1" applyFill="1" applyBorder="1" applyAlignment="1">
      <alignment horizontal="justify" vertical="center" wrapText="1"/>
    </xf>
    <xf numFmtId="0" fontId="3" fillId="8" borderId="2" xfId="0" applyFont="1" applyFill="1" applyBorder="1" applyAlignment="1">
      <alignment vertical="center"/>
    </xf>
    <xf numFmtId="1" fontId="12" fillId="0" borderId="2" xfId="3" applyNumberFormat="1" applyFont="1" applyFill="1" applyBorder="1" applyAlignment="1">
      <alignment horizontal="center" vertical="center" wrapText="1"/>
    </xf>
    <xf numFmtId="0" fontId="3" fillId="6" borderId="2" xfId="0" applyFont="1" applyFill="1" applyBorder="1" applyAlignment="1">
      <alignment vertical="center"/>
    </xf>
    <xf numFmtId="1" fontId="12" fillId="9" borderId="2" xfId="0" applyNumberFormat="1" applyFont="1" applyFill="1" applyBorder="1" applyAlignment="1">
      <alignment horizontal="center" vertical="center" wrapText="1"/>
    </xf>
    <xf numFmtId="0" fontId="3" fillId="13" borderId="7" xfId="0" applyFont="1" applyFill="1" applyBorder="1" applyAlignment="1">
      <alignment horizontal="center" vertical="center" wrapText="1"/>
    </xf>
    <xf numFmtId="1" fontId="3" fillId="13" borderId="7" xfId="0" applyNumberFormat="1" applyFont="1" applyFill="1" applyBorder="1" applyAlignment="1">
      <alignment horizontal="center" vertical="center" wrapText="1"/>
    </xf>
    <xf numFmtId="0" fontId="3" fillId="13" borderId="8"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3" fillId="5" borderId="2" xfId="0" applyFont="1" applyFill="1" applyBorder="1" applyAlignment="1">
      <alignment vertical="center"/>
    </xf>
    <xf numFmtId="0" fontId="12" fillId="6" borderId="2" xfId="0" applyFont="1" applyFill="1" applyBorder="1" applyAlignment="1">
      <alignment horizontal="justify" vertical="center"/>
    </xf>
    <xf numFmtId="0" fontId="3" fillId="6" borderId="7" xfId="0" applyNumberFormat="1" applyFont="1" applyFill="1" applyBorder="1" applyAlignment="1">
      <alignment horizontal="justify" vertical="center" wrapText="1"/>
    </xf>
    <xf numFmtId="0" fontId="12" fillId="8" borderId="4" xfId="0" applyFont="1" applyFill="1" applyBorder="1" applyAlignment="1">
      <alignment horizontal="center" vertical="center"/>
    </xf>
    <xf numFmtId="1" fontId="12" fillId="8" borderId="4" xfId="0" applyNumberFormat="1" applyFont="1" applyFill="1" applyBorder="1" applyAlignment="1">
      <alignment horizontal="center" vertical="center"/>
    </xf>
    <xf numFmtId="0" fontId="12" fillId="8" borderId="4" xfId="0" applyFont="1" applyFill="1" applyBorder="1" applyAlignment="1">
      <alignment horizontal="justify" vertical="center"/>
    </xf>
    <xf numFmtId="0" fontId="12" fillId="6" borderId="4" xfId="0" applyFont="1" applyFill="1" applyBorder="1" applyAlignment="1">
      <alignment horizontal="center" vertical="center"/>
    </xf>
    <xf numFmtId="1" fontId="12" fillId="6" borderId="4" xfId="0" applyNumberFormat="1" applyFont="1" applyFill="1" applyBorder="1" applyAlignment="1">
      <alignment horizontal="center" vertical="center"/>
    </xf>
    <xf numFmtId="0" fontId="12" fillId="6" borderId="4" xfId="0" applyFont="1" applyFill="1" applyBorder="1" applyAlignment="1">
      <alignment horizontal="justify" vertical="center"/>
    </xf>
    <xf numFmtId="1" fontId="3" fillId="6" borderId="7" xfId="0" applyNumberFormat="1" applyFont="1" applyFill="1" applyBorder="1" applyAlignment="1">
      <alignment horizontal="justify" vertical="center" wrapText="1"/>
    </xf>
    <xf numFmtId="0" fontId="12" fillId="5" borderId="2" xfId="0" applyFont="1" applyFill="1" applyBorder="1" applyAlignment="1">
      <alignment horizontal="justify" vertical="center"/>
    </xf>
    <xf numFmtId="0" fontId="3" fillId="4" borderId="12"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 fontId="3" fillId="4" borderId="13" xfId="0" applyNumberFormat="1" applyFont="1" applyFill="1" applyBorder="1" applyAlignment="1">
      <alignment horizontal="left" vertical="center"/>
    </xf>
    <xf numFmtId="0" fontId="3" fillId="5" borderId="7" xfId="0" applyFont="1" applyFill="1" applyBorder="1" applyAlignment="1">
      <alignment vertical="center" wrapText="1"/>
    </xf>
    <xf numFmtId="0" fontId="3" fillId="5" borderId="7" xfId="0" applyFont="1" applyFill="1" applyBorder="1" applyAlignment="1">
      <alignment horizontal="center" vertical="center" wrapText="1"/>
    </xf>
    <xf numFmtId="1" fontId="3" fillId="5" borderId="7" xfId="0" applyNumberFormat="1"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1" fontId="3" fillId="6" borderId="7" xfId="0" applyNumberFormat="1" applyFont="1" applyFill="1" applyBorder="1" applyAlignment="1">
      <alignment vertical="center" wrapText="1"/>
    </xf>
    <xf numFmtId="165" fontId="12" fillId="0" borderId="2" xfId="0" applyNumberFormat="1" applyFont="1" applyFill="1" applyBorder="1" applyAlignment="1">
      <alignment horizontal="justify" vertical="center" wrapText="1"/>
    </xf>
    <xf numFmtId="43" fontId="14" fillId="0" borderId="4" xfId="1" applyFont="1" applyFill="1" applyBorder="1" applyAlignment="1">
      <alignment horizontal="center" vertical="center" wrapText="1"/>
    </xf>
    <xf numFmtId="43" fontId="14" fillId="0" borderId="5" xfId="1" applyFont="1" applyFill="1" applyBorder="1" applyAlignment="1">
      <alignment horizontal="center" vertical="center" wrapText="1"/>
    </xf>
    <xf numFmtId="0" fontId="12" fillId="0" borderId="2" xfId="0" applyFont="1" applyFill="1" applyBorder="1" applyAlignment="1">
      <alignment vertical="center"/>
    </xf>
    <xf numFmtId="43" fontId="14" fillId="0" borderId="2" xfId="1" applyFont="1" applyFill="1" applyBorder="1" applyAlignment="1">
      <alignment horizontal="center" vertical="center" wrapText="1"/>
    </xf>
    <xf numFmtId="0" fontId="12" fillId="8" borderId="12" xfId="0" applyNumberFormat="1" applyFont="1" applyFill="1" applyBorder="1" applyAlignment="1">
      <alignment horizontal="center" vertical="center" wrapText="1"/>
    </xf>
    <xf numFmtId="0" fontId="10" fillId="0" borderId="0" xfId="0" applyFont="1" applyFill="1"/>
    <xf numFmtId="0" fontId="10" fillId="0" borderId="13" xfId="0" applyFont="1" applyFill="1" applyBorder="1"/>
    <xf numFmtId="0" fontId="10" fillId="0" borderId="14" xfId="0" applyFont="1" applyFill="1" applyBorder="1"/>
    <xf numFmtId="0" fontId="10" fillId="0" borderId="0" xfId="0" applyFont="1" applyBorder="1"/>
    <xf numFmtId="1" fontId="12" fillId="0" borderId="6" xfId="0"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xf>
    <xf numFmtId="0" fontId="10" fillId="0" borderId="8" xfId="0" applyFont="1" applyFill="1" applyBorder="1"/>
    <xf numFmtId="3" fontId="12" fillId="0" borderId="8"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0" fontId="10" fillId="0" borderId="0" xfId="0" applyFont="1" applyFill="1" applyBorder="1" applyAlignment="1">
      <alignment vertical="center"/>
    </xf>
    <xf numFmtId="0" fontId="12" fillId="0" borderId="11" xfId="0" applyFont="1" applyFill="1" applyBorder="1" applyAlignment="1">
      <alignment horizontal="center"/>
    </xf>
    <xf numFmtId="0" fontId="12" fillId="0" borderId="11" xfId="0" applyFont="1" applyFill="1" applyBorder="1"/>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right"/>
    </xf>
    <xf numFmtId="0" fontId="10" fillId="2" borderId="0" xfId="0" applyFont="1" applyFill="1" applyBorder="1"/>
    <xf numFmtId="0" fontId="10" fillId="2" borderId="8" xfId="0" applyFont="1" applyFill="1" applyBorder="1"/>
    <xf numFmtId="0" fontId="10" fillId="2" borderId="2" xfId="0" applyFont="1" applyFill="1" applyBorder="1"/>
    <xf numFmtId="0" fontId="3" fillId="12" borderId="0" xfId="0" applyFont="1" applyFill="1" applyBorder="1" applyAlignment="1">
      <alignment horizontal="justify" vertical="center"/>
    </xf>
    <xf numFmtId="0" fontId="3" fillId="12" borderId="0" xfId="0" applyNumberFormat="1" applyFont="1" applyFill="1" applyBorder="1" applyAlignment="1">
      <alignment horizontal="center" vertical="center"/>
    </xf>
    <xf numFmtId="1" fontId="3" fillId="12" borderId="0" xfId="0" applyNumberFormat="1" applyFont="1" applyFill="1" applyBorder="1" applyAlignment="1">
      <alignment horizontal="center" vertical="center"/>
    </xf>
    <xf numFmtId="0" fontId="3" fillId="12" borderId="0" xfId="0" applyFont="1" applyFill="1" applyBorder="1" applyAlignment="1">
      <alignment horizontal="justify" vertical="center" wrapText="1"/>
    </xf>
    <xf numFmtId="0" fontId="3" fillId="12" borderId="0" xfId="0" applyFont="1" applyFill="1" applyBorder="1" applyAlignment="1">
      <alignment horizontal="center" vertical="center" wrapText="1"/>
    </xf>
    <xf numFmtId="0" fontId="5" fillId="0" borderId="0" xfId="0" applyFont="1" applyBorder="1"/>
    <xf numFmtId="0" fontId="5" fillId="0" borderId="0" xfId="0" applyFont="1"/>
    <xf numFmtId="0" fontId="10" fillId="2" borderId="0" xfId="0" applyFont="1" applyFill="1" applyAlignment="1">
      <alignment horizontal="center"/>
    </xf>
    <xf numFmtId="1" fontId="10" fillId="2" borderId="0" xfId="0" applyNumberFormat="1" applyFont="1" applyFill="1"/>
    <xf numFmtId="0" fontId="10" fillId="0" borderId="0" xfId="0" applyFont="1" applyAlignment="1">
      <alignment horizontal="center"/>
    </xf>
    <xf numFmtId="0" fontId="3" fillId="0" borderId="4"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67" fontId="12" fillId="0" borderId="11" xfId="0" applyNumberFormat="1" applyFont="1" applyFill="1" applyBorder="1" applyAlignment="1">
      <alignment horizontal="center" vertical="center"/>
    </xf>
    <xf numFmtId="43" fontId="12" fillId="0" borderId="12" xfId="1" applyFont="1" applyFill="1" applyBorder="1" applyAlignment="1" applyProtection="1">
      <alignment horizontal="right" vertical="center"/>
      <protection locked="0"/>
    </xf>
    <xf numFmtId="168" fontId="12" fillId="0" borderId="2" xfId="0" applyNumberFormat="1" applyFon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xf>
    <xf numFmtId="168" fontId="12" fillId="0" borderId="4" xfId="0" applyNumberFormat="1" applyFont="1" applyFill="1" applyBorder="1" applyAlignment="1">
      <alignment horizontal="center" vertical="center"/>
    </xf>
    <xf numFmtId="168" fontId="12" fillId="0" borderId="12"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xf>
    <xf numFmtId="0" fontId="3" fillId="10" borderId="7" xfId="0" applyFont="1" applyFill="1" applyBorder="1" applyAlignment="1">
      <alignment horizontal="center" vertical="center"/>
    </xf>
    <xf numFmtId="0" fontId="12" fillId="6" borderId="7" xfId="0" applyFont="1" applyFill="1" applyBorder="1" applyAlignment="1">
      <alignment horizontal="center" vertical="center"/>
    </xf>
    <xf numFmtId="0" fontId="12" fillId="8" borderId="9" xfId="0" applyFont="1" applyFill="1" applyBorder="1" applyAlignment="1">
      <alignment horizontal="center" vertical="center"/>
    </xf>
    <xf numFmtId="0" fontId="3" fillId="8" borderId="9" xfId="0" applyFont="1" applyFill="1" applyBorder="1" applyAlignment="1">
      <alignment horizontal="center" vertical="center"/>
    </xf>
    <xf numFmtId="0" fontId="12" fillId="2" borderId="0" xfId="0" applyFont="1" applyFill="1" applyAlignment="1">
      <alignment horizontal="center"/>
    </xf>
    <xf numFmtId="0" fontId="12" fillId="0" borderId="0" xfId="0" applyFont="1" applyAlignment="1">
      <alignment horizontal="center"/>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2" xfId="0" applyFont="1" applyFill="1" applyBorder="1" applyAlignment="1">
      <alignment horizontal="right" vertical="center" wrapText="1"/>
    </xf>
    <xf numFmtId="1" fontId="12" fillId="0" borderId="1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4"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1" xfId="0" applyNumberFormat="1" applyFont="1" applyFill="1" applyBorder="1" applyAlignment="1">
      <alignment horizontal="center" vertical="center"/>
    </xf>
    <xf numFmtId="9" fontId="12" fillId="0" borderId="4"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wrapText="1"/>
    </xf>
    <xf numFmtId="9" fontId="12" fillId="0" borderId="12"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2" xfId="0" applyNumberFormat="1" applyFont="1" applyFill="1" applyBorder="1" applyAlignment="1">
      <alignment horizontal="center" vertical="center" wrapText="1"/>
    </xf>
    <xf numFmtId="49" fontId="12" fillId="0" borderId="12" xfId="0" applyNumberFormat="1" applyFont="1" applyFill="1" applyBorder="1" applyAlignment="1">
      <alignment horizontal="justify" vertical="center" wrapText="1"/>
    </xf>
    <xf numFmtId="0" fontId="12" fillId="0" borderId="11" xfId="0" applyFont="1" applyFill="1" applyBorder="1" applyAlignment="1">
      <alignment horizontal="justify" vertical="center"/>
    </xf>
    <xf numFmtId="0" fontId="12" fillId="0" borderId="12" xfId="0" applyFont="1" applyFill="1" applyBorder="1" applyAlignment="1">
      <alignment horizontal="justify"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16" fontId="12" fillId="0" borderId="12" xfId="0" applyNumberFormat="1" applyFont="1" applyFill="1" applyBorder="1" applyAlignment="1">
      <alignment horizontal="center" vertical="center" wrapText="1"/>
    </xf>
    <xf numFmtId="16" fontId="12" fillId="0" borderId="11"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43" fontId="12" fillId="0" borderId="2" xfId="1" applyFont="1" applyFill="1" applyBorder="1" applyAlignment="1">
      <alignment horizontal="justify" vertical="center"/>
    </xf>
    <xf numFmtId="43" fontId="12" fillId="0" borderId="2" xfId="1" applyFont="1" applyFill="1" applyBorder="1" applyAlignment="1">
      <alignment horizontal="center" vertical="center"/>
    </xf>
    <xf numFmtId="43" fontId="12" fillId="0" borderId="6" xfId="1" applyFont="1" applyFill="1" applyBorder="1" applyAlignment="1">
      <alignment horizontal="justify" vertical="center"/>
    </xf>
    <xf numFmtId="43" fontId="12" fillId="0" borderId="6" xfId="1" applyFont="1" applyFill="1" applyBorder="1" applyAlignment="1">
      <alignment horizontal="center" vertical="center"/>
    </xf>
    <xf numFmtId="43" fontId="12" fillId="0" borderId="7" xfId="1" applyFont="1" applyFill="1" applyBorder="1" applyAlignment="1">
      <alignment horizontal="justify" vertical="center"/>
    </xf>
    <xf numFmtId="43" fontId="12" fillId="2" borderId="7" xfId="1" applyFont="1" applyFill="1" applyBorder="1" applyAlignment="1">
      <alignment horizontal="justify" vertical="center"/>
    </xf>
    <xf numFmtId="43" fontId="12" fillId="0" borderId="7" xfId="1" applyFont="1" applyFill="1" applyBorder="1" applyAlignment="1">
      <alignment horizontal="center" vertical="center"/>
    </xf>
    <xf numFmtId="43" fontId="12" fillId="0" borderId="7" xfId="1" applyFont="1" applyFill="1" applyBorder="1" applyAlignment="1">
      <alignment vertical="center"/>
    </xf>
    <xf numFmtId="43" fontId="12" fillId="0" borderId="8" xfId="1" applyFont="1" applyFill="1" applyBorder="1" applyAlignment="1">
      <alignment horizontal="justify" vertical="center"/>
    </xf>
    <xf numFmtId="43" fontId="12" fillId="8" borderId="2" xfId="1" applyFont="1" applyFill="1" applyBorder="1" applyAlignment="1">
      <alignment horizontal="justify" vertical="center"/>
    </xf>
    <xf numFmtId="43" fontId="12" fillId="6" borderId="7" xfId="1" applyFont="1" applyFill="1" applyBorder="1" applyAlignment="1">
      <alignment horizontal="justify" vertical="center"/>
    </xf>
    <xf numFmtId="43" fontId="3" fillId="6" borderId="7" xfId="1" applyFont="1" applyFill="1" applyBorder="1" applyAlignment="1">
      <alignment vertical="center"/>
    </xf>
    <xf numFmtId="43" fontId="3" fillId="6" borderId="7" xfId="1" applyFont="1" applyFill="1" applyBorder="1" applyAlignment="1">
      <alignment horizontal="center" vertical="center"/>
    </xf>
    <xf numFmtId="43" fontId="3" fillId="8" borderId="7" xfId="1" applyFont="1" applyFill="1" applyBorder="1" applyAlignment="1">
      <alignment horizontal="center" vertical="center"/>
    </xf>
    <xf numFmtId="43" fontId="12" fillId="0" borderId="2" xfId="1" applyFont="1" applyFill="1" applyBorder="1" applyAlignment="1">
      <alignment vertical="center"/>
    </xf>
    <xf numFmtId="43" fontId="12" fillId="6" borderId="2" xfId="1" applyFont="1" applyFill="1" applyBorder="1" applyAlignment="1">
      <alignment horizontal="justify" vertical="center"/>
    </xf>
    <xf numFmtId="43" fontId="3" fillId="6" borderId="8" xfId="1" applyFont="1" applyFill="1" applyBorder="1" applyAlignment="1">
      <alignment vertical="center"/>
    </xf>
    <xf numFmtId="43" fontId="3" fillId="10" borderId="7" xfId="1" applyFont="1" applyFill="1" applyBorder="1" applyAlignment="1">
      <alignment vertical="center"/>
    </xf>
    <xf numFmtId="43" fontId="3" fillId="10" borderId="7" xfId="1" applyFont="1" applyFill="1" applyBorder="1" applyAlignment="1">
      <alignment horizontal="center" vertical="center"/>
    </xf>
    <xf numFmtId="43" fontId="3" fillId="10" borderId="8" xfId="1" applyFont="1" applyFill="1" applyBorder="1" applyAlignment="1">
      <alignment vertical="center"/>
    </xf>
    <xf numFmtId="43" fontId="12" fillId="0" borderId="2" xfId="1" applyFont="1" applyFill="1" applyBorder="1" applyAlignment="1">
      <alignment vertical="center" wrapText="1"/>
    </xf>
    <xf numFmtId="43" fontId="12" fillId="5" borderId="2" xfId="1" applyFont="1" applyFill="1" applyBorder="1" applyAlignment="1">
      <alignment horizontal="justify" vertical="center"/>
    </xf>
    <xf numFmtId="43" fontId="12" fillId="9" borderId="2" xfId="1" applyFont="1" applyFill="1" applyBorder="1" applyAlignment="1">
      <alignment horizontal="justify" vertical="center"/>
    </xf>
    <xf numFmtId="43" fontId="3" fillId="0" borderId="2" xfId="1" applyFont="1" applyFill="1" applyBorder="1" applyAlignment="1">
      <alignment horizontal="left" vertical="center"/>
    </xf>
    <xf numFmtId="43" fontId="3" fillId="0" borderId="12" xfId="1" applyFont="1" applyFill="1" applyBorder="1" applyAlignment="1">
      <alignment horizontal="left" vertical="center"/>
    </xf>
    <xf numFmtId="43" fontId="12" fillId="0" borderId="12" xfId="1" applyFont="1" applyFill="1" applyBorder="1" applyAlignment="1">
      <alignment horizontal="justify" vertical="center"/>
    </xf>
    <xf numFmtId="43" fontId="3" fillId="0" borderId="6" xfId="1" applyFont="1" applyFill="1" applyBorder="1" applyAlignment="1">
      <alignment horizontal="left" vertical="center"/>
    </xf>
    <xf numFmtId="43" fontId="12" fillId="2" borderId="2" xfId="1" applyFont="1" applyFill="1" applyBorder="1" applyAlignment="1">
      <alignment horizontal="justify" vertical="center"/>
    </xf>
    <xf numFmtId="43" fontId="12" fillId="0" borderId="6" xfId="1" applyFont="1" applyFill="1" applyBorder="1"/>
    <xf numFmtId="43" fontId="12" fillId="0" borderId="2" xfId="1" applyFont="1" applyFill="1" applyBorder="1"/>
    <xf numFmtId="43" fontId="12" fillId="0" borderId="6" xfId="1" applyFont="1" applyFill="1" applyBorder="1" applyAlignment="1">
      <alignment vertical="center"/>
    </xf>
    <xf numFmtId="43" fontId="12" fillId="0" borderId="0" xfId="1" applyFont="1" applyFill="1" applyBorder="1" applyAlignment="1">
      <alignment horizontal="justify" vertical="center"/>
    </xf>
    <xf numFmtId="43" fontId="12" fillId="2" borderId="0" xfId="1" applyFont="1" applyFill="1" applyBorder="1" applyAlignment="1">
      <alignment horizontal="justify" vertical="center"/>
    </xf>
    <xf numFmtId="43" fontId="3" fillId="5" borderId="7" xfId="1" applyFont="1" applyFill="1" applyBorder="1" applyAlignment="1">
      <alignment vertical="center"/>
    </xf>
    <xf numFmtId="43" fontId="3" fillId="5" borderId="7" xfId="1" applyFont="1" applyFill="1" applyBorder="1" applyAlignment="1">
      <alignment horizontal="center" vertical="center"/>
    </xf>
    <xf numFmtId="43" fontId="3" fillId="5" borderId="8" xfId="1" applyFont="1" applyFill="1" applyBorder="1" applyAlignment="1">
      <alignment vertical="center"/>
    </xf>
    <xf numFmtId="43" fontId="12" fillId="10" borderId="2" xfId="1" applyFont="1" applyFill="1" applyBorder="1" applyAlignment="1">
      <alignment horizontal="justify" vertical="center"/>
    </xf>
    <xf numFmtId="43" fontId="12" fillId="10" borderId="2" xfId="1" applyFont="1" applyFill="1" applyBorder="1" applyAlignment="1">
      <alignment horizontal="justify" vertical="center" wrapText="1"/>
    </xf>
    <xf numFmtId="43" fontId="12" fillId="6" borderId="2" xfId="1" applyFont="1" applyFill="1" applyBorder="1" applyAlignment="1">
      <alignment horizontal="justify" vertical="center" wrapText="1"/>
    </xf>
    <xf numFmtId="43" fontId="12" fillId="15" borderId="15" xfId="1" applyFont="1" applyFill="1" applyBorder="1" applyAlignment="1">
      <alignment vertical="center"/>
    </xf>
    <xf numFmtId="43" fontId="12" fillId="15" borderId="12" xfId="1" applyFont="1" applyFill="1" applyBorder="1" applyAlignment="1">
      <alignment vertical="center"/>
    </xf>
    <xf numFmtId="43" fontId="12" fillId="0" borderId="4" xfId="1" applyFont="1" applyFill="1" applyBorder="1" applyAlignment="1">
      <alignment horizontal="justify" vertical="center"/>
    </xf>
    <xf numFmtId="43" fontId="12" fillId="0" borderId="4" xfId="1" applyFont="1" applyFill="1" applyBorder="1" applyAlignment="1">
      <alignment vertical="center"/>
    </xf>
    <xf numFmtId="43" fontId="12" fillId="8" borderId="7" xfId="1" applyFont="1" applyFill="1" applyBorder="1" applyAlignment="1">
      <alignment vertical="center" wrapText="1"/>
    </xf>
    <xf numFmtId="43" fontId="12" fillId="0" borderId="13" xfId="1" applyFont="1" applyFill="1" applyBorder="1" applyAlignment="1">
      <alignment horizontal="justify" vertical="center"/>
    </xf>
    <xf numFmtId="43" fontId="12" fillId="0" borderId="13" xfId="1" applyFont="1" applyFill="1" applyBorder="1" applyAlignment="1">
      <alignment horizontal="center" vertical="center"/>
    </xf>
    <xf numFmtId="43" fontId="3" fillId="8" borderId="9" xfId="1" applyFont="1" applyFill="1" applyBorder="1" applyAlignment="1">
      <alignment vertical="center"/>
    </xf>
    <xf numFmtId="43" fontId="3" fillId="8" borderId="9" xfId="1" applyFont="1" applyFill="1" applyBorder="1" applyAlignment="1">
      <alignment horizontal="center" vertical="center"/>
    </xf>
    <xf numFmtId="43" fontId="12" fillId="0" borderId="13" xfId="1" applyFont="1" applyFill="1" applyBorder="1" applyAlignment="1">
      <alignment vertical="center"/>
    </xf>
    <xf numFmtId="43" fontId="3" fillId="6" borderId="9" xfId="1" applyFont="1" applyFill="1" applyBorder="1" applyAlignment="1">
      <alignment vertical="center"/>
    </xf>
    <xf numFmtId="43" fontId="3" fillId="6" borderId="9" xfId="1" applyFont="1" applyFill="1" applyBorder="1" applyAlignment="1">
      <alignment horizontal="center" vertical="center"/>
    </xf>
    <xf numFmtId="43" fontId="3" fillId="6" borderId="3" xfId="1" applyFont="1" applyFill="1" applyBorder="1" applyAlignment="1">
      <alignment vertical="center"/>
    </xf>
    <xf numFmtId="43" fontId="12" fillId="0" borderId="0" xfId="1" applyFont="1" applyFill="1" applyBorder="1" applyAlignment="1">
      <alignment horizontal="center" vertical="center"/>
    </xf>
    <xf numFmtId="43" fontId="12" fillId="0" borderId="0" xfId="1" applyFont="1" applyFill="1" applyBorder="1" applyAlignment="1">
      <alignment vertical="center"/>
    </xf>
    <xf numFmtId="43" fontId="12" fillId="8" borderId="4" xfId="1" applyFont="1" applyFill="1" applyBorder="1" applyAlignment="1">
      <alignment horizontal="justify" vertical="center"/>
    </xf>
    <xf numFmtId="43" fontId="3" fillId="11" borderId="7" xfId="1" applyFont="1" applyFill="1" applyBorder="1" applyAlignment="1">
      <alignment vertical="center"/>
    </xf>
    <xf numFmtId="43" fontId="12" fillId="0" borderId="12" xfId="1" applyFont="1" applyFill="1" applyBorder="1" applyAlignment="1">
      <alignment vertical="center"/>
    </xf>
    <xf numFmtId="43" fontId="12" fillId="0" borderId="12" xfId="1" applyFont="1" applyFill="1" applyBorder="1" applyAlignment="1">
      <alignment horizontal="center" vertical="center"/>
    </xf>
    <xf numFmtId="43" fontId="3" fillId="0" borderId="17" xfId="1" applyFont="1" applyFill="1" applyBorder="1" applyAlignment="1">
      <alignment horizontal="left" vertical="center"/>
    </xf>
    <xf numFmtId="43" fontId="12" fillId="0" borderId="2" xfId="1" applyFont="1" applyFill="1" applyBorder="1" applyAlignment="1">
      <alignment horizontal="right" vertical="center"/>
    </xf>
    <xf numFmtId="43" fontId="12" fillId="0" borderId="12" xfId="1" applyFont="1" applyFill="1" applyBorder="1" applyAlignment="1">
      <alignment horizontal="right" vertical="center"/>
    </xf>
    <xf numFmtId="43" fontId="12" fillId="0" borderId="17" xfId="1" applyFont="1" applyFill="1" applyBorder="1" applyAlignment="1">
      <alignment horizontal="justify" vertical="center"/>
    </xf>
    <xf numFmtId="43" fontId="12" fillId="0" borderId="4" xfId="1" applyFont="1" applyFill="1" applyBorder="1" applyAlignment="1">
      <alignment horizontal="center" vertical="center"/>
    </xf>
    <xf numFmtId="43" fontId="3" fillId="8" borderId="0" xfId="1" applyFont="1" applyFill="1" applyBorder="1" applyAlignment="1">
      <alignment vertical="center"/>
    </xf>
    <xf numFmtId="43" fontId="3" fillId="8" borderId="0" xfId="1" applyFont="1" applyFill="1" applyBorder="1" applyAlignment="1">
      <alignment horizontal="center" vertical="center"/>
    </xf>
    <xf numFmtId="43" fontId="3" fillId="8" borderId="3" xfId="1" applyFont="1" applyFill="1" applyBorder="1" applyAlignment="1">
      <alignment vertical="center"/>
    </xf>
    <xf numFmtId="43" fontId="12" fillId="8" borderId="2" xfId="1" applyFont="1" applyFill="1" applyBorder="1" applyAlignment="1">
      <alignment horizontal="justify" vertical="center" wrapText="1"/>
    </xf>
    <xf numFmtId="43" fontId="12" fillId="0" borderId="7" xfId="1" applyFont="1" applyFill="1" applyBorder="1" applyAlignment="1">
      <alignment horizontal="justify" vertical="center" wrapText="1"/>
    </xf>
    <xf numFmtId="43" fontId="12" fillId="2" borderId="7" xfId="1" applyFont="1" applyFill="1" applyBorder="1" applyAlignment="1">
      <alignment horizontal="justify" vertical="center" wrapText="1"/>
    </xf>
    <xf numFmtId="43" fontId="12" fillId="0" borderId="7" xfId="1" applyFont="1" applyFill="1" applyBorder="1" applyAlignment="1">
      <alignment horizontal="center" vertical="center" wrapText="1"/>
    </xf>
    <xf numFmtId="43" fontId="12" fillId="0" borderId="7" xfId="1" applyFont="1" applyFill="1" applyBorder="1" applyAlignment="1">
      <alignment vertical="center" wrapText="1"/>
    </xf>
    <xf numFmtId="43" fontId="3" fillId="5" borderId="2" xfId="1" applyFont="1" applyFill="1" applyBorder="1" applyAlignment="1">
      <alignment vertical="center" wrapText="1"/>
    </xf>
    <xf numFmtId="43" fontId="12" fillId="10" borderId="2" xfId="1" applyFont="1" applyFill="1" applyBorder="1" applyAlignment="1">
      <alignment horizontal="center" vertical="center"/>
    </xf>
    <xf numFmtId="43" fontId="12" fillId="0" borderId="2" xfId="1" applyFont="1" applyFill="1" applyBorder="1" applyAlignment="1">
      <alignment horizontal="justify" vertical="center" wrapText="1"/>
    </xf>
    <xf numFmtId="43" fontId="12" fillId="0" borderId="5" xfId="1" applyFont="1" applyFill="1" applyBorder="1" applyAlignment="1">
      <alignment horizontal="justify" vertical="center"/>
    </xf>
    <xf numFmtId="43" fontId="12" fillId="0" borderId="5" xfId="1" applyFont="1" applyFill="1" applyBorder="1" applyAlignment="1">
      <alignment horizontal="center" vertical="center"/>
    </xf>
    <xf numFmtId="43" fontId="12" fillId="6" borderId="4" xfId="1" applyFont="1" applyFill="1" applyBorder="1" applyAlignment="1">
      <alignment horizontal="justify" vertical="center"/>
    </xf>
    <xf numFmtId="43" fontId="12" fillId="5" borderId="4" xfId="1" applyFont="1" applyFill="1" applyBorder="1" applyAlignment="1">
      <alignment horizontal="justify" vertical="center"/>
    </xf>
    <xf numFmtId="43" fontId="3" fillId="4" borderId="7" xfId="1" applyFont="1" applyFill="1" applyBorder="1" applyAlignment="1">
      <alignment horizontal="left" vertical="center"/>
    </xf>
    <xf numFmtId="43" fontId="3" fillId="4" borderId="7" xfId="1" applyFont="1" applyFill="1" applyBorder="1" applyAlignment="1">
      <alignment horizontal="center" vertical="center"/>
    </xf>
    <xf numFmtId="43" fontId="3" fillId="4" borderId="7" xfId="1" applyFont="1" applyFill="1" applyBorder="1" applyAlignment="1">
      <alignment vertical="center"/>
    </xf>
    <xf numFmtId="43" fontId="3" fillId="4" borderId="8" xfId="1" applyFont="1" applyFill="1" applyBorder="1" applyAlignment="1">
      <alignment horizontal="left" vertical="center"/>
    </xf>
    <xf numFmtId="43" fontId="12" fillId="8" borderId="2" xfId="1" applyFont="1" applyFill="1" applyBorder="1" applyAlignment="1">
      <alignment horizontal="center" vertical="center"/>
    </xf>
    <xf numFmtId="43" fontId="12" fillId="6" borderId="2" xfId="1" applyFont="1" applyFill="1" applyBorder="1" applyAlignment="1">
      <alignment horizontal="center" vertical="center"/>
    </xf>
    <xf numFmtId="43" fontId="12" fillId="5" borderId="2" xfId="1" applyFont="1" applyFill="1" applyBorder="1" applyAlignment="1">
      <alignment horizontal="center" vertical="center"/>
    </xf>
    <xf numFmtId="43" fontId="12" fillId="9" borderId="2" xfId="1" applyFont="1" applyFill="1" applyBorder="1" applyAlignment="1">
      <alignment horizontal="center" vertical="center"/>
    </xf>
    <xf numFmtId="43" fontId="14" fillId="0" borderId="2" xfId="1" applyFont="1" applyFill="1" applyBorder="1" applyAlignment="1">
      <alignment horizontal="justify" vertical="center"/>
    </xf>
    <xf numFmtId="43" fontId="12" fillId="0" borderId="10" xfId="1" applyFont="1" applyFill="1" applyBorder="1" applyAlignment="1">
      <alignment horizontal="justify" vertical="center"/>
    </xf>
    <xf numFmtId="43" fontId="12" fillId="15" borderId="2" xfId="1" applyFont="1" applyFill="1" applyBorder="1" applyAlignment="1">
      <alignment horizontal="justify" vertical="center"/>
    </xf>
    <xf numFmtId="43" fontId="14" fillId="0" borderId="6" xfId="1" applyFont="1" applyFill="1" applyBorder="1" applyAlignment="1">
      <alignment horizontal="justify" vertical="center"/>
    </xf>
    <xf numFmtId="43" fontId="12" fillId="8" borderId="6" xfId="1" applyFont="1" applyFill="1" applyBorder="1" applyAlignment="1">
      <alignment horizontal="justify" vertical="center"/>
    </xf>
    <xf numFmtId="43" fontId="18" fillId="2" borderId="0" xfId="1" applyFont="1" applyFill="1" applyBorder="1" applyAlignment="1" applyProtection="1"/>
    <xf numFmtId="43" fontId="12" fillId="0" borderId="2" xfId="1" applyFont="1" applyFill="1" applyBorder="1" applyAlignment="1"/>
    <xf numFmtId="43" fontId="12" fillId="0" borderId="0" xfId="1" applyFont="1" applyFill="1" applyBorder="1"/>
    <xf numFmtId="43" fontId="12" fillId="0" borderId="11" xfId="1" applyFont="1" applyFill="1" applyBorder="1" applyAlignment="1">
      <alignment horizontal="justify" vertical="center"/>
    </xf>
    <xf numFmtId="43" fontId="12" fillId="0" borderId="11" xfId="1" applyFont="1" applyFill="1" applyBorder="1" applyAlignment="1">
      <alignment horizontal="center" vertical="center"/>
    </xf>
    <xf numFmtId="43" fontId="12" fillId="0" borderId="11" xfId="1" applyFont="1" applyFill="1" applyBorder="1" applyAlignment="1">
      <alignment vertical="center"/>
    </xf>
    <xf numFmtId="43" fontId="12" fillId="14" borderId="11" xfId="1" applyFont="1" applyFill="1" applyBorder="1" applyAlignment="1">
      <alignment horizontal="center" vertical="center"/>
    </xf>
    <xf numFmtId="43" fontId="14" fillId="0" borderId="2" xfId="1" applyFont="1" applyFill="1" applyBorder="1" applyAlignment="1">
      <alignment vertical="center"/>
    </xf>
    <xf numFmtId="43" fontId="19" fillId="0" borderId="2" xfId="1" applyFont="1" applyFill="1" applyBorder="1" applyAlignment="1">
      <alignment horizontal="justify" vertical="center"/>
    </xf>
    <xf numFmtId="43" fontId="14" fillId="2" borderId="11" xfId="1" applyFont="1" applyFill="1" applyBorder="1" applyAlignment="1">
      <alignment horizontal="justify" vertical="center"/>
    </xf>
    <xf numFmtId="43" fontId="12" fillId="2" borderId="2" xfId="1" applyFont="1" applyFill="1" applyBorder="1" applyAlignment="1">
      <alignment horizontal="center" vertical="center"/>
    </xf>
    <xf numFmtId="43" fontId="14" fillId="2" borderId="6" xfId="1" applyFont="1" applyFill="1" applyBorder="1" applyAlignment="1">
      <alignment horizontal="justify" vertical="center"/>
    </xf>
    <xf numFmtId="43" fontId="14" fillId="0" borderId="11" xfId="1" applyFont="1" applyFill="1" applyBorder="1" applyAlignment="1">
      <alignment horizontal="justify" vertical="center"/>
    </xf>
    <xf numFmtId="43" fontId="12" fillId="2" borderId="13" xfId="1" applyFont="1" applyFill="1" applyBorder="1" applyAlignment="1">
      <alignment horizontal="justify" vertical="center"/>
    </xf>
    <xf numFmtId="43" fontId="12" fillId="0" borderId="14" xfId="1" applyFont="1" applyFill="1" applyBorder="1" applyAlignment="1">
      <alignment horizontal="justify" vertical="center"/>
    </xf>
    <xf numFmtId="43" fontId="12" fillId="0" borderId="2" xfId="1" applyFont="1" applyFill="1" applyBorder="1" applyAlignment="1">
      <alignment horizontal="center"/>
    </xf>
    <xf numFmtId="43" fontId="12" fillId="0" borderId="0" xfId="1" applyFont="1" applyFill="1" applyBorder="1" applyAlignment="1">
      <alignment horizontal="center"/>
    </xf>
    <xf numFmtId="43" fontId="12" fillId="8" borderId="12" xfId="1" applyFont="1" applyFill="1" applyBorder="1" applyAlignment="1">
      <alignment horizontal="justify" vertical="center"/>
    </xf>
    <xf numFmtId="43" fontId="12" fillId="0" borderId="6" xfId="1" applyFont="1" applyFill="1" applyBorder="1" applyAlignment="1">
      <alignment horizontal="justify" vertical="center" wrapText="1"/>
    </xf>
    <xf numFmtId="43" fontId="14" fillId="0" borderId="6" xfId="1" applyFont="1" applyFill="1" applyBorder="1" applyAlignment="1">
      <alignment horizontal="right" vertical="center" wrapText="1"/>
    </xf>
    <xf numFmtId="43" fontId="12" fillId="8" borderId="2" xfId="1" applyFont="1" applyFill="1" applyBorder="1" applyAlignment="1">
      <alignment horizontal="right" vertical="center" wrapText="1"/>
    </xf>
    <xf numFmtId="43" fontId="14" fillId="0" borderId="2" xfId="1" applyFont="1" applyFill="1" applyBorder="1" applyAlignment="1">
      <alignment horizontal="right" vertical="center"/>
    </xf>
    <xf numFmtId="43" fontId="12" fillId="8" borderId="2" xfId="1" applyFont="1" applyFill="1" applyBorder="1" applyAlignment="1">
      <alignment horizontal="center" vertical="center" wrapText="1"/>
    </xf>
    <xf numFmtId="43" fontId="12" fillId="8" borderId="2" xfId="1" applyFont="1" applyFill="1" applyBorder="1" applyAlignment="1">
      <alignment vertical="center" wrapText="1"/>
    </xf>
    <xf numFmtId="43" fontId="14" fillId="0" borderId="2" xfId="1" applyFont="1" applyFill="1" applyBorder="1" applyAlignment="1">
      <alignment horizontal="left" vertical="center" wrapText="1"/>
    </xf>
    <xf numFmtId="43" fontId="12" fillId="0" borderId="2" xfId="1" applyFont="1" applyFill="1" applyBorder="1" applyAlignment="1">
      <alignment horizontal="left" vertical="center" wrapText="1"/>
    </xf>
    <xf numFmtId="43" fontId="12" fillId="6" borderId="2" xfId="1" applyFont="1" applyFill="1" applyBorder="1" applyAlignment="1">
      <alignment horizontal="right" vertical="center" wrapText="1"/>
    </xf>
    <xf numFmtId="43" fontId="3" fillId="8" borderId="7" xfId="1" applyFont="1" applyFill="1" applyBorder="1" applyAlignment="1">
      <alignment horizontal="left" vertical="center"/>
    </xf>
    <xf numFmtId="43" fontId="3" fillId="8" borderId="2" xfId="1" applyFont="1" applyFill="1" applyBorder="1" applyAlignment="1">
      <alignment vertical="center"/>
    </xf>
    <xf numFmtId="43" fontId="3" fillId="6" borderId="2" xfId="1" applyFont="1" applyFill="1" applyBorder="1" applyAlignment="1">
      <alignment vertical="center"/>
    </xf>
    <xf numFmtId="43" fontId="3" fillId="13" borderId="2" xfId="1" applyFont="1" applyFill="1" applyBorder="1" applyAlignment="1">
      <alignment horizontal="justify" vertical="center"/>
    </xf>
    <xf numFmtId="43" fontId="12" fillId="8" borderId="2" xfId="1" applyFont="1" applyFill="1" applyBorder="1" applyAlignment="1">
      <alignment vertical="center"/>
    </xf>
    <xf numFmtId="43" fontId="14" fillId="0" borderId="2" xfId="1" applyFont="1" applyFill="1" applyBorder="1" applyAlignment="1">
      <alignment horizontal="center" vertical="center"/>
    </xf>
    <xf numFmtId="43" fontId="11" fillId="0" borderId="2" xfId="1" applyFont="1" applyFill="1" applyBorder="1" applyAlignment="1">
      <alignment horizontal="center" vertical="center"/>
    </xf>
    <xf numFmtId="43" fontId="12" fillId="8" borderId="4" xfId="1" applyFont="1" applyFill="1" applyBorder="1" applyAlignment="1">
      <alignment horizontal="center" vertical="center"/>
    </xf>
    <xf numFmtId="43" fontId="12" fillId="8" borderId="4" xfId="1" applyFont="1" applyFill="1" applyBorder="1" applyAlignment="1">
      <alignment vertical="center"/>
    </xf>
    <xf numFmtId="43" fontId="12" fillId="6" borderId="4" xfId="1" applyFont="1" applyFill="1" applyBorder="1" applyAlignment="1">
      <alignment horizontal="center" vertical="center"/>
    </xf>
    <xf numFmtId="43" fontId="12" fillId="6" borderId="4" xfId="1" applyFont="1" applyFill="1" applyBorder="1" applyAlignment="1">
      <alignment vertical="center"/>
    </xf>
    <xf numFmtId="43" fontId="3" fillId="4" borderId="13" xfId="1" applyFont="1" applyFill="1" applyBorder="1" applyAlignment="1">
      <alignment horizontal="left" vertical="center"/>
    </xf>
    <xf numFmtId="43" fontId="3" fillId="4" borderId="13" xfId="1" applyFont="1" applyFill="1" applyBorder="1" applyAlignment="1">
      <alignment horizontal="center" vertical="center"/>
    </xf>
    <xf numFmtId="43" fontId="3" fillId="4" borderId="13" xfId="1" applyFont="1" applyFill="1" applyBorder="1" applyAlignment="1">
      <alignment vertical="center"/>
    </xf>
    <xf numFmtId="43" fontId="3" fillId="4" borderId="12" xfId="1" applyFont="1" applyFill="1" applyBorder="1" applyAlignment="1">
      <alignment horizontal="left" vertical="center"/>
    </xf>
    <xf numFmtId="43" fontId="3" fillId="5" borderId="7" xfId="1" applyFont="1" applyFill="1" applyBorder="1" applyAlignment="1">
      <alignment vertical="center" wrapText="1"/>
    </xf>
    <xf numFmtId="43" fontId="3" fillId="5" borderId="7" xfId="1" applyFont="1" applyFill="1" applyBorder="1" applyAlignment="1">
      <alignment horizontal="center" vertical="center" wrapText="1"/>
    </xf>
    <xf numFmtId="43" fontId="3" fillId="6" borderId="7" xfId="1" applyFont="1" applyFill="1" applyBorder="1" applyAlignment="1">
      <alignment vertical="center" wrapText="1"/>
    </xf>
    <xf numFmtId="43" fontId="3" fillId="6" borderId="7" xfId="1" applyFont="1" applyFill="1" applyBorder="1" applyAlignment="1">
      <alignment horizontal="center" vertical="center" wrapText="1"/>
    </xf>
    <xf numFmtId="43" fontId="3" fillId="6" borderId="2" xfId="1" applyFont="1" applyFill="1" applyBorder="1" applyAlignment="1">
      <alignment vertical="center" wrapText="1"/>
    </xf>
    <xf numFmtId="43" fontId="12" fillId="0" borderId="16" xfId="1" applyFont="1" applyFill="1" applyBorder="1" applyAlignment="1">
      <alignment horizontal="center" vertical="center" wrapText="1"/>
    </xf>
    <xf numFmtId="43" fontId="12" fillId="0" borderId="4" xfId="1" applyFont="1" applyFill="1" applyBorder="1" applyAlignment="1">
      <alignment horizontal="center" vertical="center" wrapText="1"/>
    </xf>
    <xf numFmtId="43" fontId="3" fillId="0" borderId="2" xfId="1" applyFont="1" applyFill="1" applyBorder="1" applyAlignment="1">
      <alignment vertical="center" wrapText="1"/>
    </xf>
    <xf numFmtId="43" fontId="3" fillId="12" borderId="0" xfId="1" applyFont="1" applyFill="1" applyBorder="1" applyAlignment="1">
      <alignment vertical="center"/>
    </xf>
    <xf numFmtId="0" fontId="3" fillId="8" borderId="8" xfId="0" applyFont="1" applyFill="1" applyBorder="1" applyAlignment="1">
      <alignment horizontal="left" vertical="center"/>
    </xf>
    <xf numFmtId="0" fontId="3" fillId="0" borderId="5" xfId="0" applyFont="1" applyFill="1" applyBorder="1" applyAlignment="1">
      <alignment vertical="center"/>
    </xf>
    <xf numFmtId="0" fontId="12" fillId="0" borderId="17" xfId="0"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10" borderId="2" xfId="0" applyFont="1" applyFill="1" applyBorder="1" applyAlignment="1">
      <alignment horizontal="justify" vertical="center" wrapText="1"/>
    </xf>
    <xf numFmtId="0" fontId="1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justify" vertical="center"/>
    </xf>
    <xf numFmtId="0" fontId="3" fillId="0" borderId="4" xfId="0" applyFont="1" applyFill="1" applyBorder="1" applyAlignment="1">
      <alignment horizontal="center" vertical="center"/>
    </xf>
    <xf numFmtId="0" fontId="12" fillId="0" borderId="4" xfId="0" applyFont="1" applyFill="1" applyBorder="1" applyAlignment="1">
      <alignment horizontal="center" vertical="top" wrapText="1"/>
    </xf>
    <xf numFmtId="0" fontId="12" fillId="0" borderId="4" xfId="0" applyFont="1" applyFill="1" applyBorder="1" applyAlignment="1">
      <alignment horizontal="justify" vertical="top" wrapText="1"/>
    </xf>
    <xf numFmtId="2" fontId="12" fillId="0" borderId="4" xfId="0" applyNumberFormat="1" applyFont="1" applyFill="1" applyBorder="1" applyAlignment="1">
      <alignment horizontal="center" vertical="center" wrapText="1"/>
    </xf>
    <xf numFmtId="43" fontId="12" fillId="0" borderId="4" xfId="2" applyFont="1" applyFill="1" applyBorder="1" applyAlignment="1">
      <alignment horizontal="center" vertical="center"/>
    </xf>
    <xf numFmtId="165" fontId="12" fillId="0" borderId="4" xfId="3" applyNumberFormat="1" applyFont="1" applyFill="1" applyBorder="1" applyAlignment="1">
      <alignment horizontal="center" vertical="center"/>
    </xf>
    <xf numFmtId="10" fontId="12" fillId="0" borderId="4" xfId="0" applyNumberFormat="1" applyFont="1" applyFill="1" applyBorder="1" applyAlignment="1">
      <alignment vertical="center" wrapText="1"/>
    </xf>
    <xf numFmtId="9" fontId="12" fillId="0" borderId="11" xfId="0" applyNumberFormat="1" applyFont="1" applyFill="1" applyBorder="1" applyAlignment="1">
      <alignment vertical="center" wrapText="1"/>
    </xf>
    <xf numFmtId="0" fontId="12" fillId="0" borderId="12" xfId="0" applyFont="1" applyBorder="1" applyAlignment="1">
      <alignment horizontal="right" vertical="center" wrapText="1"/>
    </xf>
    <xf numFmtId="49" fontId="12" fillId="0" borderId="11" xfId="0" applyNumberFormat="1" applyFont="1" applyFill="1" applyBorder="1" applyAlignment="1">
      <alignment horizontal="center" vertical="center" wrapText="1"/>
    </xf>
    <xf numFmtId="49" fontId="12" fillId="0" borderId="11" xfId="0" applyNumberFormat="1" applyFont="1" applyFill="1" applyBorder="1" applyAlignment="1">
      <alignment horizontal="justify" vertical="center" wrapText="1"/>
    </xf>
    <xf numFmtId="49" fontId="12" fillId="3" borderId="1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 vertical="center" wrapText="1"/>
    </xf>
    <xf numFmtId="9" fontId="12" fillId="0" borderId="4" xfId="3" applyFont="1" applyFill="1" applyBorder="1" applyAlignment="1">
      <alignment horizontal="center" vertical="center" wrapText="1"/>
    </xf>
    <xf numFmtId="1" fontId="3" fillId="8" borderId="9" xfId="0" applyNumberFormat="1" applyFont="1" applyFill="1" applyBorder="1" applyAlignment="1">
      <alignment vertical="center"/>
    </xf>
    <xf numFmtId="1" fontId="3" fillId="0" borderId="7" xfId="0" applyNumberFormat="1" applyFont="1" applyFill="1" applyBorder="1" applyAlignment="1">
      <alignment vertical="center"/>
    </xf>
    <xf numFmtId="43" fontId="3" fillId="0" borderId="7" xfId="1" applyFont="1" applyFill="1" applyBorder="1" applyAlignment="1">
      <alignment vertical="center"/>
    </xf>
    <xf numFmtId="43" fontId="3" fillId="0" borderId="7" xfId="1" applyFont="1" applyFill="1" applyBorder="1" applyAlignment="1">
      <alignment horizontal="center" vertical="center"/>
    </xf>
    <xf numFmtId="0" fontId="12" fillId="9" borderId="4" xfId="0" applyFont="1" applyFill="1" applyBorder="1" applyAlignment="1">
      <alignment horizontal="justify" vertical="center" wrapText="1"/>
    </xf>
    <xf numFmtId="0" fontId="12" fillId="9" borderId="4" xfId="0" applyFont="1" applyFill="1" applyBorder="1" applyAlignment="1">
      <alignment horizontal="center" vertical="center" wrapText="1"/>
    </xf>
    <xf numFmtId="0" fontId="12" fillId="9" borderId="3" xfId="0" applyFont="1" applyFill="1" applyBorder="1" applyAlignment="1">
      <alignment horizontal="justify" vertical="center" wrapText="1"/>
    </xf>
    <xf numFmtId="0" fontId="12" fillId="9" borderId="4" xfId="0" applyNumberFormat="1" applyFont="1" applyFill="1" applyBorder="1" applyAlignment="1">
      <alignment horizontal="center" vertical="center" wrapText="1"/>
    </xf>
    <xf numFmtId="1" fontId="12" fillId="9" borderId="4" xfId="0" applyNumberFormat="1" applyFont="1" applyFill="1" applyBorder="1" applyAlignment="1">
      <alignment horizontal="center" vertical="center" wrapText="1"/>
    </xf>
    <xf numFmtId="43" fontId="12" fillId="9" borderId="4" xfId="1" applyFont="1" applyFill="1" applyBorder="1" applyAlignment="1">
      <alignment horizontal="justify" vertical="center"/>
    </xf>
    <xf numFmtId="43" fontId="12" fillId="9" borderId="4" xfId="1" applyFont="1" applyFill="1" applyBorder="1" applyAlignment="1">
      <alignment horizontal="center" vertical="center"/>
    </xf>
    <xf numFmtId="0" fontId="12" fillId="2" borderId="6"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7" xfId="0"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1" fontId="12" fillId="2" borderId="7" xfId="0" applyNumberFormat="1" applyFont="1" applyFill="1" applyBorder="1" applyAlignment="1">
      <alignment horizontal="center" vertical="center" wrapText="1"/>
    </xf>
    <xf numFmtId="43" fontId="12" fillId="2" borderId="7" xfId="1" applyFont="1" applyFill="1" applyBorder="1" applyAlignment="1">
      <alignment horizontal="center" vertical="center"/>
    </xf>
    <xf numFmtId="43" fontId="12" fillId="2" borderId="8" xfId="1" applyFont="1" applyFill="1" applyBorder="1" applyAlignment="1">
      <alignment horizontal="justify" vertical="center"/>
    </xf>
    <xf numFmtId="43" fontId="3" fillId="0" borderId="8" xfId="1" applyFont="1" applyFill="1" applyBorder="1" applyAlignment="1">
      <alignment vertical="center" wrapText="1"/>
    </xf>
    <xf numFmtId="0" fontId="12" fillId="9" borderId="4" xfId="0" applyNumberFormat="1" applyFont="1" applyFill="1" applyBorder="1" applyAlignment="1">
      <alignment horizontal="center" vertical="center"/>
    </xf>
    <xf numFmtId="1" fontId="12" fillId="9" borderId="4" xfId="0" applyNumberFormat="1" applyFont="1" applyFill="1" applyBorder="1" applyAlignment="1">
      <alignment horizontal="center" vertical="center"/>
    </xf>
    <xf numFmtId="0" fontId="3" fillId="8" borderId="3" xfId="0" applyFont="1" applyFill="1" applyBorder="1" applyAlignment="1">
      <alignment horizontal="justify" vertical="center" wrapText="1"/>
    </xf>
    <xf numFmtId="43" fontId="3" fillId="8" borderId="4" xfId="1" applyFont="1" applyFill="1" applyBorder="1" applyAlignment="1">
      <alignment horizontal="center" vertical="center"/>
    </xf>
    <xf numFmtId="43" fontId="14" fillId="0" borderId="12" xfId="1" applyFont="1" applyFill="1" applyBorder="1" applyAlignment="1">
      <alignment horizontal="center" vertical="center" wrapText="1"/>
    </xf>
    <xf numFmtId="43" fontId="14" fillId="0" borderId="17" xfId="1" applyFont="1" applyFill="1" applyBorder="1" applyAlignment="1">
      <alignment horizontal="center" vertical="center" wrapText="1"/>
    </xf>
    <xf numFmtId="43" fontId="3" fillId="0" borderId="8" xfId="1" applyFont="1" applyFill="1" applyBorder="1" applyAlignment="1">
      <alignment vertical="center"/>
    </xf>
    <xf numFmtId="43" fontId="10" fillId="0" borderId="2" xfId="1" applyFont="1" applyFill="1" applyBorder="1" applyAlignment="1">
      <alignment horizontal="justify" vertical="center"/>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14" fillId="0" borderId="4" xfId="0" applyNumberFormat="1" applyFont="1" applyFill="1" applyBorder="1" applyAlignment="1">
      <alignment horizontal="center" vertical="center"/>
    </xf>
    <xf numFmtId="0" fontId="12" fillId="0" borderId="4"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4" xfId="0" applyNumberFormat="1" applyFont="1" applyFill="1" applyBorder="1" applyAlignment="1">
      <alignment horizontal="justify" vertical="center"/>
    </xf>
    <xf numFmtId="0" fontId="21" fillId="0" borderId="0" xfId="0" applyFont="1"/>
    <xf numFmtId="165" fontId="22" fillId="16" borderId="2" xfId="1" applyNumberFormat="1"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1" fillId="0" borderId="2" xfId="0" applyFont="1" applyBorder="1" applyAlignment="1">
      <alignment horizontal="center"/>
    </xf>
    <xf numFmtId="0" fontId="21" fillId="0" borderId="2" xfId="0" applyFont="1" applyFill="1" applyBorder="1" applyAlignment="1">
      <alignment horizontal="left"/>
    </xf>
    <xf numFmtId="165" fontId="13" fillId="0" borderId="2" xfId="1" applyNumberFormat="1" applyFont="1" applyFill="1" applyBorder="1" applyAlignment="1">
      <alignment horizontal="right" vertical="center"/>
    </xf>
    <xf numFmtId="9" fontId="13" fillId="0" borderId="2" xfId="4" applyFont="1" applyFill="1" applyBorder="1" applyAlignment="1">
      <alignment horizontal="center" vertical="center"/>
    </xf>
    <xf numFmtId="165" fontId="21" fillId="0" borderId="2" xfId="1" applyNumberFormat="1" applyFont="1" applyFill="1" applyBorder="1"/>
    <xf numFmtId="9" fontId="21" fillId="0" borderId="2" xfId="4" applyFont="1" applyBorder="1" applyAlignment="1">
      <alignment horizontal="center"/>
    </xf>
    <xf numFmtId="9" fontId="4" fillId="2" borderId="2" xfId="4" applyNumberFormat="1" applyFont="1" applyFill="1" applyBorder="1" applyAlignment="1">
      <alignment horizontal="center" vertical="center"/>
    </xf>
    <xf numFmtId="0" fontId="21" fillId="0" borderId="2" xfId="0" applyFont="1" applyFill="1" applyBorder="1" applyAlignment="1">
      <alignment horizontal="center"/>
    </xf>
    <xf numFmtId="9" fontId="21" fillId="0" borderId="2" xfId="4" applyFont="1" applyFill="1" applyBorder="1" applyAlignment="1">
      <alignment horizontal="center"/>
    </xf>
    <xf numFmtId="0" fontId="21" fillId="0" borderId="0" xfId="0" applyFont="1" applyFill="1"/>
    <xf numFmtId="0" fontId="13" fillId="0" borderId="2" xfId="0" applyFont="1" applyFill="1" applyBorder="1" applyAlignment="1">
      <alignment horizontal="center"/>
    </xf>
    <xf numFmtId="3" fontId="13" fillId="0" borderId="2" xfId="0" applyNumberFormat="1" applyFont="1" applyFill="1" applyBorder="1" applyAlignment="1" applyProtection="1">
      <alignment horizontal="right" vertical="center"/>
    </xf>
    <xf numFmtId="4" fontId="13" fillId="0" borderId="2" xfId="0" applyNumberFormat="1" applyFont="1" applyFill="1" applyBorder="1" applyAlignment="1" applyProtection="1">
      <alignment vertical="center"/>
    </xf>
    <xf numFmtId="37" fontId="13" fillId="0" borderId="2" xfId="1" applyNumberFormat="1" applyFont="1" applyFill="1" applyBorder="1"/>
    <xf numFmtId="0" fontId="13" fillId="0" borderId="0" xfId="0" applyFont="1" applyFill="1"/>
    <xf numFmtId="165" fontId="13" fillId="0" borderId="2" xfId="1" applyNumberFormat="1" applyFont="1" applyFill="1" applyBorder="1"/>
    <xf numFmtId="3" fontId="13" fillId="0" borderId="2" xfId="0" applyNumberFormat="1" applyFont="1" applyFill="1" applyBorder="1" applyAlignment="1">
      <alignment horizontal="right" vertical="center"/>
    </xf>
    <xf numFmtId="9" fontId="4" fillId="17" borderId="2" xfId="4" applyNumberFormat="1" applyFont="1" applyFill="1" applyBorder="1" applyAlignment="1">
      <alignment horizontal="center" vertical="center"/>
    </xf>
    <xf numFmtId="165" fontId="22" fillId="16" borderId="7" xfId="1" applyNumberFormat="1" applyFont="1" applyFill="1" applyBorder="1" applyAlignment="1">
      <alignment vertical="center"/>
    </xf>
    <xf numFmtId="165" fontId="22" fillId="16" borderId="8" xfId="1" applyNumberFormat="1" applyFont="1" applyFill="1" applyBorder="1" applyAlignment="1">
      <alignment vertical="center"/>
    </xf>
    <xf numFmtId="165" fontId="22" fillId="16" borderId="2" xfId="1" applyNumberFormat="1" applyFont="1" applyFill="1" applyBorder="1" applyAlignment="1">
      <alignment horizontal="right" vertical="center"/>
    </xf>
    <xf numFmtId="9" fontId="22" fillId="16" borderId="2" xfId="4" applyFont="1" applyFill="1" applyBorder="1" applyAlignment="1">
      <alignment horizontal="center" vertical="center"/>
    </xf>
    <xf numFmtId="165" fontId="13" fillId="0" borderId="0" xfId="1" applyNumberFormat="1" applyFont="1" applyFill="1" applyBorder="1" applyAlignment="1">
      <alignment horizontal="left" vertical="center"/>
    </xf>
    <xf numFmtId="165" fontId="13" fillId="0" borderId="0" xfId="1" applyNumberFormat="1" applyFont="1" applyFill="1" applyBorder="1" applyAlignment="1">
      <alignment horizontal="right" vertical="center"/>
    </xf>
    <xf numFmtId="165" fontId="21" fillId="0" borderId="0" xfId="1" applyNumberFormat="1" applyFont="1" applyFill="1"/>
    <xf numFmtId="0" fontId="21" fillId="0" borderId="2" xfId="0" applyFont="1" applyFill="1" applyBorder="1" applyAlignment="1">
      <alignment vertical="center" wrapText="1"/>
    </xf>
    <xf numFmtId="165" fontId="13" fillId="0" borderId="2" xfId="1" applyNumberFormat="1" applyFont="1" applyFill="1" applyBorder="1" applyAlignment="1">
      <alignment horizontal="left" vertical="center"/>
    </xf>
    <xf numFmtId="0" fontId="22" fillId="16" borderId="9" xfId="0" applyFont="1" applyFill="1" applyBorder="1" applyAlignment="1">
      <alignment horizontal="left"/>
    </xf>
    <xf numFmtId="0" fontId="22" fillId="16" borderId="3" xfId="0" applyFont="1" applyFill="1" applyBorder="1" applyAlignment="1">
      <alignment horizontal="left"/>
    </xf>
    <xf numFmtId="165" fontId="22" fillId="16" borderId="2" xfId="0" applyNumberFormat="1" applyFont="1" applyFill="1" applyBorder="1"/>
    <xf numFmtId="0" fontId="21" fillId="0" borderId="0" xfId="0" applyFont="1" applyAlignment="1">
      <alignment horizontal="left"/>
    </xf>
    <xf numFmtId="165" fontId="21" fillId="0" borderId="0" xfId="1" applyNumberFormat="1" applyFont="1"/>
    <xf numFmtId="165" fontId="21" fillId="0" borderId="0" xfId="1" applyNumberFormat="1" applyFont="1" applyAlignment="1">
      <alignment horizontal="center"/>
    </xf>
    <xf numFmtId="0" fontId="22" fillId="16" borderId="0" xfId="0" applyFont="1" applyFill="1" applyBorder="1" applyAlignment="1">
      <alignment horizontal="left"/>
    </xf>
    <xf numFmtId="0" fontId="22" fillId="16" borderId="1" xfId="0" applyFont="1" applyFill="1" applyBorder="1" applyAlignment="1">
      <alignment horizontal="left"/>
    </xf>
    <xf numFmtId="165" fontId="22" fillId="16" borderId="2" xfId="1" applyNumberFormat="1" applyFont="1" applyFill="1" applyBorder="1"/>
    <xf numFmtId="165" fontId="0" fillId="0" borderId="0" xfId="0" applyNumberFormat="1"/>
    <xf numFmtId="4" fontId="0" fillId="0" borderId="0" xfId="0" applyNumberFormat="1"/>
    <xf numFmtId="0" fontId="21" fillId="0" borderId="2" xfId="0" applyFont="1" applyFill="1" applyBorder="1"/>
    <xf numFmtId="0" fontId="13" fillId="0" borderId="2" xfId="0" applyFont="1" applyFill="1" applyBorder="1"/>
    <xf numFmtId="0" fontId="12" fillId="0" borderId="4" xfId="0" applyNumberFormat="1" applyFont="1" applyFill="1" applyBorder="1" applyAlignment="1">
      <alignment horizontal="center" vertical="center"/>
    </xf>
    <xf numFmtId="0" fontId="3" fillId="6" borderId="12" xfId="0" applyFont="1" applyFill="1" applyBorder="1" applyAlignment="1">
      <alignment horizontal="center" vertical="center" wrapText="1"/>
    </xf>
    <xf numFmtId="0" fontId="3" fillId="6" borderId="13" xfId="0" applyFont="1" applyFill="1" applyBorder="1" applyAlignment="1">
      <alignment vertical="center"/>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8" borderId="0" xfId="0" applyFont="1" applyFill="1" applyBorder="1" applyAlignment="1">
      <alignment horizontal="justify" vertical="center" wrapText="1"/>
    </xf>
    <xf numFmtId="0" fontId="12" fillId="6" borderId="0" xfId="0" applyFont="1" applyFill="1" applyBorder="1" applyAlignment="1">
      <alignment horizontal="justify" vertical="center" wrapText="1"/>
    </xf>
    <xf numFmtId="0" fontId="12" fillId="6"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xf>
    <xf numFmtId="2" fontId="12" fillId="0" borderId="0" xfId="0" applyNumberFormat="1" applyFont="1" applyFill="1" applyBorder="1" applyAlignment="1">
      <alignment horizontal="center" vertical="center"/>
    </xf>
    <xf numFmtId="2" fontId="3" fillId="8" borderId="2" xfId="0" applyNumberFormat="1" applyFont="1" applyFill="1" applyBorder="1" applyAlignment="1">
      <alignment vertical="center"/>
    </xf>
    <xf numFmtId="0" fontId="3" fillId="8" borderId="2" xfId="0" applyFont="1" applyFill="1" applyBorder="1" applyAlignment="1">
      <alignment horizontal="center" vertical="center"/>
    </xf>
    <xf numFmtId="43" fontId="3" fillId="8" borderId="2" xfId="1" applyFont="1" applyFill="1" applyBorder="1" applyAlignment="1">
      <alignment horizontal="center" vertical="center"/>
    </xf>
    <xf numFmtId="2" fontId="3" fillId="6" borderId="2" xfId="0" applyNumberFormat="1" applyFont="1" applyFill="1" applyBorder="1" applyAlignment="1">
      <alignment vertical="center"/>
    </xf>
    <xf numFmtId="43" fontId="3" fillId="6" borderId="2" xfId="1"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11" xfId="0" applyFont="1" applyFill="1" applyBorder="1" applyAlignment="1">
      <alignment horizontal="justify" vertical="center" wrapText="1"/>
    </xf>
    <xf numFmtId="0" fontId="12" fillId="6" borderId="4" xfId="0" applyNumberFormat="1" applyFont="1" applyFill="1" applyBorder="1" applyAlignment="1">
      <alignment horizontal="center" vertical="center"/>
    </xf>
    <xf numFmtId="0" fontId="12" fillId="0" borderId="10" xfId="0" applyFont="1" applyFill="1" applyBorder="1" applyAlignment="1">
      <alignment horizontal="justify" vertical="center" wrapText="1"/>
    </xf>
    <xf numFmtId="1" fontId="12" fillId="0" borderId="0" xfId="0" applyNumberFormat="1" applyFont="1" applyFill="1" applyBorder="1" applyAlignment="1">
      <alignment horizontal="center" vertical="center"/>
    </xf>
    <xf numFmtId="0" fontId="12" fillId="5" borderId="0" xfId="0" applyFont="1" applyFill="1" applyBorder="1" applyAlignment="1">
      <alignment horizontal="justify" vertical="center" wrapText="1"/>
    </xf>
    <xf numFmtId="0" fontId="12" fillId="5" borderId="0" xfId="0" applyFont="1" applyFill="1" applyBorder="1" applyAlignment="1">
      <alignment horizontal="center" vertical="center" wrapText="1"/>
    </xf>
    <xf numFmtId="0" fontId="12" fillId="9" borderId="0" xfId="0" applyFont="1" applyFill="1" applyBorder="1" applyAlignment="1">
      <alignment horizontal="justify" vertical="center" wrapText="1"/>
    </xf>
    <xf numFmtId="0" fontId="12" fillId="9" borderId="0" xfId="0" applyFont="1" applyFill="1" applyBorder="1" applyAlignment="1">
      <alignment horizontal="center" vertical="center" wrapText="1"/>
    </xf>
    <xf numFmtId="0" fontId="12" fillId="8" borderId="4" xfId="0" applyNumberFormat="1" applyFont="1" applyFill="1" applyBorder="1" applyAlignment="1">
      <alignment horizontal="center" vertical="center"/>
    </xf>
    <xf numFmtId="0" fontId="12" fillId="5" borderId="12" xfId="0" applyFont="1" applyFill="1" applyBorder="1" applyAlignment="1">
      <alignment horizontal="justify" vertical="center" wrapText="1"/>
    </xf>
    <xf numFmtId="0" fontId="12" fillId="5" borderId="12" xfId="0" applyFont="1" applyFill="1" applyBorder="1" applyAlignment="1">
      <alignment horizontal="center" vertical="center" wrapText="1"/>
    </xf>
    <xf numFmtId="0" fontId="12" fillId="5" borderId="12" xfId="0" applyNumberFormat="1" applyFont="1" applyFill="1" applyBorder="1" applyAlignment="1">
      <alignment horizontal="center" vertical="center"/>
    </xf>
    <xf numFmtId="43" fontId="12" fillId="5" borderId="12" xfId="1" applyFont="1" applyFill="1" applyBorder="1" applyAlignment="1">
      <alignment horizontal="justify" vertical="center"/>
    </xf>
    <xf numFmtId="0" fontId="12" fillId="5" borderId="2" xfId="0" applyFont="1" applyFill="1" applyBorder="1" applyAlignment="1">
      <alignment horizontal="left" vertical="center" wrapText="1"/>
    </xf>
    <xf numFmtId="4" fontId="12" fillId="5" borderId="2" xfId="0" applyNumberFormat="1" applyFont="1" applyFill="1" applyBorder="1" applyAlignment="1">
      <alignment vertical="center" wrapText="1"/>
    </xf>
    <xf numFmtId="43" fontId="12" fillId="5" borderId="2" xfId="1" applyFont="1" applyFill="1" applyBorder="1" applyAlignment="1">
      <alignment vertical="center" wrapText="1"/>
    </xf>
    <xf numFmtId="0" fontId="12" fillId="0" borderId="10" xfId="0" applyFont="1" applyFill="1" applyBorder="1" applyAlignment="1">
      <alignment vertical="center" wrapText="1"/>
    </xf>
    <xf numFmtId="43" fontId="12" fillId="8" borderId="9" xfId="1" applyFont="1" applyFill="1" applyBorder="1" applyAlignment="1">
      <alignment vertical="center"/>
    </xf>
    <xf numFmtId="43" fontId="14" fillId="0" borderId="10" xfId="1" applyFont="1" applyFill="1" applyBorder="1" applyAlignment="1">
      <alignment horizontal="justify" vertical="center"/>
    </xf>
    <xf numFmtId="4" fontId="12" fillId="0" borderId="2"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wrapText="1"/>
    </xf>
    <xf numFmtId="4" fontId="12" fillId="8" borderId="12" xfId="0" applyNumberFormat="1" applyFont="1" applyFill="1" applyBorder="1" applyAlignment="1">
      <alignment horizontal="center" vertical="center"/>
    </xf>
    <xf numFmtId="4" fontId="12" fillId="6" borderId="2" xfId="0" applyNumberFormat="1" applyFont="1" applyFill="1" applyBorder="1" applyAlignment="1">
      <alignment horizontal="center" vertical="center"/>
    </xf>
    <xf numFmtId="4" fontId="12" fillId="8" borderId="2" xfId="3" applyNumberFormat="1" applyFont="1" applyFill="1" applyBorder="1" applyAlignment="1">
      <alignment horizontal="center" vertical="center" wrapText="1"/>
    </xf>
    <xf numFmtId="4" fontId="12" fillId="8" borderId="2" xfId="0" applyNumberFormat="1" applyFont="1" applyFill="1" applyBorder="1" applyAlignment="1">
      <alignment horizontal="right" vertical="center"/>
    </xf>
    <xf numFmtId="4" fontId="12" fillId="6" borderId="2" xfId="0" applyNumberFormat="1" applyFont="1" applyFill="1" applyBorder="1" applyAlignment="1">
      <alignment horizontal="right" vertical="center"/>
    </xf>
    <xf numFmtId="9" fontId="12" fillId="0" borderId="2" xfId="4" applyFont="1" applyFill="1" applyBorder="1" applyAlignment="1">
      <alignment horizontal="center" vertical="center" wrapText="1"/>
    </xf>
    <xf numFmtId="2" fontId="12" fillId="0" borderId="2" xfId="2" applyNumberFormat="1" applyFont="1" applyFill="1" applyBorder="1" applyAlignment="1">
      <alignment horizontal="center" vertical="center" wrapText="1"/>
    </xf>
    <xf numFmtId="0" fontId="12" fillId="8" borderId="12" xfId="0" applyFont="1" applyFill="1" applyBorder="1" applyAlignment="1">
      <alignment horizontal="justify" vertical="center"/>
    </xf>
    <xf numFmtId="3" fontId="12" fillId="0" borderId="12" xfId="0" applyNumberFormat="1" applyFont="1" applyFill="1" applyBorder="1" applyAlignment="1">
      <alignment horizontal="center" vertical="center" wrapText="1"/>
    </xf>
    <xf numFmtId="0" fontId="12" fillId="6" borderId="10" xfId="0" applyFont="1" applyFill="1" applyBorder="1" applyAlignment="1">
      <alignment horizontal="center" vertical="center" wrapText="1"/>
    </xf>
    <xf numFmtId="43" fontId="3" fillId="4" borderId="9" xfId="1" applyFont="1" applyFill="1" applyBorder="1" applyAlignment="1">
      <alignment horizontal="left" vertical="center"/>
    </xf>
    <xf numFmtId="43" fontId="3" fillId="4" borderId="9" xfId="1" applyFont="1" applyFill="1" applyBorder="1" applyAlignment="1">
      <alignment horizontal="center" vertical="center"/>
    </xf>
    <xf numFmtId="43" fontId="3" fillId="4" borderId="9" xfId="1" applyFont="1" applyFill="1" applyBorder="1" applyAlignment="1">
      <alignment vertical="center"/>
    </xf>
    <xf numFmtId="43" fontId="3" fillId="4" borderId="3" xfId="1" applyFont="1" applyFill="1" applyBorder="1" applyAlignment="1">
      <alignment horizontal="left" vertical="center"/>
    </xf>
    <xf numFmtId="43" fontId="12" fillId="0" borderId="9" xfId="1" applyFont="1" applyFill="1" applyBorder="1" applyAlignment="1">
      <alignment horizontal="justify" vertical="center"/>
    </xf>
    <xf numFmtId="43" fontId="12" fillId="2" borderId="9" xfId="1" applyFont="1" applyFill="1" applyBorder="1" applyAlignment="1">
      <alignment horizontal="justify" vertical="center"/>
    </xf>
    <xf numFmtId="43" fontId="12" fillId="0" borderId="9" xfId="1" applyFont="1" applyFill="1" applyBorder="1" applyAlignment="1">
      <alignment horizontal="center" vertical="center"/>
    </xf>
    <xf numFmtId="43" fontId="12" fillId="0" borderId="9" xfId="1" applyFont="1" applyFill="1" applyBorder="1" applyAlignment="1">
      <alignment vertical="center"/>
    </xf>
    <xf numFmtId="43" fontId="3" fillId="4" borderId="2" xfId="1" applyFont="1" applyFill="1" applyBorder="1" applyAlignment="1">
      <alignment horizontal="center" vertical="center"/>
    </xf>
    <xf numFmtId="43" fontId="3" fillId="4" borderId="7" xfId="1" applyFont="1" applyFill="1" applyBorder="1" applyAlignment="1">
      <alignment horizontal="left" vertical="center" wrapText="1"/>
    </xf>
    <xf numFmtId="43" fontId="3" fillId="4" borderId="7" xfId="1" applyFont="1" applyFill="1" applyBorder="1" applyAlignment="1">
      <alignment horizontal="center" vertical="center" wrapText="1"/>
    </xf>
    <xf numFmtId="43" fontId="3" fillId="4" borderId="7" xfId="1" applyFont="1" applyFill="1" applyBorder="1" applyAlignment="1">
      <alignment vertical="center" wrapText="1"/>
    </xf>
    <xf numFmtId="43" fontId="3" fillId="4" borderId="8" xfId="1" applyFont="1" applyFill="1" applyBorder="1" applyAlignment="1">
      <alignment horizontal="left" vertical="center" wrapText="1"/>
    </xf>
    <xf numFmtId="43" fontId="14" fillId="2" borderId="7" xfId="1" applyFont="1" applyFill="1" applyBorder="1" applyAlignment="1">
      <alignment horizontal="justify" vertical="center"/>
    </xf>
    <xf numFmtId="43" fontId="12" fillId="0" borderId="1" xfId="1" applyFont="1" applyFill="1" applyBorder="1" applyAlignment="1">
      <alignment horizontal="justify" vertical="center"/>
    </xf>
    <xf numFmtId="43" fontId="20" fillId="2" borderId="2" xfId="1" applyFont="1" applyFill="1" applyBorder="1" applyAlignment="1">
      <alignment horizontal="right" vertical="center"/>
    </xf>
    <xf numFmtId="43" fontId="3" fillId="2" borderId="0" xfId="1" applyFont="1" applyFill="1" applyBorder="1" applyAlignment="1">
      <alignment horizontal="justify" vertical="center"/>
    </xf>
    <xf numFmtId="43" fontId="3" fillId="4" borderId="2" xfId="1" applyFont="1" applyFill="1" applyBorder="1" applyAlignment="1">
      <alignment horizontal="left" vertical="center"/>
    </xf>
    <xf numFmtId="43" fontId="3" fillId="5" borderId="2" xfId="1" applyFont="1" applyFill="1" applyBorder="1" applyAlignment="1">
      <alignment vertical="center"/>
    </xf>
    <xf numFmtId="43" fontId="10" fillId="2" borderId="0" xfId="0" applyNumberFormat="1" applyFont="1" applyFill="1"/>
    <xf numFmtId="1" fontId="14" fillId="0" borderId="4" xfId="0" applyNumberFormat="1" applyFont="1" applyFill="1" applyBorder="1" applyAlignment="1">
      <alignment horizontal="center" vertical="center"/>
    </xf>
    <xf numFmtId="1" fontId="14" fillId="0" borderId="11" xfId="0" applyNumberFormat="1" applyFont="1" applyFill="1" applyBorder="1" applyAlignment="1">
      <alignment horizontal="center" vertical="center"/>
    </xf>
    <xf numFmtId="1" fontId="14" fillId="0" borderId="12" xfId="0" applyNumberFormat="1" applyFont="1" applyFill="1" applyBorder="1" applyAlignment="1">
      <alignment horizontal="center" vertical="center"/>
    </xf>
    <xf numFmtId="0" fontId="12" fillId="0" borderId="4"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165" fontId="3" fillId="2" borderId="6" xfId="2" applyNumberFormat="1" applyFont="1" applyFill="1" applyBorder="1" applyAlignment="1">
      <alignment horizontal="center" vertical="center" wrapText="1"/>
    </xf>
    <xf numFmtId="165" fontId="3" fillId="2" borderId="7" xfId="2" applyNumberFormat="1" applyFont="1" applyFill="1" applyBorder="1" applyAlignment="1">
      <alignment horizontal="center" vertical="center" wrapText="1"/>
    </xf>
    <xf numFmtId="165" fontId="3" fillId="2" borderId="8" xfId="2" applyNumberFormat="1" applyFont="1" applyFill="1" applyBorder="1" applyAlignment="1">
      <alignment horizontal="center" vertical="center" wrapText="1"/>
    </xf>
    <xf numFmtId="165" fontId="3" fillId="0" borderId="6" xfId="2" applyNumberFormat="1" applyFont="1" applyFill="1" applyBorder="1" applyAlignment="1">
      <alignment horizontal="center" vertical="center" wrapText="1"/>
    </xf>
    <xf numFmtId="165" fontId="3" fillId="0" borderId="7" xfId="2" applyNumberFormat="1" applyFont="1" applyFill="1" applyBorder="1" applyAlignment="1">
      <alignment horizontal="center" vertical="center" wrapText="1"/>
    </xf>
    <xf numFmtId="165" fontId="3" fillId="0" borderId="8" xfId="2" applyNumberFormat="1" applyFont="1" applyFill="1" applyBorder="1" applyAlignment="1">
      <alignment horizontal="center" vertical="center" wrapText="1"/>
    </xf>
    <xf numFmtId="166" fontId="3" fillId="0" borderId="6" xfId="1" applyNumberFormat="1" applyFont="1" applyFill="1" applyBorder="1" applyAlignment="1">
      <alignment horizontal="center" vertical="center" wrapText="1"/>
    </xf>
    <xf numFmtId="166" fontId="3" fillId="0" borderId="7" xfId="1" applyNumberFormat="1" applyFont="1" applyFill="1" applyBorder="1" applyAlignment="1">
      <alignment horizontal="center" vertical="center" wrapText="1"/>
    </xf>
    <xf numFmtId="166" fontId="3" fillId="0" borderId="8" xfId="1" applyNumberFormat="1" applyFont="1" applyFill="1" applyBorder="1" applyAlignment="1">
      <alignment horizontal="center" vertical="center" wrapText="1"/>
    </xf>
    <xf numFmtId="165" fontId="12" fillId="0" borderId="4" xfId="2" applyNumberFormat="1" applyFont="1" applyFill="1" applyBorder="1" applyAlignment="1">
      <alignment horizontal="justify" vertical="center" wrapText="1"/>
    </xf>
    <xf numFmtId="165" fontId="12" fillId="0" borderId="11" xfId="2" applyNumberFormat="1" applyFont="1" applyFill="1" applyBorder="1" applyAlignment="1">
      <alignment horizontal="justify" vertical="center" wrapText="1"/>
    </xf>
    <xf numFmtId="165" fontId="12" fillId="0" borderId="12" xfId="2" applyNumberFormat="1"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4" xfId="0" applyNumberFormat="1" applyFont="1" applyFill="1" applyBorder="1" applyAlignment="1">
      <alignment horizontal="justify" vertical="center"/>
    </xf>
    <xf numFmtId="0" fontId="12" fillId="0" borderId="11" xfId="0" applyNumberFormat="1" applyFont="1" applyFill="1" applyBorder="1" applyAlignment="1">
      <alignment horizontal="justify" vertical="center"/>
    </xf>
    <xf numFmtId="0" fontId="12" fillId="0" borderId="12" xfId="0" applyNumberFormat="1" applyFont="1" applyFill="1" applyBorder="1" applyAlignment="1">
      <alignment horizontal="justify" vertical="center"/>
    </xf>
    <xf numFmtId="0" fontId="12" fillId="0" borderId="4"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wrapText="1"/>
    </xf>
    <xf numFmtId="0" fontId="12" fillId="0" borderId="4" xfId="0" applyFont="1" applyFill="1" applyBorder="1" applyAlignment="1">
      <alignment horizontal="justify" vertical="center"/>
    </xf>
    <xf numFmtId="0" fontId="12" fillId="0" borderId="11" xfId="0" applyFont="1" applyFill="1" applyBorder="1" applyAlignment="1">
      <alignment horizontal="justify" vertical="center"/>
    </xf>
    <xf numFmtId="16" fontId="12" fillId="0" borderId="4" xfId="0" applyNumberFormat="1" applyFont="1" applyFill="1" applyBorder="1" applyAlignment="1">
      <alignment horizontal="center" vertical="center" wrapText="1"/>
    </xf>
    <xf numFmtId="16" fontId="12" fillId="0" borderId="11" xfId="0" applyNumberFormat="1" applyFont="1" applyFill="1" applyBorder="1" applyAlignment="1">
      <alignment horizontal="center" vertical="center" wrapText="1"/>
    </xf>
    <xf numFmtId="0" fontId="12" fillId="0" borderId="4" xfId="0" applyNumberFormat="1" applyFont="1" applyFill="1" applyBorder="1" applyAlignment="1">
      <alignment horizontal="justify" vertical="center" wrapText="1"/>
    </xf>
    <xf numFmtId="0" fontId="12" fillId="0" borderId="11" xfId="0" applyNumberFormat="1" applyFont="1" applyFill="1" applyBorder="1" applyAlignment="1">
      <alignment horizontal="justify" vertical="center" wrapText="1"/>
    </xf>
    <xf numFmtId="0" fontId="12" fillId="0" borderId="12" xfId="0" applyNumberFormat="1" applyFont="1" applyFill="1" applyBorder="1" applyAlignment="1">
      <alignment horizontal="justify"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18" xfId="0" applyFont="1" applyFill="1" applyBorder="1" applyAlignment="1">
      <alignment horizontal="justify" vertical="center" wrapText="1"/>
    </xf>
    <xf numFmtId="3" fontId="12" fillId="0" borderId="4" xfId="0" applyNumberFormat="1" applyFont="1" applyFill="1" applyBorder="1" applyAlignment="1">
      <alignment horizontal="justify" vertical="center" wrapText="1"/>
    </xf>
    <xf numFmtId="3" fontId="12" fillId="0" borderId="11" xfId="0" applyNumberFormat="1" applyFont="1" applyFill="1" applyBorder="1" applyAlignment="1">
      <alignment horizontal="justify" vertical="center" wrapText="1"/>
    </xf>
    <xf numFmtId="3" fontId="12" fillId="0" borderId="12" xfId="0" applyNumberFormat="1" applyFont="1" applyFill="1" applyBorder="1" applyAlignment="1">
      <alignment horizontal="justify" vertical="center" wrapText="1"/>
    </xf>
    <xf numFmtId="3" fontId="12" fillId="0" borderId="4" xfId="0" applyNumberFormat="1" applyFont="1" applyFill="1" applyBorder="1" applyAlignment="1">
      <alignment horizontal="left" vertical="center" wrapText="1"/>
    </xf>
    <xf numFmtId="3" fontId="12" fillId="0" borderId="11" xfId="0" applyNumberFormat="1" applyFont="1" applyFill="1" applyBorder="1" applyAlignment="1">
      <alignment horizontal="left" vertical="center" wrapText="1"/>
    </xf>
    <xf numFmtId="3" fontId="12" fillId="0" borderId="12" xfId="0" applyNumberFormat="1" applyFont="1" applyFill="1" applyBorder="1" applyAlignment="1">
      <alignment horizontal="left" vertical="center" wrapText="1"/>
    </xf>
    <xf numFmtId="3" fontId="12" fillId="0" borderId="4" xfId="0" applyNumberFormat="1" applyFont="1" applyFill="1" applyBorder="1" applyAlignment="1">
      <alignment horizontal="left" vertical="center"/>
    </xf>
    <xf numFmtId="3" fontId="12" fillId="0" borderId="11" xfId="0" applyNumberFormat="1" applyFont="1" applyFill="1" applyBorder="1" applyAlignment="1">
      <alignment horizontal="left" vertical="center"/>
    </xf>
    <xf numFmtId="3" fontId="12" fillId="0" borderId="12" xfId="0" applyNumberFormat="1" applyFont="1" applyFill="1" applyBorder="1" applyAlignment="1">
      <alignment horizontal="left" vertical="center"/>
    </xf>
    <xf numFmtId="1" fontId="14" fillId="0" borderId="5"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17" xfId="0" applyNumberFormat="1" applyFont="1" applyFill="1" applyBorder="1" applyAlignment="1">
      <alignment horizontal="center" vertical="center" wrapText="1"/>
    </xf>
    <xf numFmtId="3" fontId="12" fillId="0" borderId="2" xfId="0" applyNumberFormat="1"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4"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2" fillId="0" borderId="12" xfId="0" applyNumberFormat="1" applyFont="1" applyFill="1" applyBorder="1" applyAlignment="1">
      <alignment horizontal="center" vertical="center"/>
    </xf>
    <xf numFmtId="3" fontId="12" fillId="0" borderId="4" xfId="3" applyNumberFormat="1" applyFont="1" applyFill="1" applyBorder="1" applyAlignment="1">
      <alignment horizontal="center" vertical="center" wrapText="1"/>
    </xf>
    <xf numFmtId="3" fontId="12" fillId="0" borderId="12" xfId="3" applyNumberFormat="1" applyFont="1" applyFill="1" applyBorder="1" applyAlignment="1">
      <alignment horizontal="center" vertical="center" wrapText="1"/>
    </xf>
    <xf numFmtId="0" fontId="12" fillId="0" borderId="12" xfId="0" applyFont="1" applyFill="1" applyBorder="1" applyAlignment="1">
      <alignment horizontal="justify" vertical="center"/>
    </xf>
    <xf numFmtId="49" fontId="12" fillId="0" borderId="11" xfId="0" applyNumberFormat="1" applyFont="1" applyFill="1" applyBorder="1" applyAlignment="1">
      <alignment horizontal="center" vertical="center" wrapText="1"/>
    </xf>
    <xf numFmtId="49" fontId="12" fillId="0" borderId="11" xfId="0" applyNumberFormat="1" applyFont="1" applyFill="1" applyBorder="1" applyAlignment="1">
      <alignment horizontal="justify" vertical="center" wrapText="1"/>
    </xf>
    <xf numFmtId="1" fontId="12" fillId="0" borderId="4" xfId="3" applyNumberFormat="1" applyFont="1" applyFill="1" applyBorder="1" applyAlignment="1">
      <alignment horizontal="center" vertical="center" wrapText="1"/>
    </xf>
    <xf numFmtId="1" fontId="12" fillId="0" borderId="11" xfId="3" applyNumberFormat="1" applyFont="1" applyFill="1" applyBorder="1" applyAlignment="1">
      <alignment horizontal="center" vertical="center" wrapText="1"/>
    </xf>
    <xf numFmtId="1" fontId="12" fillId="0" borderId="12" xfId="3" applyNumberFormat="1"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9" fontId="12" fillId="0" borderId="12" xfId="0" applyNumberFormat="1" applyFont="1" applyFill="1" applyBorder="1" applyAlignment="1">
      <alignment horizontal="center" vertical="center" wrapText="1"/>
    </xf>
    <xf numFmtId="0" fontId="3" fillId="13" borderId="6"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9" fontId="12" fillId="0" borderId="11" xfId="0" applyNumberFormat="1" applyFont="1" applyFill="1" applyBorder="1" applyAlignment="1">
      <alignment horizontal="center" vertical="center"/>
    </xf>
    <xf numFmtId="3" fontId="12" fillId="0" borderId="4" xfId="0" applyNumberFormat="1" applyFont="1" applyFill="1" applyBorder="1" applyAlignment="1">
      <alignment horizontal="justify" vertical="center"/>
    </xf>
    <xf numFmtId="3" fontId="12" fillId="0" borderId="12" xfId="0" applyNumberFormat="1" applyFont="1" applyFill="1" applyBorder="1" applyAlignment="1">
      <alignment horizontal="justify" vertical="center"/>
    </xf>
    <xf numFmtId="0" fontId="3" fillId="0" borderId="2"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12" borderId="0" xfId="0"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xf>
    <xf numFmtId="1" fontId="14" fillId="0" borderId="17"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xf>
    <xf numFmtId="165" fontId="12" fillId="0" borderId="11" xfId="0" applyNumberFormat="1" applyFont="1" applyFill="1" applyBorder="1" applyAlignment="1">
      <alignment horizontal="justify" vertical="center" wrapText="1"/>
    </xf>
    <xf numFmtId="165" fontId="12" fillId="0" borderId="12" xfId="0" applyNumberFormat="1" applyFont="1" applyFill="1" applyBorder="1" applyAlignment="1">
      <alignment horizontal="justify" vertical="center" wrapText="1"/>
    </xf>
    <xf numFmtId="0" fontId="3" fillId="5"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165" fontId="16" fillId="2" borderId="6" xfId="2" applyNumberFormat="1" applyFont="1" applyFill="1" applyBorder="1" applyAlignment="1">
      <alignment horizontal="center" vertical="center" wrapText="1"/>
    </xf>
    <xf numFmtId="165" fontId="16" fillId="2" borderId="7" xfId="2" applyNumberFormat="1" applyFont="1" applyFill="1" applyBorder="1" applyAlignment="1">
      <alignment horizontal="center" vertical="center" wrapText="1"/>
    </xf>
    <xf numFmtId="165" fontId="16" fillId="2" borderId="8" xfId="2" applyNumberFormat="1" applyFont="1" applyFill="1" applyBorder="1" applyAlignment="1">
      <alignment horizontal="center" vertical="center" wrapText="1"/>
    </xf>
    <xf numFmtId="0" fontId="3" fillId="0" borderId="2" xfId="0" applyFont="1" applyFill="1" applyBorder="1" applyAlignment="1">
      <alignment horizontal="center" vertical="center"/>
    </xf>
    <xf numFmtId="165" fontId="13" fillId="0" borderId="2" xfId="1" applyNumberFormat="1" applyFont="1" applyFill="1" applyBorder="1" applyAlignment="1">
      <alignment horizontal="left" vertical="center"/>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2" xfId="0" applyFont="1" applyFill="1" applyBorder="1" applyAlignment="1">
      <alignment horizontal="left"/>
    </xf>
    <xf numFmtId="0" fontId="21" fillId="0" borderId="2" xfId="0" applyFont="1" applyFill="1" applyBorder="1" applyAlignment="1">
      <alignment horizontal="left"/>
    </xf>
    <xf numFmtId="165" fontId="22" fillId="16" borderId="6" xfId="1" applyNumberFormat="1" applyFont="1" applyFill="1" applyBorder="1" applyAlignment="1">
      <alignment horizontal="center" vertical="center" wrapText="1"/>
    </xf>
    <xf numFmtId="165" fontId="22" fillId="16" borderId="8" xfId="1" applyNumberFormat="1" applyFont="1" applyFill="1" applyBorder="1" applyAlignment="1">
      <alignment horizontal="center" vertical="center" wrapText="1"/>
    </xf>
    <xf numFmtId="0" fontId="21" fillId="0" borderId="2" xfId="0" applyFont="1" applyBorder="1" applyAlignment="1">
      <alignment horizontal="center"/>
    </xf>
  </cellXfs>
  <cellStyles count="5">
    <cellStyle name="Millares" xfId="1" builtinId="3"/>
    <cellStyle name="Millares 2" xfId="2"/>
    <cellStyle name="Normal" xfId="0" builtinId="0"/>
    <cellStyle name="Porcentaje" xfId="4" builtinId="5"/>
    <cellStyle name="Porcentaje 2" xfId="3"/>
  </cellStyles>
  <dxfs count="33">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a:t>
            </a:r>
          </a:p>
          <a:p>
            <a:pPr>
              <a:defRPr sz="1000"/>
            </a:pPr>
            <a:r>
              <a:rPr lang="es-CO" sz="1000" baseline="0"/>
              <a:t>% de Ejecución Gastos de Inversion</a:t>
            </a:r>
          </a:p>
          <a:p>
            <a:pPr>
              <a:defRPr sz="1000"/>
            </a:pPr>
            <a:r>
              <a:rPr lang="es-CO" sz="1000" baseline="0"/>
              <a:t>Sector Central  por Unidad Ejecutora </a:t>
            </a:r>
          </a:p>
          <a:p>
            <a:pPr>
              <a:defRPr sz="1000"/>
            </a:pPr>
            <a:r>
              <a:rPr lang="es-CO" sz="1000" baseline="0"/>
              <a:t>I Trimestre 2018</a:t>
            </a:r>
            <a:endParaRPr lang="es-CO"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SECRETARIAS'!$D$2</c:f>
              <c:strCache>
                <c:ptCount val="1"/>
                <c:pt idx="0">
                  <c:v>%</c:v>
                </c:pt>
              </c:strCache>
            </c:strRef>
          </c:tx>
          <c:spPr>
            <a:solidFill>
              <a:schemeClr val="accent1"/>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SECRETARIAS'!$D$3:$D$15,'EJE SECRETARIAS'!$D$18:$D$20,'EJE SECRETARIAS'!$D$23)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1582-4CD1-B895-8BE5093A16DF}"/>
            </c:ext>
          </c:extLst>
        </c:ser>
        <c:ser>
          <c:idx val="1"/>
          <c:order val="1"/>
          <c:tx>
            <c:strRef>
              <c:f>'EJE SECRETARIAS'!$F$2</c:f>
              <c:strCache>
                <c:ptCount val="1"/>
                <c:pt idx="0">
                  <c:v>% CDP</c:v>
                </c:pt>
              </c:strCache>
            </c:strRef>
          </c:tx>
          <c:spPr>
            <a:solidFill>
              <a:schemeClr val="accent2"/>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SECRETARIAS'!$F$3:$F$15,'EJE SECRETARIAS'!$F$18:$F$20,'EJE SECRETARIAS'!$F$23)</c:f>
              <c:numCache>
                <c:formatCode>0%</c:formatCode>
                <c:ptCount val="17"/>
                <c:pt idx="0">
                  <c:v>4.574864108054686E-2</c:v>
                </c:pt>
                <c:pt idx="1">
                  <c:v>0.33576375757575755</c:v>
                </c:pt>
                <c:pt idx="2">
                  <c:v>0.76317281802962555</c:v>
                </c:pt>
                <c:pt idx="3">
                  <c:v>0.18164374307542583</c:v>
                </c:pt>
                <c:pt idx="4">
                  <c:v>0.19934685779825875</c:v>
                </c:pt>
                <c:pt idx="5">
                  <c:v>0.35096158482392814</c:v>
                </c:pt>
                <c:pt idx="6">
                  <c:v>0.52330452979612163</c:v>
                </c:pt>
                <c:pt idx="7">
                  <c:v>0.35951860573113742</c:v>
                </c:pt>
                <c:pt idx="8">
                  <c:v>0.33730053191489362</c:v>
                </c:pt>
                <c:pt idx="9">
                  <c:v>0.25109540018373749</c:v>
                </c:pt>
                <c:pt idx="10">
                  <c:v>0.19520228344558421</c:v>
                </c:pt>
                <c:pt idx="11">
                  <c:v>0.95</c:v>
                </c:pt>
                <c:pt idx="12">
                  <c:v>0.49571966369181386</c:v>
                </c:pt>
                <c:pt idx="13">
                  <c:v>0.30253725015208249</c:v>
                </c:pt>
                <c:pt idx="14">
                  <c:v>0.21947061982038396</c:v>
                </c:pt>
                <c:pt idx="15">
                  <c:v>0.45571013043478259</c:v>
                </c:pt>
                <c:pt idx="16">
                  <c:v>0.28821573987680765</c:v>
                </c:pt>
              </c:numCache>
            </c:numRef>
          </c:val>
          <c:extLst xmlns:c16r2="http://schemas.microsoft.com/office/drawing/2015/06/chart">
            <c:ext xmlns:c16="http://schemas.microsoft.com/office/drawing/2014/chart" uri="{C3380CC4-5D6E-409C-BE32-E72D297353CC}">
              <c16:uniqueId val="{00000001-1582-4CD1-B895-8BE5093A16DF}"/>
            </c:ext>
          </c:extLst>
        </c:ser>
        <c:ser>
          <c:idx val="2"/>
          <c:order val="2"/>
          <c:tx>
            <c:strRef>
              <c:f>'EJE SECRETARIAS'!$H$2</c:f>
              <c:strCache>
                <c:ptCount val="1"/>
                <c:pt idx="0">
                  <c:v>% RP</c:v>
                </c:pt>
              </c:strCache>
            </c:strRef>
          </c:tx>
          <c:spPr>
            <a:solidFill>
              <a:schemeClr val="accent3"/>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SECRETARIAS'!$H$3:$H$15,'EJE SECRETARIAS'!$H$18:$H$20,'EJE SECRETARIAS'!$H$23)</c:f>
              <c:numCache>
                <c:formatCode>0%</c:formatCode>
                <c:ptCount val="17"/>
                <c:pt idx="0">
                  <c:v>4.574864108054686E-2</c:v>
                </c:pt>
                <c:pt idx="1">
                  <c:v>0.30569160729746442</c:v>
                </c:pt>
                <c:pt idx="2">
                  <c:v>0.46617349677476572</c:v>
                </c:pt>
                <c:pt idx="3">
                  <c:v>9.5017443493365522E-2</c:v>
                </c:pt>
                <c:pt idx="4">
                  <c:v>0.15997292328008256</c:v>
                </c:pt>
                <c:pt idx="5">
                  <c:v>0.16480394105029919</c:v>
                </c:pt>
                <c:pt idx="6">
                  <c:v>0.3619520826764781</c:v>
                </c:pt>
                <c:pt idx="7">
                  <c:v>0.35951860573113742</c:v>
                </c:pt>
                <c:pt idx="8">
                  <c:v>0.32740691489361701</c:v>
                </c:pt>
                <c:pt idx="9">
                  <c:v>0.17753219084083777</c:v>
                </c:pt>
                <c:pt idx="10">
                  <c:v>0.1064774508161299</c:v>
                </c:pt>
                <c:pt idx="11">
                  <c:v>0.95</c:v>
                </c:pt>
                <c:pt idx="12">
                  <c:v>0.46707269442249943</c:v>
                </c:pt>
                <c:pt idx="13">
                  <c:v>0.30253725015208249</c:v>
                </c:pt>
                <c:pt idx="14">
                  <c:v>0.21947061982038396</c:v>
                </c:pt>
                <c:pt idx="15">
                  <c:v>0.45571013043478259</c:v>
                </c:pt>
                <c:pt idx="16">
                  <c:v>0.22100961909259276</c:v>
                </c:pt>
              </c:numCache>
            </c:numRef>
          </c:val>
          <c:extLst xmlns:c16r2="http://schemas.microsoft.com/office/drawing/2015/06/chart">
            <c:ext xmlns:c16="http://schemas.microsoft.com/office/drawing/2014/chart" uri="{C3380CC4-5D6E-409C-BE32-E72D297353CC}">
              <c16:uniqueId val="{00000002-1582-4CD1-B895-8BE5093A16DF}"/>
            </c:ext>
          </c:extLst>
        </c:ser>
        <c:ser>
          <c:idx val="3"/>
          <c:order val="3"/>
          <c:tx>
            <c:strRef>
              <c:f>'EJE SECRETARIAS'!$J$2</c:f>
              <c:strCache>
                <c:ptCount val="1"/>
                <c:pt idx="0">
                  <c:v>% OBLIG</c:v>
                </c:pt>
              </c:strCache>
            </c:strRef>
          </c:tx>
          <c:spPr>
            <a:solidFill>
              <a:schemeClr val="accent4"/>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SECRETARIAS'!$J$3:$J$15,'EJE SECRETARIAS'!$J$18:$J$20,'EJE SECRETARIAS'!$J$23)</c:f>
              <c:numCache>
                <c:formatCode>0%</c:formatCode>
                <c:ptCount val="17"/>
                <c:pt idx="0">
                  <c:v>0.16007777057679845</c:v>
                </c:pt>
                <c:pt idx="1">
                  <c:v>0.27232940605989731</c:v>
                </c:pt>
                <c:pt idx="2">
                  <c:v>0.17129726000035708</c:v>
                </c:pt>
                <c:pt idx="3">
                  <c:v>0.13233226885886296</c:v>
                </c:pt>
                <c:pt idx="4">
                  <c:v>0.27356682984245845</c:v>
                </c:pt>
                <c:pt idx="5">
                  <c:v>0.12132290419421451</c:v>
                </c:pt>
                <c:pt idx="6">
                  <c:v>0.17901656649992204</c:v>
                </c:pt>
                <c:pt idx="7">
                  <c:v>0.22116848383891391</c:v>
                </c:pt>
                <c:pt idx="8">
                  <c:v>0.25506681288331101</c:v>
                </c:pt>
                <c:pt idx="9">
                  <c:v>0.86126903632322283</c:v>
                </c:pt>
                <c:pt idx="10">
                  <c:v>0.25947857081261316</c:v>
                </c:pt>
                <c:pt idx="11">
                  <c:v>0.1111111111111111</c:v>
                </c:pt>
                <c:pt idx="12">
                  <c:v>8.0976659852683652E-2</c:v>
                </c:pt>
                <c:pt idx="13">
                  <c:v>0</c:v>
                </c:pt>
                <c:pt idx="14">
                  <c:v>0</c:v>
                </c:pt>
                <c:pt idx="15">
                  <c:v>0</c:v>
                </c:pt>
                <c:pt idx="16">
                  <c:v>0.46240073594584385</c:v>
                </c:pt>
              </c:numCache>
            </c:numRef>
          </c:val>
          <c:extLst xmlns:c16r2="http://schemas.microsoft.com/office/drawing/2015/06/chart">
            <c:ext xmlns:c16="http://schemas.microsoft.com/office/drawing/2014/chart" uri="{C3380CC4-5D6E-409C-BE32-E72D297353CC}">
              <c16:uniqueId val="{00000003-1582-4CD1-B895-8BE5093A16DF}"/>
            </c:ext>
          </c:extLst>
        </c:ser>
        <c:dLbls>
          <c:showLegendKey val="0"/>
          <c:showVal val="0"/>
          <c:showCatName val="0"/>
          <c:showSerName val="0"/>
          <c:showPercent val="0"/>
          <c:showBubbleSize val="0"/>
        </c:dLbls>
        <c:gapWidth val="150"/>
        <c:shape val="box"/>
        <c:axId val="254181416"/>
        <c:axId val="254181808"/>
        <c:axId val="0"/>
      </c:bar3DChart>
      <c:catAx>
        <c:axId val="254181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Unidades</a:t>
                </a:r>
                <a:r>
                  <a:rPr lang="es-CO" baseline="0"/>
                  <a:t> Ejecutoras</a:t>
                </a: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181808"/>
        <c:crosses val="autoZero"/>
        <c:auto val="1"/>
        <c:lblAlgn val="ctr"/>
        <c:lblOffset val="100"/>
        <c:noMultiLvlLbl val="0"/>
      </c:catAx>
      <c:valAx>
        <c:axId val="25418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1814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25249</xdr:colOff>
      <xdr:row>0</xdr:row>
      <xdr:rowOff>122465</xdr:rowOff>
    </xdr:from>
    <xdr:to>
      <xdr:col>1</xdr:col>
      <xdr:colOff>971055</xdr:colOff>
      <xdr:row>3</xdr:row>
      <xdr:rowOff>95250</xdr:rowOff>
    </xdr:to>
    <xdr:pic>
      <xdr:nvPicPr>
        <xdr:cNvPr id="2" name="Imagen 1" descr="C:\Users\AUXPLANEACION03\Desktop\Gobernacion_del_quindio.jp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392" y="122465"/>
          <a:ext cx="940858" cy="9116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442913</xdr:colOff>
      <xdr:row>25</xdr:row>
      <xdr:rowOff>150017</xdr:rowOff>
    </xdr:from>
    <xdr:to>
      <xdr:col>12</xdr:col>
      <xdr:colOff>57151</xdr:colOff>
      <xdr:row>47</xdr:row>
      <xdr:rowOff>102394</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8/SEGUIMIENTO%20I%20TRIMESTRE/SECRETARIAS/INFRAESTRUCTURA/SGTO%20INFRAESTRUCTURA%20MARZO%2031%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03/Downloads/SGTO%20I%20TRIMESTRE%202018%20TURIS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OBERNACION%20QUINDIO%202018/INSTRUMENTOS%202018/EJECUCIONES%202018/MARZO%202018/INFORME%20SEGUIMIENTO%20EDUCACI&#211;N%20MARZO%20(ABRIL%202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EGUIMIENTO%20I%20TRIMESTRE/SECRETARIAS/RECIBIDO%20METAS%20PRODUCTO%20SALUD%20MARZO%202018%2025%20a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Gastos"/>
      <sheetName val="Metas y Proyectos"/>
      <sheetName val="Plan de Acción"/>
      <sheetName val="Seguimiento Plan de Acción"/>
      <sheetName val="Inversión Mpios"/>
      <sheetName val="Gestión Recursos"/>
    </sheetNames>
    <sheetDataSet>
      <sheetData sheetId="0"/>
      <sheetData sheetId="1">
        <row r="15">
          <cell r="P15">
            <v>101057479</v>
          </cell>
          <cell r="Q15">
            <v>32893500</v>
          </cell>
        </row>
        <row r="16">
          <cell r="P16">
            <v>21836158</v>
          </cell>
        </row>
        <row r="26">
          <cell r="P26">
            <v>547870000</v>
          </cell>
          <cell r="Q26">
            <v>126670500</v>
          </cell>
        </row>
        <row r="27">
          <cell r="P27">
            <v>1685383425.5799999</v>
          </cell>
          <cell r="Q27">
            <v>47248321.789999999</v>
          </cell>
        </row>
        <row r="29">
          <cell r="P29">
            <v>228542681</v>
          </cell>
          <cell r="Q29">
            <v>71292500</v>
          </cell>
        </row>
        <row r="36">
          <cell r="P36">
            <v>119415183</v>
          </cell>
          <cell r="Q36">
            <v>35824555</v>
          </cell>
        </row>
        <row r="40">
          <cell r="P40">
            <v>12498399</v>
          </cell>
        </row>
        <row r="42">
          <cell r="P42">
            <v>159691948</v>
          </cell>
        </row>
        <row r="45">
          <cell r="P45">
            <v>47359624.649999999</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de Gastos"/>
      <sheetName val="Metas y Proyectos "/>
      <sheetName val="PLAN DE ACCION"/>
      <sheetName val="SEGUIMIENTO PLAN DE ACCION"/>
      <sheetName val="Inversión Mpios"/>
      <sheetName val="Gestión Recursos"/>
    </sheetNames>
    <sheetDataSet>
      <sheetData sheetId="0"/>
      <sheetData sheetId="1">
        <row r="29">
          <cell r="P29">
            <v>91160000</v>
          </cell>
        </row>
        <row r="30">
          <cell r="P30">
            <v>39680000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Ejecución Gastos"/>
      <sheetName val="PLAN DE ACCION"/>
      <sheetName val="Seguimiento Plan de Acción"/>
      <sheetName val="Inversión Mpios"/>
      <sheetName val="Gestión Recursos"/>
    </sheetNames>
    <sheetDataSet>
      <sheetData sheetId="0">
        <row r="33">
          <cell r="P33">
            <v>18538036970</v>
          </cell>
          <cell r="Q33">
            <v>17947806100</v>
          </cell>
        </row>
        <row r="34">
          <cell r="Q34">
            <v>2669120634</v>
          </cell>
        </row>
        <row r="37">
          <cell r="P37">
            <v>2440697052</v>
          </cell>
          <cell r="Q37">
            <v>2436697052</v>
          </cell>
        </row>
        <row r="38">
          <cell r="Q38">
            <v>367582379</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ud"/>
      <sheetName val="Proyectos"/>
    </sheetNames>
    <sheetDataSet>
      <sheetData sheetId="0">
        <row r="15">
          <cell r="O15">
            <v>65000000</v>
          </cell>
        </row>
        <row r="82">
          <cell r="P82">
            <v>273600000</v>
          </cell>
          <cell r="Q82">
            <v>89200000</v>
          </cell>
        </row>
        <row r="84">
          <cell r="P84">
            <v>23755000</v>
          </cell>
        </row>
        <row r="106">
          <cell r="P106">
            <v>2510000000</v>
          </cell>
        </row>
        <row r="108">
          <cell r="P108">
            <v>2263326700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U1354"/>
  <sheetViews>
    <sheetView showGridLines="0" tabSelected="1" topLeftCell="BB1" zoomScale="50" zoomScaleNormal="50" workbookViewId="0">
      <selection activeCell="BE14" sqref="BE14"/>
    </sheetView>
  </sheetViews>
  <sheetFormatPr baseColWidth="10" defaultColWidth="11.42578125" defaultRowHeight="15" x14ac:dyDescent="0.2"/>
  <cols>
    <col min="1" max="1" width="20.42578125" style="20" customWidth="1"/>
    <col min="2" max="2" width="21.7109375" style="20" customWidth="1"/>
    <col min="3" max="3" width="7.140625" style="483" customWidth="1"/>
    <col min="4" max="4" width="36.5703125" style="20" customWidth="1"/>
    <col min="5" max="5" width="16.5703125" style="20" customWidth="1"/>
    <col min="6" max="6" width="20.5703125" style="20" customWidth="1"/>
    <col min="7" max="7" width="21.28515625" style="20" customWidth="1"/>
    <col min="8" max="8" width="7" style="483" customWidth="1"/>
    <col min="9" max="9" width="36.42578125" style="20" customWidth="1"/>
    <col min="10" max="10" width="9.85546875" style="20" customWidth="1"/>
    <col min="11" max="12" width="13.42578125" style="20" customWidth="1"/>
    <col min="13" max="13" width="24.42578125" style="20" customWidth="1"/>
    <col min="14" max="14" width="25.85546875" style="20" customWidth="1"/>
    <col min="15" max="15" width="27.42578125" style="507" customWidth="1"/>
    <col min="16" max="16" width="30.42578125" style="20" customWidth="1"/>
    <col min="17" max="17" width="14.28515625" style="483" customWidth="1"/>
    <col min="18" max="20" width="32" style="20" customWidth="1"/>
    <col min="21" max="23" width="32" style="21" customWidth="1"/>
    <col min="24" max="50" width="32" style="20" customWidth="1"/>
    <col min="51" max="56" width="32" style="15" customWidth="1"/>
    <col min="57" max="62" width="32" style="20" customWidth="1"/>
    <col min="63" max="65" width="32" style="22" customWidth="1"/>
    <col min="66" max="68" width="32" style="23" customWidth="1"/>
    <col min="69" max="74" width="32" style="20" customWidth="1"/>
    <col min="75" max="77" width="32" style="21" customWidth="1"/>
    <col min="78" max="80" width="32" style="20" customWidth="1"/>
    <col min="81" max="88" width="11.42578125" style="459"/>
    <col min="89" max="16384" width="11.42578125" style="20"/>
  </cols>
  <sheetData>
    <row r="1" spans="1:88" ht="30" customHeight="1" x14ac:dyDescent="0.2">
      <c r="A1" s="949" t="s">
        <v>955</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c r="AZ1" s="950"/>
      <c r="BA1" s="950"/>
      <c r="BB1" s="950"/>
      <c r="BC1" s="950"/>
      <c r="BD1" s="950"/>
      <c r="BE1" s="950"/>
      <c r="BF1" s="950"/>
      <c r="BG1" s="950"/>
      <c r="BH1" s="950"/>
      <c r="BI1" s="950"/>
      <c r="BJ1" s="950"/>
      <c r="BK1" s="950"/>
      <c r="BL1" s="950"/>
      <c r="BM1" s="950"/>
      <c r="BN1" s="950"/>
      <c r="BO1" s="950"/>
      <c r="BP1" s="950"/>
      <c r="BQ1" s="950"/>
      <c r="BR1" s="950"/>
      <c r="BS1" s="950"/>
      <c r="BT1" s="950"/>
      <c r="BU1" s="950"/>
      <c r="BV1" s="950"/>
      <c r="BW1" s="950"/>
      <c r="BX1" s="950"/>
      <c r="BY1" s="950"/>
      <c r="BZ1" s="951"/>
      <c r="CA1" s="31" t="s">
        <v>0</v>
      </c>
      <c r="CB1" s="31" t="s">
        <v>907</v>
      </c>
      <c r="CC1" s="20"/>
      <c r="CD1" s="20"/>
      <c r="CE1" s="20"/>
      <c r="CF1" s="20"/>
      <c r="CG1" s="20"/>
      <c r="CH1" s="20"/>
      <c r="CI1" s="20"/>
      <c r="CJ1" s="20"/>
    </row>
    <row r="2" spans="1:88" ht="20.25" customHeight="1" x14ac:dyDescent="0.2">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1"/>
      <c r="CA2" s="32" t="s">
        <v>1</v>
      </c>
      <c r="CB2" s="33">
        <v>1</v>
      </c>
      <c r="CC2" s="20"/>
      <c r="CD2" s="20"/>
      <c r="CE2" s="20"/>
      <c r="CF2" s="20"/>
      <c r="CG2" s="20"/>
      <c r="CH2" s="20"/>
      <c r="CI2" s="20"/>
      <c r="CJ2" s="20"/>
    </row>
    <row r="3" spans="1:88" s="456" customFormat="1" ht="24" customHeight="1" x14ac:dyDescent="0.2">
      <c r="A3" s="950" t="s">
        <v>913</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1"/>
      <c r="CA3" s="31" t="s">
        <v>2</v>
      </c>
      <c r="CB3" s="34" t="s">
        <v>3</v>
      </c>
    </row>
    <row r="4" spans="1:88" s="456" customFormat="1" ht="21.75" customHeight="1" x14ac:dyDescent="0.2">
      <c r="A4" s="24"/>
      <c r="B4" s="24"/>
      <c r="C4" s="24"/>
      <c r="D4" s="24"/>
      <c r="E4" s="24"/>
      <c r="F4" s="24"/>
      <c r="G4" s="24"/>
      <c r="H4" s="24"/>
      <c r="I4" s="24"/>
      <c r="J4" s="24"/>
      <c r="K4" s="24"/>
      <c r="L4" s="24"/>
      <c r="M4" s="24"/>
      <c r="N4" s="24"/>
      <c r="O4" s="8"/>
      <c r="P4" s="24"/>
      <c r="Q4" s="24"/>
      <c r="R4" s="24"/>
      <c r="S4" s="24"/>
      <c r="T4" s="24"/>
      <c r="U4" s="25"/>
      <c r="V4" s="25"/>
      <c r="W4" s="25"/>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457"/>
      <c r="BX4" s="26"/>
      <c r="BY4" s="26"/>
      <c r="BZ4" s="458"/>
      <c r="CA4" s="31" t="s">
        <v>4</v>
      </c>
      <c r="CB4" s="35" t="s">
        <v>5</v>
      </c>
    </row>
    <row r="5" spans="1:88" s="1" customFormat="1" ht="41.25" customHeight="1" x14ac:dyDescent="0.25">
      <c r="A5" s="935" t="s">
        <v>6</v>
      </c>
      <c r="B5" s="872" t="s">
        <v>7</v>
      </c>
      <c r="C5" s="872" t="s">
        <v>8</v>
      </c>
      <c r="D5" s="872"/>
      <c r="E5" s="872" t="s">
        <v>9</v>
      </c>
      <c r="F5" s="872" t="s">
        <v>10</v>
      </c>
      <c r="G5" s="872" t="s">
        <v>11</v>
      </c>
      <c r="H5" s="955" t="s">
        <v>12</v>
      </c>
      <c r="I5" s="955"/>
      <c r="J5" s="871" t="s">
        <v>9</v>
      </c>
      <c r="K5" s="939" t="s">
        <v>13</v>
      </c>
      <c r="L5" s="940"/>
      <c r="M5" s="871" t="s">
        <v>14</v>
      </c>
      <c r="N5" s="871" t="s">
        <v>15</v>
      </c>
      <c r="O5" s="872" t="s">
        <v>16</v>
      </c>
      <c r="P5" s="872" t="s">
        <v>17</v>
      </c>
      <c r="Q5" s="872" t="s">
        <v>18</v>
      </c>
      <c r="R5" s="862" t="s">
        <v>19</v>
      </c>
      <c r="S5" s="863"/>
      <c r="T5" s="864"/>
      <c r="U5" s="859" t="s">
        <v>20</v>
      </c>
      <c r="V5" s="860"/>
      <c r="W5" s="861"/>
      <c r="X5" s="862" t="s">
        <v>21</v>
      </c>
      <c r="Y5" s="863"/>
      <c r="Z5" s="864"/>
      <c r="AA5" s="862" t="s">
        <v>873</v>
      </c>
      <c r="AB5" s="863"/>
      <c r="AC5" s="864"/>
      <c r="AD5" s="862" t="s">
        <v>22</v>
      </c>
      <c r="AE5" s="863"/>
      <c r="AF5" s="864"/>
      <c r="AG5" s="862" t="s">
        <v>23</v>
      </c>
      <c r="AH5" s="863"/>
      <c r="AI5" s="864"/>
      <c r="AJ5" s="862" t="s">
        <v>24</v>
      </c>
      <c r="AK5" s="863"/>
      <c r="AL5" s="864"/>
      <c r="AM5" s="862" t="s">
        <v>25</v>
      </c>
      <c r="AN5" s="863"/>
      <c r="AO5" s="864"/>
      <c r="AP5" s="862" t="s">
        <v>26</v>
      </c>
      <c r="AQ5" s="863"/>
      <c r="AR5" s="864"/>
      <c r="AS5" s="862" t="s">
        <v>27</v>
      </c>
      <c r="AT5" s="863"/>
      <c r="AU5" s="864"/>
      <c r="AV5" s="862" t="s">
        <v>28</v>
      </c>
      <c r="AW5" s="863"/>
      <c r="AX5" s="864"/>
      <c r="AY5" s="862" t="s">
        <v>946</v>
      </c>
      <c r="AZ5" s="863"/>
      <c r="BA5" s="864"/>
      <c r="BB5" s="859" t="s">
        <v>29</v>
      </c>
      <c r="BC5" s="860"/>
      <c r="BD5" s="861"/>
      <c r="BE5" s="859" t="s">
        <v>30</v>
      </c>
      <c r="BF5" s="860"/>
      <c r="BG5" s="861"/>
      <c r="BH5" s="862" t="s">
        <v>31</v>
      </c>
      <c r="BI5" s="863"/>
      <c r="BJ5" s="864"/>
      <c r="BK5" s="865" t="s">
        <v>32</v>
      </c>
      <c r="BL5" s="866"/>
      <c r="BM5" s="867"/>
      <c r="BN5" s="862" t="s">
        <v>33</v>
      </c>
      <c r="BO5" s="863"/>
      <c r="BP5" s="864"/>
      <c r="BQ5" s="859" t="s">
        <v>874</v>
      </c>
      <c r="BR5" s="860"/>
      <c r="BS5" s="861"/>
      <c r="BT5" s="859" t="s">
        <v>34</v>
      </c>
      <c r="BU5" s="860"/>
      <c r="BV5" s="861"/>
      <c r="BW5" s="952" t="s">
        <v>35</v>
      </c>
      <c r="BX5" s="953"/>
      <c r="BY5" s="954"/>
      <c r="BZ5" s="859" t="s">
        <v>36</v>
      </c>
      <c r="CA5" s="860"/>
      <c r="CB5" s="861"/>
    </row>
    <row r="6" spans="1:88" s="1" customFormat="1" ht="33" customHeight="1" x14ac:dyDescent="0.25">
      <c r="A6" s="935"/>
      <c r="B6" s="872"/>
      <c r="C6" s="872"/>
      <c r="D6" s="872"/>
      <c r="E6" s="872"/>
      <c r="F6" s="872"/>
      <c r="G6" s="872"/>
      <c r="H6" s="955"/>
      <c r="I6" s="955"/>
      <c r="J6" s="871"/>
      <c r="K6" s="37" t="s">
        <v>910</v>
      </c>
      <c r="L6" s="38" t="s">
        <v>908</v>
      </c>
      <c r="M6" s="871"/>
      <c r="N6" s="871"/>
      <c r="O6" s="872"/>
      <c r="P6" s="872"/>
      <c r="Q6" s="872"/>
      <c r="R6" s="39" t="s">
        <v>909</v>
      </c>
      <c r="S6" s="40" t="s">
        <v>911</v>
      </c>
      <c r="T6" s="40" t="s">
        <v>912</v>
      </c>
      <c r="U6" s="39" t="s">
        <v>909</v>
      </c>
      <c r="V6" s="40" t="s">
        <v>911</v>
      </c>
      <c r="W6" s="40" t="s">
        <v>912</v>
      </c>
      <c r="X6" s="39" t="s">
        <v>909</v>
      </c>
      <c r="Y6" s="40" t="s">
        <v>911</v>
      </c>
      <c r="Z6" s="40" t="s">
        <v>912</v>
      </c>
      <c r="AA6" s="39" t="s">
        <v>909</v>
      </c>
      <c r="AB6" s="40" t="s">
        <v>911</v>
      </c>
      <c r="AC6" s="40" t="s">
        <v>912</v>
      </c>
      <c r="AD6" s="39" t="s">
        <v>909</v>
      </c>
      <c r="AE6" s="40" t="s">
        <v>911</v>
      </c>
      <c r="AF6" s="40" t="s">
        <v>912</v>
      </c>
      <c r="AG6" s="39" t="s">
        <v>909</v>
      </c>
      <c r="AH6" s="40" t="s">
        <v>911</v>
      </c>
      <c r="AI6" s="40" t="s">
        <v>912</v>
      </c>
      <c r="AJ6" s="39" t="s">
        <v>909</v>
      </c>
      <c r="AK6" s="40" t="s">
        <v>911</v>
      </c>
      <c r="AL6" s="40" t="s">
        <v>912</v>
      </c>
      <c r="AM6" s="39" t="s">
        <v>909</v>
      </c>
      <c r="AN6" s="40" t="s">
        <v>911</v>
      </c>
      <c r="AO6" s="40" t="s">
        <v>912</v>
      </c>
      <c r="AP6" s="39" t="s">
        <v>909</v>
      </c>
      <c r="AQ6" s="40" t="s">
        <v>911</v>
      </c>
      <c r="AR6" s="40" t="s">
        <v>912</v>
      </c>
      <c r="AS6" s="39" t="s">
        <v>909</v>
      </c>
      <c r="AT6" s="40" t="s">
        <v>911</v>
      </c>
      <c r="AU6" s="40" t="s">
        <v>912</v>
      </c>
      <c r="AV6" s="39" t="s">
        <v>909</v>
      </c>
      <c r="AW6" s="40" t="s">
        <v>911</v>
      </c>
      <c r="AX6" s="40" t="s">
        <v>912</v>
      </c>
      <c r="AY6" s="39" t="s">
        <v>909</v>
      </c>
      <c r="AZ6" s="40" t="s">
        <v>911</v>
      </c>
      <c r="BA6" s="40" t="s">
        <v>912</v>
      </c>
      <c r="BB6" s="39" t="s">
        <v>909</v>
      </c>
      <c r="BC6" s="40" t="s">
        <v>911</v>
      </c>
      <c r="BD6" s="40" t="s">
        <v>912</v>
      </c>
      <c r="BE6" s="39" t="s">
        <v>909</v>
      </c>
      <c r="BF6" s="40" t="s">
        <v>911</v>
      </c>
      <c r="BG6" s="40" t="s">
        <v>912</v>
      </c>
      <c r="BH6" s="39" t="s">
        <v>909</v>
      </c>
      <c r="BI6" s="40" t="s">
        <v>911</v>
      </c>
      <c r="BJ6" s="40" t="s">
        <v>912</v>
      </c>
      <c r="BK6" s="39" t="s">
        <v>909</v>
      </c>
      <c r="BL6" s="40" t="s">
        <v>911</v>
      </c>
      <c r="BM6" s="40" t="s">
        <v>912</v>
      </c>
      <c r="BN6" s="39" t="s">
        <v>909</v>
      </c>
      <c r="BO6" s="40" t="s">
        <v>911</v>
      </c>
      <c r="BP6" s="40" t="s">
        <v>912</v>
      </c>
      <c r="BQ6" s="39" t="s">
        <v>909</v>
      </c>
      <c r="BR6" s="40" t="s">
        <v>911</v>
      </c>
      <c r="BS6" s="40" t="s">
        <v>912</v>
      </c>
      <c r="BT6" s="39" t="s">
        <v>909</v>
      </c>
      <c r="BU6" s="40" t="s">
        <v>911</v>
      </c>
      <c r="BV6" s="40" t="s">
        <v>912</v>
      </c>
      <c r="BW6" s="39" t="s">
        <v>909</v>
      </c>
      <c r="BX6" s="40" t="s">
        <v>911</v>
      </c>
      <c r="BY6" s="40" t="s">
        <v>912</v>
      </c>
      <c r="BZ6" s="39" t="s">
        <v>909</v>
      </c>
      <c r="CA6" s="40" t="s">
        <v>911</v>
      </c>
      <c r="CB6" s="40" t="s">
        <v>912</v>
      </c>
    </row>
    <row r="7" spans="1:88" s="2" customFormat="1" ht="24.75" customHeight="1" x14ac:dyDescent="0.25">
      <c r="A7" s="41" t="s">
        <v>37</v>
      </c>
      <c r="B7" s="42"/>
      <c r="C7" s="43"/>
      <c r="D7" s="42"/>
      <c r="E7" s="42"/>
      <c r="F7" s="42"/>
      <c r="G7" s="42"/>
      <c r="H7" s="43"/>
      <c r="I7" s="42"/>
      <c r="J7" s="42"/>
      <c r="K7" s="42"/>
      <c r="L7" s="42"/>
      <c r="M7" s="42"/>
      <c r="N7" s="42"/>
      <c r="O7" s="43"/>
      <c r="P7" s="42"/>
      <c r="Q7" s="43"/>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8"/>
      <c r="BA7" s="618"/>
      <c r="BB7" s="618"/>
      <c r="BC7" s="618"/>
      <c r="BD7" s="618"/>
      <c r="BE7" s="618"/>
      <c r="BF7" s="618"/>
      <c r="BG7" s="618"/>
      <c r="BH7" s="618"/>
      <c r="BI7" s="618"/>
      <c r="BJ7" s="618"/>
      <c r="BK7" s="618"/>
      <c r="BL7" s="618"/>
      <c r="BM7" s="618"/>
      <c r="BN7" s="618"/>
      <c r="BO7" s="618"/>
      <c r="BP7" s="618"/>
      <c r="BQ7" s="618"/>
      <c r="BR7" s="618"/>
      <c r="BS7" s="618"/>
      <c r="BT7" s="618"/>
      <c r="BU7" s="618"/>
      <c r="BV7" s="618"/>
      <c r="BW7" s="618"/>
      <c r="BX7" s="618"/>
      <c r="BY7" s="618"/>
      <c r="BZ7" s="620"/>
      <c r="CA7" s="620"/>
      <c r="CB7" s="620"/>
    </row>
    <row r="8" spans="1:88" s="2" customFormat="1" ht="26.25" customHeight="1" x14ac:dyDescent="0.25">
      <c r="A8" s="44">
        <v>5</v>
      </c>
      <c r="B8" s="45" t="s">
        <v>38</v>
      </c>
      <c r="C8" s="46"/>
      <c r="D8" s="45"/>
      <c r="E8" s="45"/>
      <c r="F8" s="45"/>
      <c r="G8" s="45"/>
      <c r="H8" s="46"/>
      <c r="I8" s="45"/>
      <c r="J8" s="45"/>
      <c r="K8" s="45"/>
      <c r="L8" s="45"/>
      <c r="M8" s="45"/>
      <c r="N8" s="45"/>
      <c r="O8" s="46"/>
      <c r="P8" s="45"/>
      <c r="Q8" s="45"/>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4"/>
      <c r="CA8" s="574"/>
      <c r="CB8" s="574"/>
    </row>
    <row r="9" spans="1:88" s="2" customFormat="1" ht="21.75" customHeight="1" x14ac:dyDescent="0.25">
      <c r="A9" s="47"/>
      <c r="B9" s="48">
        <v>28</v>
      </c>
      <c r="C9" s="49" t="s">
        <v>39</v>
      </c>
      <c r="D9" s="50"/>
      <c r="E9" s="50"/>
      <c r="F9" s="50"/>
      <c r="G9" s="50"/>
      <c r="H9" s="51"/>
      <c r="I9" s="50"/>
      <c r="J9" s="50"/>
      <c r="K9" s="50"/>
      <c r="L9" s="50"/>
      <c r="M9" s="50"/>
      <c r="N9" s="50"/>
      <c r="O9" s="51"/>
      <c r="P9" s="50"/>
      <c r="Q9" s="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5"/>
      <c r="CA9" s="555"/>
      <c r="CB9" s="555"/>
    </row>
    <row r="10" spans="1:88" s="2" customFormat="1" ht="25.5" customHeight="1" x14ac:dyDescent="0.25">
      <c r="A10" s="52"/>
      <c r="B10" s="682"/>
      <c r="C10" s="484"/>
      <c r="D10" s="484"/>
      <c r="E10" s="484"/>
      <c r="F10" s="484"/>
      <c r="G10" s="681">
        <v>89</v>
      </c>
      <c r="H10" s="101" t="s">
        <v>40</v>
      </c>
      <c r="I10" s="101"/>
      <c r="J10" s="101"/>
      <c r="K10" s="101"/>
      <c r="L10" s="101"/>
      <c r="M10" s="101"/>
      <c r="N10" s="101"/>
      <c r="O10" s="101"/>
      <c r="P10" s="101"/>
      <c r="Q10" s="101"/>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row>
    <row r="11" spans="1:88" s="11" customFormat="1" ht="90.75" customHeight="1" x14ac:dyDescent="0.2">
      <c r="A11" s="52"/>
      <c r="B11" s="256"/>
      <c r="C11" s="510" t="s">
        <v>989</v>
      </c>
      <c r="D11" s="518" t="s">
        <v>914</v>
      </c>
      <c r="E11" s="510">
        <v>0</v>
      </c>
      <c r="F11" s="510">
        <v>2</v>
      </c>
      <c r="G11" s="58"/>
      <c r="H11" s="508">
        <v>282</v>
      </c>
      <c r="I11" s="56" t="s">
        <v>41</v>
      </c>
      <c r="J11" s="59" t="s">
        <v>42</v>
      </c>
      <c r="K11" s="60">
        <v>2</v>
      </c>
      <c r="L11" s="60">
        <v>0</v>
      </c>
      <c r="M11" s="61">
        <f>'[1]ENERO 2018 (2)'!N10</f>
        <v>2017003630112</v>
      </c>
      <c r="N11" s="62" t="s">
        <v>43</v>
      </c>
      <c r="O11" s="501" t="s">
        <v>44</v>
      </c>
      <c r="P11" s="56" t="s">
        <v>45</v>
      </c>
      <c r="Q11" s="57" t="s">
        <v>46</v>
      </c>
      <c r="R11" s="539">
        <v>0</v>
      </c>
      <c r="S11" s="539"/>
      <c r="T11" s="539"/>
      <c r="U11" s="539">
        <v>0</v>
      </c>
      <c r="V11" s="539"/>
      <c r="W11" s="539"/>
      <c r="X11" s="539">
        <v>0</v>
      </c>
      <c r="Y11" s="539"/>
      <c r="Z11" s="539"/>
      <c r="AA11" s="539">
        <v>0</v>
      </c>
      <c r="AB11" s="539"/>
      <c r="AC11" s="539"/>
      <c r="AD11" s="539">
        <v>0</v>
      </c>
      <c r="AE11" s="539"/>
      <c r="AF11" s="539"/>
      <c r="AG11" s="539">
        <v>0</v>
      </c>
      <c r="AH11" s="539"/>
      <c r="AI11" s="539"/>
      <c r="AJ11" s="539">
        <v>0</v>
      </c>
      <c r="AK11" s="539"/>
      <c r="AL11" s="539"/>
      <c r="AM11" s="539"/>
      <c r="AN11" s="539"/>
      <c r="AO11" s="539"/>
      <c r="AP11" s="539"/>
      <c r="AQ11" s="539"/>
      <c r="AR11" s="539"/>
      <c r="AS11" s="539">
        <v>0</v>
      </c>
      <c r="AT11" s="539"/>
      <c r="AU11" s="539"/>
      <c r="AV11" s="539">
        <v>0</v>
      </c>
      <c r="AW11" s="539"/>
      <c r="AX11" s="539"/>
      <c r="AY11" s="539"/>
      <c r="AZ11" s="539"/>
      <c r="BA11" s="539"/>
      <c r="BB11" s="539"/>
      <c r="BC11" s="539"/>
      <c r="BD11" s="539"/>
      <c r="BE11" s="539">
        <v>0</v>
      </c>
      <c r="BF11" s="539"/>
      <c r="BG11" s="539"/>
      <c r="BH11" s="539">
        <v>0</v>
      </c>
      <c r="BI11" s="539"/>
      <c r="BJ11" s="539"/>
      <c r="BK11" s="63">
        <f>80000000+30000000</f>
        <v>110000000</v>
      </c>
      <c r="BL11" s="63">
        <v>75000000</v>
      </c>
      <c r="BM11" s="63"/>
      <c r="BN11" s="540"/>
      <c r="BO11" s="540"/>
      <c r="BP11" s="540"/>
      <c r="BQ11" s="539">
        <v>0</v>
      </c>
      <c r="BR11" s="541"/>
      <c r="BS11" s="541"/>
      <c r="BT11" s="541"/>
      <c r="BU11" s="541"/>
      <c r="BV11" s="541"/>
      <c r="BW11" s="541">
        <v>0</v>
      </c>
      <c r="BX11" s="541"/>
      <c r="BY11" s="541"/>
      <c r="BZ11" s="539">
        <f t="shared" ref="BZ11:BZ19" si="0">R11+U11+X11+AA11+AD11+AG11+AJ11+AM11+AP11+AS11+AV11+AY11+BB11+BE11+BH11+BK11+BN11+BQ11+BT11+BW11</f>
        <v>110000000</v>
      </c>
      <c r="CA11" s="539">
        <f t="shared" ref="CA11:CA19" si="1">S11+V11+Y11+AB11+AE11+AH11+AK11+AN11+AQ11+AT11+AW11+AZ11+BC11+BF11+BI11+BL11+BO11+BR11+BU11+BX11</f>
        <v>75000000</v>
      </c>
      <c r="CB11" s="539">
        <f t="shared" ref="CB11:CB19" si="2">T11+W11+Z11+AC11+AF11+AI11+AL11+AO11+AR11+AU11+AX11+BA11+BD11+BG11+BJ11+BM11+BP11+BS11+BV11+BY11</f>
        <v>0</v>
      </c>
    </row>
    <row r="12" spans="1:88" s="11" customFormat="1" ht="106.5" customHeight="1" x14ac:dyDescent="0.2">
      <c r="A12" s="52"/>
      <c r="B12" s="54"/>
      <c r="C12" s="531" t="s">
        <v>989</v>
      </c>
      <c r="D12" s="534" t="s">
        <v>47</v>
      </c>
      <c r="E12" s="538"/>
      <c r="F12" s="538"/>
      <c r="G12" s="64"/>
      <c r="H12" s="538">
        <v>283</v>
      </c>
      <c r="I12" s="56" t="s">
        <v>48</v>
      </c>
      <c r="J12" s="59" t="s">
        <v>42</v>
      </c>
      <c r="K12" s="60">
        <v>1</v>
      </c>
      <c r="L12" s="60">
        <v>0</v>
      </c>
      <c r="M12" s="61">
        <f>'[1]ENERO 2018 (2)'!N11</f>
        <v>2017003630114</v>
      </c>
      <c r="N12" s="62" t="s">
        <v>43</v>
      </c>
      <c r="O12" s="65" t="s">
        <v>49</v>
      </c>
      <c r="P12" s="56" t="s">
        <v>50</v>
      </c>
      <c r="Q12" s="57" t="s">
        <v>51</v>
      </c>
      <c r="R12" s="539">
        <v>0</v>
      </c>
      <c r="S12" s="539"/>
      <c r="T12" s="539"/>
      <c r="U12" s="539">
        <v>0</v>
      </c>
      <c r="V12" s="539"/>
      <c r="W12" s="539"/>
      <c r="X12" s="539">
        <v>0</v>
      </c>
      <c r="Y12" s="539"/>
      <c r="Z12" s="539"/>
      <c r="AA12" s="539">
        <v>0</v>
      </c>
      <c r="AB12" s="539"/>
      <c r="AC12" s="539"/>
      <c r="AD12" s="539">
        <v>0</v>
      </c>
      <c r="AE12" s="539"/>
      <c r="AF12" s="539"/>
      <c r="AG12" s="539">
        <v>0</v>
      </c>
      <c r="AH12" s="539"/>
      <c r="AI12" s="539"/>
      <c r="AJ12" s="539">
        <v>0</v>
      </c>
      <c r="AK12" s="539"/>
      <c r="AL12" s="539"/>
      <c r="AM12" s="539"/>
      <c r="AN12" s="539"/>
      <c r="AO12" s="539"/>
      <c r="AP12" s="539"/>
      <c r="AQ12" s="539"/>
      <c r="AR12" s="539"/>
      <c r="AS12" s="539">
        <v>0</v>
      </c>
      <c r="AT12" s="539"/>
      <c r="AU12" s="539"/>
      <c r="AV12" s="539">
        <v>0</v>
      </c>
      <c r="AW12" s="539"/>
      <c r="AX12" s="539"/>
      <c r="AY12" s="539"/>
      <c r="AZ12" s="539"/>
      <c r="BA12" s="539"/>
      <c r="BB12" s="539"/>
      <c r="BC12" s="539"/>
      <c r="BD12" s="539"/>
      <c r="BE12" s="539">
        <v>0</v>
      </c>
      <c r="BF12" s="539"/>
      <c r="BG12" s="539"/>
      <c r="BH12" s="539">
        <v>0</v>
      </c>
      <c r="BI12" s="539"/>
      <c r="BJ12" s="539"/>
      <c r="BK12" s="63">
        <f>35000000+50000000</f>
        <v>85000000</v>
      </c>
      <c r="BL12" s="63"/>
      <c r="BM12" s="63"/>
      <c r="BN12" s="540"/>
      <c r="BO12" s="540"/>
      <c r="BP12" s="540"/>
      <c r="BQ12" s="539">
        <v>0</v>
      </c>
      <c r="BR12" s="541"/>
      <c r="BS12" s="541"/>
      <c r="BT12" s="541"/>
      <c r="BU12" s="541"/>
      <c r="BV12" s="541"/>
      <c r="BW12" s="541">
        <v>0</v>
      </c>
      <c r="BX12" s="541"/>
      <c r="BY12" s="541"/>
      <c r="BZ12" s="539">
        <f t="shared" si="0"/>
        <v>85000000</v>
      </c>
      <c r="CA12" s="539">
        <f t="shared" si="1"/>
        <v>0</v>
      </c>
      <c r="CB12" s="539">
        <f t="shared" si="2"/>
        <v>0</v>
      </c>
    </row>
    <row r="13" spans="1:88" s="11" customFormat="1" ht="90" customHeight="1" x14ac:dyDescent="0.2">
      <c r="A13" s="52"/>
      <c r="B13" s="54"/>
      <c r="C13" s="531">
        <v>38</v>
      </c>
      <c r="D13" s="534" t="s">
        <v>52</v>
      </c>
      <c r="E13" s="538"/>
      <c r="F13" s="538"/>
      <c r="G13" s="64"/>
      <c r="H13" s="538">
        <v>284</v>
      </c>
      <c r="I13" s="56" t="s">
        <v>53</v>
      </c>
      <c r="J13" s="59">
        <v>1</v>
      </c>
      <c r="K13" s="60">
        <v>1</v>
      </c>
      <c r="L13" s="60">
        <v>0</v>
      </c>
      <c r="M13" s="61">
        <f>'[1]ENERO 2018 (2)'!N12</f>
        <v>2017003630116</v>
      </c>
      <c r="N13" s="62" t="s">
        <v>43</v>
      </c>
      <c r="O13" s="65" t="s">
        <v>54</v>
      </c>
      <c r="P13" s="56" t="s">
        <v>55</v>
      </c>
      <c r="Q13" s="57" t="s">
        <v>51</v>
      </c>
      <c r="R13" s="539">
        <v>0</v>
      </c>
      <c r="S13" s="539"/>
      <c r="T13" s="539"/>
      <c r="U13" s="539">
        <v>0</v>
      </c>
      <c r="V13" s="539"/>
      <c r="W13" s="539"/>
      <c r="X13" s="539">
        <v>0</v>
      </c>
      <c r="Y13" s="539"/>
      <c r="Z13" s="539"/>
      <c r="AA13" s="539">
        <v>0</v>
      </c>
      <c r="AB13" s="539"/>
      <c r="AC13" s="539"/>
      <c r="AD13" s="539">
        <v>0</v>
      </c>
      <c r="AE13" s="539"/>
      <c r="AF13" s="539"/>
      <c r="AG13" s="539">
        <v>0</v>
      </c>
      <c r="AH13" s="539"/>
      <c r="AI13" s="539"/>
      <c r="AJ13" s="539">
        <v>0</v>
      </c>
      <c r="AK13" s="539"/>
      <c r="AL13" s="539"/>
      <c r="AM13" s="539"/>
      <c r="AN13" s="539"/>
      <c r="AO13" s="539"/>
      <c r="AP13" s="539"/>
      <c r="AQ13" s="539"/>
      <c r="AR13" s="539"/>
      <c r="AS13" s="539">
        <v>0</v>
      </c>
      <c r="AT13" s="539"/>
      <c r="AU13" s="539"/>
      <c r="AV13" s="539">
        <v>0</v>
      </c>
      <c r="AW13" s="539"/>
      <c r="AX13" s="539"/>
      <c r="AY13" s="539"/>
      <c r="AZ13" s="539"/>
      <c r="BA13" s="539"/>
      <c r="BB13" s="539"/>
      <c r="BC13" s="539"/>
      <c r="BD13" s="539"/>
      <c r="BE13" s="539">
        <v>0</v>
      </c>
      <c r="BF13" s="539"/>
      <c r="BG13" s="539"/>
      <c r="BH13" s="539">
        <v>0</v>
      </c>
      <c r="BI13" s="539"/>
      <c r="BJ13" s="539"/>
      <c r="BK13" s="63">
        <f>83000000+90000000</f>
        <v>173000000</v>
      </c>
      <c r="BL13" s="63"/>
      <c r="BM13" s="63"/>
      <c r="BN13" s="540"/>
      <c r="BO13" s="540"/>
      <c r="BP13" s="540"/>
      <c r="BQ13" s="539">
        <v>0</v>
      </c>
      <c r="BR13" s="541"/>
      <c r="BS13" s="541"/>
      <c r="BT13" s="541"/>
      <c r="BU13" s="541"/>
      <c r="BV13" s="541"/>
      <c r="BW13" s="541">
        <v>0</v>
      </c>
      <c r="BX13" s="541"/>
      <c r="BY13" s="541"/>
      <c r="BZ13" s="539">
        <f t="shared" si="0"/>
        <v>173000000</v>
      </c>
      <c r="CA13" s="539">
        <f t="shared" si="1"/>
        <v>0</v>
      </c>
      <c r="CB13" s="539">
        <f t="shared" si="2"/>
        <v>0</v>
      </c>
    </row>
    <row r="14" spans="1:88" s="11" customFormat="1" ht="88.5" customHeight="1" x14ac:dyDescent="0.2">
      <c r="A14" s="52"/>
      <c r="B14" s="54"/>
      <c r="C14" s="531">
        <v>38</v>
      </c>
      <c r="D14" s="534" t="s">
        <v>52</v>
      </c>
      <c r="E14" s="538"/>
      <c r="F14" s="538"/>
      <c r="G14" s="64"/>
      <c r="H14" s="538">
        <v>285</v>
      </c>
      <c r="I14" s="56" t="s">
        <v>56</v>
      </c>
      <c r="J14" s="59">
        <v>1</v>
      </c>
      <c r="K14" s="60">
        <v>1</v>
      </c>
      <c r="L14" s="135">
        <v>0.08</v>
      </c>
      <c r="M14" s="61">
        <f>'[1]ENERO 2018 (2)'!N13</f>
        <v>2017003630115</v>
      </c>
      <c r="N14" s="62" t="s">
        <v>43</v>
      </c>
      <c r="O14" s="65" t="s">
        <v>57</v>
      </c>
      <c r="P14" s="56" t="s">
        <v>58</v>
      </c>
      <c r="Q14" s="57" t="s">
        <v>51</v>
      </c>
      <c r="R14" s="539">
        <v>0</v>
      </c>
      <c r="S14" s="539"/>
      <c r="T14" s="539"/>
      <c r="U14" s="539">
        <v>0</v>
      </c>
      <c r="V14" s="539"/>
      <c r="W14" s="539"/>
      <c r="X14" s="539">
        <v>0</v>
      </c>
      <c r="Y14" s="539"/>
      <c r="Z14" s="539"/>
      <c r="AA14" s="539">
        <v>0</v>
      </c>
      <c r="AB14" s="539"/>
      <c r="AC14" s="539"/>
      <c r="AD14" s="539">
        <v>0</v>
      </c>
      <c r="AE14" s="539"/>
      <c r="AF14" s="539"/>
      <c r="AG14" s="539">
        <v>0</v>
      </c>
      <c r="AH14" s="539"/>
      <c r="AI14" s="539"/>
      <c r="AJ14" s="539">
        <v>0</v>
      </c>
      <c r="AK14" s="539"/>
      <c r="AL14" s="539"/>
      <c r="AM14" s="539"/>
      <c r="AN14" s="539"/>
      <c r="AO14" s="539"/>
      <c r="AP14" s="539"/>
      <c r="AQ14" s="539"/>
      <c r="AR14" s="539"/>
      <c r="AS14" s="539">
        <v>0</v>
      </c>
      <c r="AT14" s="539"/>
      <c r="AU14" s="539"/>
      <c r="AV14" s="539">
        <v>0</v>
      </c>
      <c r="AW14" s="539"/>
      <c r="AX14" s="539"/>
      <c r="AY14" s="539"/>
      <c r="AZ14" s="539"/>
      <c r="BA14" s="539"/>
      <c r="BB14" s="539"/>
      <c r="BC14" s="539"/>
      <c r="BD14" s="539"/>
      <c r="BE14" s="539">
        <v>0</v>
      </c>
      <c r="BF14" s="539"/>
      <c r="BG14" s="539"/>
      <c r="BH14" s="539">
        <v>0</v>
      </c>
      <c r="BI14" s="539"/>
      <c r="BJ14" s="539"/>
      <c r="BK14" s="63">
        <f>70000000+30000000+110000000</f>
        <v>210000000</v>
      </c>
      <c r="BL14" s="63">
        <v>95640000</v>
      </c>
      <c r="BM14" s="63">
        <v>17840000</v>
      </c>
      <c r="BN14" s="540"/>
      <c r="BO14" s="540"/>
      <c r="BP14" s="540"/>
      <c r="BQ14" s="539">
        <v>0</v>
      </c>
      <c r="BR14" s="541"/>
      <c r="BS14" s="541"/>
      <c r="BT14" s="541"/>
      <c r="BU14" s="541"/>
      <c r="BV14" s="541"/>
      <c r="BW14" s="541">
        <v>0</v>
      </c>
      <c r="BX14" s="541"/>
      <c r="BY14" s="541"/>
      <c r="BZ14" s="539">
        <f t="shared" si="0"/>
        <v>210000000</v>
      </c>
      <c r="CA14" s="539">
        <f t="shared" si="1"/>
        <v>95640000</v>
      </c>
      <c r="CB14" s="539">
        <f t="shared" si="2"/>
        <v>17840000</v>
      </c>
    </row>
    <row r="15" spans="1:88" s="11" customFormat="1" ht="90" customHeight="1" x14ac:dyDescent="0.2">
      <c r="A15" s="52"/>
      <c r="B15" s="54"/>
      <c r="C15" s="531">
        <v>38</v>
      </c>
      <c r="D15" s="534" t="s">
        <v>52</v>
      </c>
      <c r="E15" s="538"/>
      <c r="F15" s="538"/>
      <c r="G15" s="64"/>
      <c r="H15" s="538">
        <v>280</v>
      </c>
      <c r="I15" s="56" t="s">
        <v>59</v>
      </c>
      <c r="J15" s="65">
        <v>0</v>
      </c>
      <c r="K15" s="60">
        <v>1</v>
      </c>
      <c r="L15" s="135">
        <v>0.17</v>
      </c>
      <c r="M15" s="850">
        <f>'[1]ENERO 2018 (2)'!N14</f>
        <v>2017003630113</v>
      </c>
      <c r="N15" s="853" t="s">
        <v>43</v>
      </c>
      <c r="O15" s="856" t="s">
        <v>60</v>
      </c>
      <c r="P15" s="853" t="s">
        <v>61</v>
      </c>
      <c r="Q15" s="57" t="s">
        <v>51</v>
      </c>
      <c r="R15" s="539">
        <v>0</v>
      </c>
      <c r="S15" s="539"/>
      <c r="T15" s="539"/>
      <c r="U15" s="539">
        <v>0</v>
      </c>
      <c r="V15" s="539"/>
      <c r="W15" s="539"/>
      <c r="X15" s="539">
        <v>0</v>
      </c>
      <c r="Y15" s="539"/>
      <c r="Z15" s="539"/>
      <c r="AA15" s="539">
        <v>0</v>
      </c>
      <c r="AB15" s="539"/>
      <c r="AC15" s="539"/>
      <c r="AD15" s="539">
        <v>0</v>
      </c>
      <c r="AE15" s="539"/>
      <c r="AF15" s="539"/>
      <c r="AG15" s="539">
        <v>0</v>
      </c>
      <c r="AH15" s="539"/>
      <c r="AI15" s="539"/>
      <c r="AJ15" s="539">
        <v>0</v>
      </c>
      <c r="AK15" s="539"/>
      <c r="AL15" s="539"/>
      <c r="AM15" s="539"/>
      <c r="AN15" s="539"/>
      <c r="AO15" s="539"/>
      <c r="AP15" s="539"/>
      <c r="AQ15" s="539"/>
      <c r="AR15" s="539"/>
      <c r="AS15" s="539">
        <v>0</v>
      </c>
      <c r="AT15" s="539"/>
      <c r="AU15" s="539"/>
      <c r="AV15" s="539">
        <v>0</v>
      </c>
      <c r="AW15" s="539"/>
      <c r="AX15" s="539"/>
      <c r="AY15" s="539"/>
      <c r="AZ15" s="539"/>
      <c r="BA15" s="539"/>
      <c r="BB15" s="539"/>
      <c r="BC15" s="539"/>
      <c r="BD15" s="539"/>
      <c r="BE15" s="539">
        <v>0</v>
      </c>
      <c r="BF15" s="539"/>
      <c r="BG15" s="539"/>
      <c r="BH15" s="539">
        <v>0</v>
      </c>
      <c r="BI15" s="539"/>
      <c r="BJ15" s="539"/>
      <c r="BK15" s="163">
        <f>25000000</f>
        <v>25000000</v>
      </c>
      <c r="BL15" s="163">
        <v>12000000</v>
      </c>
      <c r="BM15" s="163">
        <v>2000000</v>
      </c>
      <c r="BN15" s="63"/>
      <c r="BO15" s="63"/>
      <c r="BP15" s="63"/>
      <c r="BQ15" s="539">
        <v>0</v>
      </c>
      <c r="BR15" s="541"/>
      <c r="BS15" s="541"/>
      <c r="BT15" s="541"/>
      <c r="BU15" s="541"/>
      <c r="BV15" s="541"/>
      <c r="BW15" s="541">
        <v>0</v>
      </c>
      <c r="BX15" s="541"/>
      <c r="BY15" s="541"/>
      <c r="BZ15" s="539">
        <f t="shared" si="0"/>
        <v>25000000</v>
      </c>
      <c r="CA15" s="539">
        <f t="shared" si="1"/>
        <v>12000000</v>
      </c>
      <c r="CB15" s="539">
        <f t="shared" si="2"/>
        <v>2000000</v>
      </c>
    </row>
    <row r="16" spans="1:88" s="11" customFormat="1" ht="60" x14ac:dyDescent="0.2">
      <c r="A16" s="52"/>
      <c r="B16" s="54"/>
      <c r="C16" s="508"/>
      <c r="D16" s="516"/>
      <c r="E16" s="508"/>
      <c r="F16" s="508"/>
      <c r="G16" s="68"/>
      <c r="H16" s="538">
        <v>281</v>
      </c>
      <c r="I16" s="56" t="s">
        <v>63</v>
      </c>
      <c r="J16" s="65">
        <v>0</v>
      </c>
      <c r="K16" s="60">
        <v>1</v>
      </c>
      <c r="L16" s="487">
        <v>0.2</v>
      </c>
      <c r="M16" s="851"/>
      <c r="N16" s="854"/>
      <c r="O16" s="857"/>
      <c r="P16" s="854"/>
      <c r="Q16" s="57" t="s">
        <v>51</v>
      </c>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163">
        <f>84000000+50000000</f>
        <v>134000000</v>
      </c>
      <c r="BL16" s="488">
        <v>51360000</v>
      </c>
      <c r="BM16" s="488">
        <v>10040000</v>
      </c>
      <c r="BN16" s="63"/>
      <c r="BO16" s="63"/>
      <c r="BP16" s="63"/>
      <c r="BQ16" s="539"/>
      <c r="BR16" s="541"/>
      <c r="BS16" s="541"/>
      <c r="BT16" s="541"/>
      <c r="BU16" s="541"/>
      <c r="BV16" s="541"/>
      <c r="BW16" s="541"/>
      <c r="BX16" s="541"/>
      <c r="BY16" s="541"/>
      <c r="BZ16" s="539">
        <f t="shared" si="0"/>
        <v>134000000</v>
      </c>
      <c r="CA16" s="539">
        <f t="shared" si="1"/>
        <v>51360000</v>
      </c>
      <c r="CB16" s="539">
        <f t="shared" si="2"/>
        <v>10040000</v>
      </c>
    </row>
    <row r="17" spans="1:80" s="11" customFormat="1" ht="57.75" customHeight="1" x14ac:dyDescent="0.2">
      <c r="A17" s="52"/>
      <c r="B17" s="54"/>
      <c r="C17" s="509"/>
      <c r="D17" s="517"/>
      <c r="E17" s="509"/>
      <c r="F17" s="509"/>
      <c r="G17" s="68"/>
      <c r="H17" s="538">
        <v>286</v>
      </c>
      <c r="I17" s="56" t="s">
        <v>64</v>
      </c>
      <c r="J17" s="65">
        <v>1</v>
      </c>
      <c r="K17" s="60">
        <v>1</v>
      </c>
      <c r="L17" s="60"/>
      <c r="M17" s="851"/>
      <c r="N17" s="854"/>
      <c r="O17" s="857"/>
      <c r="P17" s="854"/>
      <c r="Q17" s="57" t="s">
        <v>51</v>
      </c>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163">
        <f>85000000+80000000</f>
        <v>165000000</v>
      </c>
      <c r="BL17" s="163"/>
      <c r="BM17" s="163"/>
      <c r="BN17" s="63"/>
      <c r="BO17" s="63"/>
      <c r="BP17" s="63"/>
      <c r="BQ17" s="539"/>
      <c r="BR17" s="541"/>
      <c r="BS17" s="541"/>
      <c r="BT17" s="541"/>
      <c r="BU17" s="541"/>
      <c r="BV17" s="541"/>
      <c r="BW17" s="541"/>
      <c r="BX17" s="541"/>
      <c r="BY17" s="541"/>
      <c r="BZ17" s="539">
        <f t="shared" si="0"/>
        <v>165000000</v>
      </c>
      <c r="CA17" s="539">
        <f t="shared" si="1"/>
        <v>0</v>
      </c>
      <c r="CB17" s="539">
        <f t="shared" si="2"/>
        <v>0</v>
      </c>
    </row>
    <row r="18" spans="1:80" s="11" customFormat="1" ht="57.75" customHeight="1" x14ac:dyDescent="0.2">
      <c r="A18" s="52"/>
      <c r="B18" s="54"/>
      <c r="C18" s="509"/>
      <c r="D18" s="517"/>
      <c r="E18" s="509"/>
      <c r="F18" s="509"/>
      <c r="G18" s="68"/>
      <c r="H18" s="538">
        <v>287</v>
      </c>
      <c r="I18" s="56" t="s">
        <v>65</v>
      </c>
      <c r="J18" s="59">
        <v>1</v>
      </c>
      <c r="K18" s="60">
        <v>1</v>
      </c>
      <c r="L18" s="135">
        <v>0.33</v>
      </c>
      <c r="M18" s="851"/>
      <c r="N18" s="854"/>
      <c r="O18" s="857"/>
      <c r="P18" s="854"/>
      <c r="Q18" s="57" t="s">
        <v>51</v>
      </c>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163">
        <f>109000000+60000000</f>
        <v>169000000</v>
      </c>
      <c r="BL18" s="163">
        <v>43740000</v>
      </c>
      <c r="BM18" s="163">
        <v>14580000</v>
      </c>
      <c r="BN18" s="63"/>
      <c r="BO18" s="63"/>
      <c r="BP18" s="63"/>
      <c r="BQ18" s="539"/>
      <c r="BR18" s="541"/>
      <c r="BS18" s="541"/>
      <c r="BT18" s="541"/>
      <c r="BU18" s="541"/>
      <c r="BV18" s="541"/>
      <c r="BW18" s="541"/>
      <c r="BX18" s="541"/>
      <c r="BY18" s="541"/>
      <c r="BZ18" s="539">
        <f t="shared" si="0"/>
        <v>169000000</v>
      </c>
      <c r="CA18" s="539">
        <f t="shared" si="1"/>
        <v>43740000</v>
      </c>
      <c r="CB18" s="539">
        <f t="shared" si="2"/>
        <v>14580000</v>
      </c>
    </row>
    <row r="19" spans="1:80" s="11" customFormat="1" ht="45" x14ac:dyDescent="0.2">
      <c r="A19" s="52"/>
      <c r="B19" s="54"/>
      <c r="C19" s="509"/>
      <c r="D19" s="517"/>
      <c r="E19" s="509"/>
      <c r="F19" s="509"/>
      <c r="G19" s="72"/>
      <c r="H19" s="538">
        <v>289</v>
      </c>
      <c r="I19" s="56" t="s">
        <v>66</v>
      </c>
      <c r="J19" s="59" t="s">
        <v>42</v>
      </c>
      <c r="K19" s="60">
        <v>1</v>
      </c>
      <c r="L19" s="73"/>
      <c r="M19" s="852"/>
      <c r="N19" s="855"/>
      <c r="O19" s="858"/>
      <c r="P19" s="855"/>
      <c r="Q19" s="57" t="s">
        <v>67</v>
      </c>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163"/>
      <c r="BL19" s="163"/>
      <c r="BM19" s="163"/>
      <c r="BN19" s="63"/>
      <c r="BO19" s="63"/>
      <c r="BP19" s="63"/>
      <c r="BQ19" s="539"/>
      <c r="BR19" s="541"/>
      <c r="BS19" s="541"/>
      <c r="BT19" s="541">
        <v>5000000000</v>
      </c>
      <c r="BU19" s="541"/>
      <c r="BV19" s="541"/>
      <c r="BW19" s="541"/>
      <c r="BX19" s="541"/>
      <c r="BY19" s="541"/>
      <c r="BZ19" s="539">
        <f t="shared" si="0"/>
        <v>5000000000</v>
      </c>
      <c r="CA19" s="539">
        <f t="shared" si="1"/>
        <v>0</v>
      </c>
      <c r="CB19" s="539">
        <f t="shared" si="2"/>
        <v>0</v>
      </c>
    </row>
    <row r="20" spans="1:80" s="459" customFormat="1" ht="15.75" x14ac:dyDescent="0.2">
      <c r="A20" s="52"/>
      <c r="B20" s="74"/>
      <c r="C20" s="510"/>
      <c r="D20" s="209"/>
      <c r="E20" s="259"/>
      <c r="F20" s="259"/>
      <c r="G20" s="77"/>
      <c r="H20" s="78"/>
      <c r="I20" s="77"/>
      <c r="J20" s="79"/>
      <c r="K20" s="79"/>
      <c r="L20" s="79"/>
      <c r="M20" s="79"/>
      <c r="N20" s="79"/>
      <c r="O20" s="78"/>
      <c r="P20" s="77"/>
      <c r="Q20" s="78"/>
      <c r="R20" s="548">
        <f t="shared" ref="R20:BY20" si="3">SUM(R11:R19)</f>
        <v>0</v>
      </c>
      <c r="S20" s="548">
        <f t="shared" si="3"/>
        <v>0</v>
      </c>
      <c r="T20" s="548">
        <f t="shared" si="3"/>
        <v>0</v>
      </c>
      <c r="U20" s="548">
        <f t="shared" si="3"/>
        <v>0</v>
      </c>
      <c r="V20" s="548">
        <f t="shared" si="3"/>
        <v>0</v>
      </c>
      <c r="W20" s="548">
        <f t="shared" si="3"/>
        <v>0</v>
      </c>
      <c r="X20" s="548">
        <f t="shared" si="3"/>
        <v>0</v>
      </c>
      <c r="Y20" s="548">
        <f t="shared" si="3"/>
        <v>0</v>
      </c>
      <c r="Z20" s="548">
        <f t="shared" si="3"/>
        <v>0</v>
      </c>
      <c r="AA20" s="548">
        <f t="shared" si="3"/>
        <v>0</v>
      </c>
      <c r="AB20" s="548">
        <f t="shared" si="3"/>
        <v>0</v>
      </c>
      <c r="AC20" s="548">
        <f t="shared" si="3"/>
        <v>0</v>
      </c>
      <c r="AD20" s="548">
        <f t="shared" si="3"/>
        <v>0</v>
      </c>
      <c r="AE20" s="548">
        <f t="shared" si="3"/>
        <v>0</v>
      </c>
      <c r="AF20" s="548">
        <f t="shared" si="3"/>
        <v>0</v>
      </c>
      <c r="AG20" s="548">
        <f t="shared" si="3"/>
        <v>0</v>
      </c>
      <c r="AH20" s="548">
        <f t="shared" si="3"/>
        <v>0</v>
      </c>
      <c r="AI20" s="548">
        <f t="shared" si="3"/>
        <v>0</v>
      </c>
      <c r="AJ20" s="548">
        <f t="shared" si="3"/>
        <v>0</v>
      </c>
      <c r="AK20" s="548">
        <f t="shared" si="3"/>
        <v>0</v>
      </c>
      <c r="AL20" s="548">
        <f t="shared" si="3"/>
        <v>0</v>
      </c>
      <c r="AM20" s="548">
        <f t="shared" si="3"/>
        <v>0</v>
      </c>
      <c r="AN20" s="548">
        <f t="shared" si="3"/>
        <v>0</v>
      </c>
      <c r="AO20" s="548">
        <f t="shared" si="3"/>
        <v>0</v>
      </c>
      <c r="AP20" s="548">
        <f t="shared" si="3"/>
        <v>0</v>
      </c>
      <c r="AQ20" s="548">
        <f t="shared" si="3"/>
        <v>0</v>
      </c>
      <c r="AR20" s="548">
        <f t="shared" si="3"/>
        <v>0</v>
      </c>
      <c r="AS20" s="548">
        <f t="shared" si="3"/>
        <v>0</v>
      </c>
      <c r="AT20" s="548">
        <f t="shared" si="3"/>
        <v>0</v>
      </c>
      <c r="AU20" s="548">
        <f t="shared" si="3"/>
        <v>0</v>
      </c>
      <c r="AV20" s="548">
        <f t="shared" si="3"/>
        <v>0</v>
      </c>
      <c r="AW20" s="548">
        <f t="shared" si="3"/>
        <v>0</v>
      </c>
      <c r="AX20" s="548">
        <f t="shared" si="3"/>
        <v>0</v>
      </c>
      <c r="AY20" s="548">
        <f t="shared" si="3"/>
        <v>0</v>
      </c>
      <c r="AZ20" s="548">
        <f t="shared" si="3"/>
        <v>0</v>
      </c>
      <c r="BA20" s="548">
        <f t="shared" si="3"/>
        <v>0</v>
      </c>
      <c r="BB20" s="548">
        <f t="shared" si="3"/>
        <v>0</v>
      </c>
      <c r="BC20" s="548">
        <f t="shared" si="3"/>
        <v>0</v>
      </c>
      <c r="BD20" s="548">
        <f t="shared" si="3"/>
        <v>0</v>
      </c>
      <c r="BE20" s="548">
        <f t="shared" si="3"/>
        <v>0</v>
      </c>
      <c r="BF20" s="548">
        <f t="shared" si="3"/>
        <v>0</v>
      </c>
      <c r="BG20" s="548">
        <f t="shared" si="3"/>
        <v>0</v>
      </c>
      <c r="BH20" s="548">
        <f t="shared" si="3"/>
        <v>0</v>
      </c>
      <c r="BI20" s="548">
        <f t="shared" si="3"/>
        <v>0</v>
      </c>
      <c r="BJ20" s="548">
        <f t="shared" si="3"/>
        <v>0</v>
      </c>
      <c r="BK20" s="548">
        <f t="shared" si="3"/>
        <v>1071000000</v>
      </c>
      <c r="BL20" s="548">
        <f t="shared" si="3"/>
        <v>277740000</v>
      </c>
      <c r="BM20" s="548">
        <f t="shared" si="3"/>
        <v>44460000</v>
      </c>
      <c r="BN20" s="548">
        <f t="shared" si="3"/>
        <v>0</v>
      </c>
      <c r="BO20" s="548">
        <f t="shared" si="3"/>
        <v>0</v>
      </c>
      <c r="BP20" s="548">
        <f t="shared" si="3"/>
        <v>0</v>
      </c>
      <c r="BQ20" s="548">
        <f t="shared" si="3"/>
        <v>0</v>
      </c>
      <c r="BR20" s="548">
        <f t="shared" si="3"/>
        <v>0</v>
      </c>
      <c r="BS20" s="548">
        <f t="shared" si="3"/>
        <v>0</v>
      </c>
      <c r="BT20" s="548">
        <f t="shared" si="3"/>
        <v>5000000000</v>
      </c>
      <c r="BU20" s="548">
        <f t="shared" si="3"/>
        <v>0</v>
      </c>
      <c r="BV20" s="548">
        <f t="shared" si="3"/>
        <v>0</v>
      </c>
      <c r="BW20" s="548">
        <f t="shared" si="3"/>
        <v>0</v>
      </c>
      <c r="BX20" s="548">
        <f t="shared" si="3"/>
        <v>0</v>
      </c>
      <c r="BY20" s="548">
        <f t="shared" si="3"/>
        <v>0</v>
      </c>
      <c r="BZ20" s="548">
        <f t="shared" ref="BZ20" si="4">SUM(BZ11:BZ19)</f>
        <v>6071000000</v>
      </c>
      <c r="CA20" s="548">
        <f t="shared" ref="CA20:CB20" si="5">SUM(CA11:CA19)</f>
        <v>277740000</v>
      </c>
      <c r="CB20" s="548">
        <f t="shared" si="5"/>
        <v>44460000</v>
      </c>
    </row>
    <row r="21" spans="1:80" s="459" customFormat="1" ht="15.75" x14ac:dyDescent="0.2">
      <c r="A21" s="80"/>
      <c r="B21" s="81"/>
      <c r="C21" s="82"/>
      <c r="D21" s="81"/>
      <c r="E21" s="82"/>
      <c r="F21" s="82"/>
      <c r="G21" s="81"/>
      <c r="H21" s="82"/>
      <c r="I21" s="81"/>
      <c r="J21" s="83"/>
      <c r="K21" s="83"/>
      <c r="L21" s="83"/>
      <c r="M21" s="83"/>
      <c r="N21" s="83"/>
      <c r="O21" s="82"/>
      <c r="P21" s="81"/>
      <c r="Q21" s="82"/>
      <c r="R21" s="554">
        <f t="shared" ref="R21:BY21" si="6">R20</f>
        <v>0</v>
      </c>
      <c r="S21" s="554">
        <f t="shared" si="6"/>
        <v>0</v>
      </c>
      <c r="T21" s="554">
        <f t="shared" si="6"/>
        <v>0</v>
      </c>
      <c r="U21" s="554">
        <f t="shared" si="6"/>
        <v>0</v>
      </c>
      <c r="V21" s="554">
        <f t="shared" si="6"/>
        <v>0</v>
      </c>
      <c r="W21" s="554">
        <f t="shared" si="6"/>
        <v>0</v>
      </c>
      <c r="X21" s="554">
        <f t="shared" si="6"/>
        <v>0</v>
      </c>
      <c r="Y21" s="554">
        <f t="shared" si="6"/>
        <v>0</v>
      </c>
      <c r="Z21" s="554">
        <f t="shared" si="6"/>
        <v>0</v>
      </c>
      <c r="AA21" s="554">
        <f t="shared" si="6"/>
        <v>0</v>
      </c>
      <c r="AB21" s="554">
        <f t="shared" si="6"/>
        <v>0</v>
      </c>
      <c r="AC21" s="554">
        <f t="shared" si="6"/>
        <v>0</v>
      </c>
      <c r="AD21" s="554">
        <f t="shared" si="6"/>
        <v>0</v>
      </c>
      <c r="AE21" s="554">
        <f t="shared" si="6"/>
        <v>0</v>
      </c>
      <c r="AF21" s="554">
        <f t="shared" si="6"/>
        <v>0</v>
      </c>
      <c r="AG21" s="554">
        <f t="shared" si="6"/>
        <v>0</v>
      </c>
      <c r="AH21" s="554">
        <f t="shared" si="6"/>
        <v>0</v>
      </c>
      <c r="AI21" s="554">
        <f t="shared" si="6"/>
        <v>0</v>
      </c>
      <c r="AJ21" s="554">
        <f t="shared" si="6"/>
        <v>0</v>
      </c>
      <c r="AK21" s="554">
        <f t="shared" si="6"/>
        <v>0</v>
      </c>
      <c r="AL21" s="554">
        <f t="shared" si="6"/>
        <v>0</v>
      </c>
      <c r="AM21" s="554">
        <f t="shared" si="6"/>
        <v>0</v>
      </c>
      <c r="AN21" s="554">
        <f t="shared" si="6"/>
        <v>0</v>
      </c>
      <c r="AO21" s="554">
        <f t="shared" si="6"/>
        <v>0</v>
      </c>
      <c r="AP21" s="554">
        <f t="shared" si="6"/>
        <v>0</v>
      </c>
      <c r="AQ21" s="554">
        <f t="shared" si="6"/>
        <v>0</v>
      </c>
      <c r="AR21" s="554">
        <f t="shared" si="6"/>
        <v>0</v>
      </c>
      <c r="AS21" s="554">
        <f t="shared" si="6"/>
        <v>0</v>
      </c>
      <c r="AT21" s="554">
        <f t="shared" si="6"/>
        <v>0</v>
      </c>
      <c r="AU21" s="554">
        <f t="shared" si="6"/>
        <v>0</v>
      </c>
      <c r="AV21" s="554">
        <f t="shared" si="6"/>
        <v>0</v>
      </c>
      <c r="AW21" s="554">
        <f t="shared" si="6"/>
        <v>0</v>
      </c>
      <c r="AX21" s="554">
        <f t="shared" si="6"/>
        <v>0</v>
      </c>
      <c r="AY21" s="554">
        <f t="shared" si="6"/>
        <v>0</v>
      </c>
      <c r="AZ21" s="554">
        <f t="shared" si="6"/>
        <v>0</v>
      </c>
      <c r="BA21" s="554">
        <f t="shared" si="6"/>
        <v>0</v>
      </c>
      <c r="BB21" s="554">
        <f t="shared" si="6"/>
        <v>0</v>
      </c>
      <c r="BC21" s="554">
        <f t="shared" si="6"/>
        <v>0</v>
      </c>
      <c r="BD21" s="554">
        <f t="shared" si="6"/>
        <v>0</v>
      </c>
      <c r="BE21" s="554">
        <f t="shared" si="6"/>
        <v>0</v>
      </c>
      <c r="BF21" s="554">
        <f t="shared" si="6"/>
        <v>0</v>
      </c>
      <c r="BG21" s="554">
        <f t="shared" si="6"/>
        <v>0</v>
      </c>
      <c r="BH21" s="554">
        <f t="shared" si="6"/>
        <v>0</v>
      </c>
      <c r="BI21" s="554">
        <f t="shared" si="6"/>
        <v>0</v>
      </c>
      <c r="BJ21" s="554">
        <f t="shared" si="6"/>
        <v>0</v>
      </c>
      <c r="BK21" s="554">
        <f t="shared" si="6"/>
        <v>1071000000</v>
      </c>
      <c r="BL21" s="554">
        <f t="shared" si="6"/>
        <v>277740000</v>
      </c>
      <c r="BM21" s="554">
        <f t="shared" si="6"/>
        <v>44460000</v>
      </c>
      <c r="BN21" s="554">
        <f t="shared" si="6"/>
        <v>0</v>
      </c>
      <c r="BO21" s="554">
        <f t="shared" si="6"/>
        <v>0</v>
      </c>
      <c r="BP21" s="554">
        <f t="shared" si="6"/>
        <v>0</v>
      </c>
      <c r="BQ21" s="554">
        <f t="shared" si="6"/>
        <v>0</v>
      </c>
      <c r="BR21" s="554">
        <f t="shared" si="6"/>
        <v>0</v>
      </c>
      <c r="BS21" s="554">
        <f t="shared" si="6"/>
        <v>0</v>
      </c>
      <c r="BT21" s="554">
        <f t="shared" si="6"/>
        <v>5000000000</v>
      </c>
      <c r="BU21" s="554">
        <f t="shared" si="6"/>
        <v>0</v>
      </c>
      <c r="BV21" s="554">
        <f t="shared" si="6"/>
        <v>0</v>
      </c>
      <c r="BW21" s="554">
        <f t="shared" si="6"/>
        <v>0</v>
      </c>
      <c r="BX21" s="554">
        <f t="shared" si="6"/>
        <v>0</v>
      </c>
      <c r="BY21" s="554">
        <f t="shared" si="6"/>
        <v>0</v>
      </c>
      <c r="BZ21" s="554">
        <f t="shared" ref="BZ21" si="7">BZ20</f>
        <v>6071000000</v>
      </c>
      <c r="CA21" s="554">
        <f t="shared" ref="CA21:CB21" si="8">CA20</f>
        <v>277740000</v>
      </c>
      <c r="CB21" s="554">
        <f t="shared" si="8"/>
        <v>44460000</v>
      </c>
    </row>
    <row r="22" spans="1:80" s="459" customFormat="1" x14ac:dyDescent="0.2">
      <c r="A22" s="84"/>
      <c r="B22" s="84"/>
      <c r="C22" s="85"/>
      <c r="D22" s="84"/>
      <c r="E22" s="85"/>
      <c r="F22" s="85"/>
      <c r="G22" s="84"/>
      <c r="H22" s="85"/>
      <c r="I22" s="84"/>
      <c r="J22" s="86"/>
      <c r="K22" s="86"/>
      <c r="L22" s="86"/>
      <c r="M22" s="86"/>
      <c r="N22" s="86"/>
      <c r="O22" s="85"/>
      <c r="P22" s="84"/>
      <c r="Q22" s="85"/>
      <c r="R22" s="560">
        <f t="shared" ref="R22:BY22" si="9">+R21</f>
        <v>0</v>
      </c>
      <c r="S22" s="560">
        <f t="shared" si="9"/>
        <v>0</v>
      </c>
      <c r="T22" s="560">
        <f t="shared" si="9"/>
        <v>0</v>
      </c>
      <c r="U22" s="560">
        <f t="shared" si="9"/>
        <v>0</v>
      </c>
      <c r="V22" s="560">
        <f t="shared" si="9"/>
        <v>0</v>
      </c>
      <c r="W22" s="560">
        <f t="shared" si="9"/>
        <v>0</v>
      </c>
      <c r="X22" s="560">
        <f t="shared" si="9"/>
        <v>0</v>
      </c>
      <c r="Y22" s="560">
        <f t="shared" si="9"/>
        <v>0</v>
      </c>
      <c r="Z22" s="560">
        <f t="shared" si="9"/>
        <v>0</v>
      </c>
      <c r="AA22" s="560">
        <f t="shared" si="9"/>
        <v>0</v>
      </c>
      <c r="AB22" s="560">
        <f t="shared" si="9"/>
        <v>0</v>
      </c>
      <c r="AC22" s="560">
        <f t="shared" si="9"/>
        <v>0</v>
      </c>
      <c r="AD22" s="560">
        <f t="shared" si="9"/>
        <v>0</v>
      </c>
      <c r="AE22" s="560">
        <f t="shared" si="9"/>
        <v>0</v>
      </c>
      <c r="AF22" s="560">
        <f t="shared" si="9"/>
        <v>0</v>
      </c>
      <c r="AG22" s="560">
        <f t="shared" si="9"/>
        <v>0</v>
      </c>
      <c r="AH22" s="560">
        <f t="shared" si="9"/>
        <v>0</v>
      </c>
      <c r="AI22" s="560">
        <f t="shared" si="9"/>
        <v>0</v>
      </c>
      <c r="AJ22" s="560">
        <f t="shared" si="9"/>
        <v>0</v>
      </c>
      <c r="AK22" s="560">
        <f t="shared" si="9"/>
        <v>0</v>
      </c>
      <c r="AL22" s="560">
        <f t="shared" si="9"/>
        <v>0</v>
      </c>
      <c r="AM22" s="560">
        <f t="shared" si="9"/>
        <v>0</v>
      </c>
      <c r="AN22" s="560">
        <f t="shared" si="9"/>
        <v>0</v>
      </c>
      <c r="AO22" s="560">
        <f t="shared" si="9"/>
        <v>0</v>
      </c>
      <c r="AP22" s="560">
        <f t="shared" si="9"/>
        <v>0</v>
      </c>
      <c r="AQ22" s="560">
        <f t="shared" si="9"/>
        <v>0</v>
      </c>
      <c r="AR22" s="560">
        <f t="shared" si="9"/>
        <v>0</v>
      </c>
      <c r="AS22" s="560">
        <f t="shared" si="9"/>
        <v>0</v>
      </c>
      <c r="AT22" s="560">
        <f t="shared" si="9"/>
        <v>0</v>
      </c>
      <c r="AU22" s="560">
        <f t="shared" si="9"/>
        <v>0</v>
      </c>
      <c r="AV22" s="560">
        <f t="shared" si="9"/>
        <v>0</v>
      </c>
      <c r="AW22" s="560">
        <f t="shared" si="9"/>
        <v>0</v>
      </c>
      <c r="AX22" s="560">
        <f t="shared" si="9"/>
        <v>0</v>
      </c>
      <c r="AY22" s="560">
        <f t="shared" si="9"/>
        <v>0</v>
      </c>
      <c r="AZ22" s="560">
        <f t="shared" si="9"/>
        <v>0</v>
      </c>
      <c r="BA22" s="560">
        <f t="shared" si="9"/>
        <v>0</v>
      </c>
      <c r="BB22" s="560">
        <f t="shared" si="9"/>
        <v>0</v>
      </c>
      <c r="BC22" s="560">
        <f t="shared" si="9"/>
        <v>0</v>
      </c>
      <c r="BD22" s="560">
        <f t="shared" si="9"/>
        <v>0</v>
      </c>
      <c r="BE22" s="560">
        <f t="shared" si="9"/>
        <v>0</v>
      </c>
      <c r="BF22" s="560">
        <f t="shared" si="9"/>
        <v>0</v>
      </c>
      <c r="BG22" s="560">
        <f t="shared" si="9"/>
        <v>0</v>
      </c>
      <c r="BH22" s="560">
        <f t="shared" si="9"/>
        <v>0</v>
      </c>
      <c r="BI22" s="560">
        <f t="shared" si="9"/>
        <v>0</v>
      </c>
      <c r="BJ22" s="560">
        <f t="shared" si="9"/>
        <v>0</v>
      </c>
      <c r="BK22" s="560">
        <f t="shared" si="9"/>
        <v>1071000000</v>
      </c>
      <c r="BL22" s="560">
        <f t="shared" si="9"/>
        <v>277740000</v>
      </c>
      <c r="BM22" s="560">
        <f t="shared" si="9"/>
        <v>44460000</v>
      </c>
      <c r="BN22" s="560">
        <f t="shared" si="9"/>
        <v>0</v>
      </c>
      <c r="BO22" s="560">
        <f t="shared" si="9"/>
        <v>0</v>
      </c>
      <c r="BP22" s="560">
        <f t="shared" si="9"/>
        <v>0</v>
      </c>
      <c r="BQ22" s="560">
        <f t="shared" si="9"/>
        <v>0</v>
      </c>
      <c r="BR22" s="560">
        <f t="shared" si="9"/>
        <v>0</v>
      </c>
      <c r="BS22" s="560">
        <f t="shared" si="9"/>
        <v>0</v>
      </c>
      <c r="BT22" s="560">
        <f t="shared" si="9"/>
        <v>5000000000</v>
      </c>
      <c r="BU22" s="560">
        <f t="shared" si="9"/>
        <v>0</v>
      </c>
      <c r="BV22" s="560">
        <f t="shared" si="9"/>
        <v>0</v>
      </c>
      <c r="BW22" s="560">
        <f t="shared" si="9"/>
        <v>0</v>
      </c>
      <c r="BX22" s="560">
        <f t="shared" si="9"/>
        <v>0</v>
      </c>
      <c r="BY22" s="560">
        <f t="shared" si="9"/>
        <v>0</v>
      </c>
      <c r="BZ22" s="560">
        <f t="shared" ref="BZ22" si="10">+BZ21</f>
        <v>6071000000</v>
      </c>
      <c r="CA22" s="560">
        <f t="shared" ref="CA22:CB22" si="11">+CA21</f>
        <v>277740000</v>
      </c>
      <c r="CB22" s="560">
        <f t="shared" si="11"/>
        <v>44460000</v>
      </c>
    </row>
    <row r="23" spans="1:80" s="459" customFormat="1" x14ac:dyDescent="0.2">
      <c r="A23" s="87"/>
      <c r="B23" s="87"/>
      <c r="C23" s="88"/>
      <c r="D23" s="87"/>
      <c r="E23" s="88"/>
      <c r="F23" s="88"/>
      <c r="G23" s="87"/>
      <c r="H23" s="88"/>
      <c r="I23" s="87"/>
      <c r="J23" s="89"/>
      <c r="K23" s="89"/>
      <c r="L23" s="89"/>
      <c r="M23" s="89"/>
      <c r="N23" s="89"/>
      <c r="O23" s="88"/>
      <c r="P23" s="87"/>
      <c r="Q23" s="88"/>
      <c r="R23" s="561">
        <f t="shared" ref="R23:BY23" si="12">R22</f>
        <v>0</v>
      </c>
      <c r="S23" s="561">
        <f t="shared" si="12"/>
        <v>0</v>
      </c>
      <c r="T23" s="561">
        <f t="shared" si="12"/>
        <v>0</v>
      </c>
      <c r="U23" s="561">
        <f t="shared" si="12"/>
        <v>0</v>
      </c>
      <c r="V23" s="561">
        <f t="shared" si="12"/>
        <v>0</v>
      </c>
      <c r="W23" s="561">
        <f t="shared" si="12"/>
        <v>0</v>
      </c>
      <c r="X23" s="561">
        <f t="shared" si="12"/>
        <v>0</v>
      </c>
      <c r="Y23" s="561">
        <f t="shared" si="12"/>
        <v>0</v>
      </c>
      <c r="Z23" s="561">
        <f t="shared" si="12"/>
        <v>0</v>
      </c>
      <c r="AA23" s="561">
        <f t="shared" si="12"/>
        <v>0</v>
      </c>
      <c r="AB23" s="561">
        <f t="shared" si="12"/>
        <v>0</v>
      </c>
      <c r="AC23" s="561">
        <f t="shared" si="12"/>
        <v>0</v>
      </c>
      <c r="AD23" s="561">
        <f t="shared" si="12"/>
        <v>0</v>
      </c>
      <c r="AE23" s="561">
        <f t="shared" si="12"/>
        <v>0</v>
      </c>
      <c r="AF23" s="561">
        <f t="shared" si="12"/>
        <v>0</v>
      </c>
      <c r="AG23" s="561">
        <f t="shared" si="12"/>
        <v>0</v>
      </c>
      <c r="AH23" s="561">
        <f t="shared" si="12"/>
        <v>0</v>
      </c>
      <c r="AI23" s="561">
        <f t="shared" si="12"/>
        <v>0</v>
      </c>
      <c r="AJ23" s="561">
        <f t="shared" si="12"/>
        <v>0</v>
      </c>
      <c r="AK23" s="561">
        <f t="shared" si="12"/>
        <v>0</v>
      </c>
      <c r="AL23" s="561">
        <f t="shared" si="12"/>
        <v>0</v>
      </c>
      <c r="AM23" s="561">
        <f t="shared" si="12"/>
        <v>0</v>
      </c>
      <c r="AN23" s="561">
        <f t="shared" si="12"/>
        <v>0</v>
      </c>
      <c r="AO23" s="561">
        <f t="shared" si="12"/>
        <v>0</v>
      </c>
      <c r="AP23" s="561">
        <f t="shared" si="12"/>
        <v>0</v>
      </c>
      <c r="AQ23" s="561">
        <f t="shared" si="12"/>
        <v>0</v>
      </c>
      <c r="AR23" s="561">
        <f t="shared" si="12"/>
        <v>0</v>
      </c>
      <c r="AS23" s="561">
        <f t="shared" si="12"/>
        <v>0</v>
      </c>
      <c r="AT23" s="561">
        <f t="shared" si="12"/>
        <v>0</v>
      </c>
      <c r="AU23" s="561">
        <f t="shared" si="12"/>
        <v>0</v>
      </c>
      <c r="AV23" s="561">
        <f t="shared" si="12"/>
        <v>0</v>
      </c>
      <c r="AW23" s="561">
        <f t="shared" si="12"/>
        <v>0</v>
      </c>
      <c r="AX23" s="561">
        <f t="shared" si="12"/>
        <v>0</v>
      </c>
      <c r="AY23" s="561">
        <f t="shared" si="12"/>
        <v>0</v>
      </c>
      <c r="AZ23" s="561">
        <f t="shared" si="12"/>
        <v>0</v>
      </c>
      <c r="BA23" s="561">
        <f t="shared" si="12"/>
        <v>0</v>
      </c>
      <c r="BB23" s="561">
        <f t="shared" si="12"/>
        <v>0</v>
      </c>
      <c r="BC23" s="561">
        <f t="shared" si="12"/>
        <v>0</v>
      </c>
      <c r="BD23" s="561">
        <f t="shared" si="12"/>
        <v>0</v>
      </c>
      <c r="BE23" s="561">
        <f t="shared" si="12"/>
        <v>0</v>
      </c>
      <c r="BF23" s="561">
        <f t="shared" si="12"/>
        <v>0</v>
      </c>
      <c r="BG23" s="561">
        <f t="shared" si="12"/>
        <v>0</v>
      </c>
      <c r="BH23" s="561">
        <f t="shared" si="12"/>
        <v>0</v>
      </c>
      <c r="BI23" s="561">
        <f t="shared" si="12"/>
        <v>0</v>
      </c>
      <c r="BJ23" s="561">
        <f t="shared" si="12"/>
        <v>0</v>
      </c>
      <c r="BK23" s="561">
        <f t="shared" si="12"/>
        <v>1071000000</v>
      </c>
      <c r="BL23" s="561">
        <f t="shared" si="12"/>
        <v>277740000</v>
      </c>
      <c r="BM23" s="561">
        <f t="shared" si="12"/>
        <v>44460000</v>
      </c>
      <c r="BN23" s="561">
        <f t="shared" si="12"/>
        <v>0</v>
      </c>
      <c r="BO23" s="561">
        <f t="shared" si="12"/>
        <v>0</v>
      </c>
      <c r="BP23" s="561">
        <f t="shared" si="12"/>
        <v>0</v>
      </c>
      <c r="BQ23" s="561">
        <f t="shared" si="12"/>
        <v>0</v>
      </c>
      <c r="BR23" s="561">
        <f t="shared" si="12"/>
        <v>0</v>
      </c>
      <c r="BS23" s="561">
        <f t="shared" si="12"/>
        <v>0</v>
      </c>
      <c r="BT23" s="561">
        <f t="shared" si="12"/>
        <v>5000000000</v>
      </c>
      <c r="BU23" s="561">
        <f t="shared" si="12"/>
        <v>0</v>
      </c>
      <c r="BV23" s="561">
        <f t="shared" si="12"/>
        <v>0</v>
      </c>
      <c r="BW23" s="561">
        <f t="shared" si="12"/>
        <v>0</v>
      </c>
      <c r="BX23" s="561">
        <f t="shared" si="12"/>
        <v>0</v>
      </c>
      <c r="BY23" s="561">
        <f t="shared" si="12"/>
        <v>0</v>
      </c>
      <c r="BZ23" s="561">
        <f t="shared" ref="BZ23" si="13">BZ22</f>
        <v>6071000000</v>
      </c>
      <c r="CA23" s="561">
        <f t="shared" ref="CA23:CB23" si="14">CA22</f>
        <v>277740000</v>
      </c>
      <c r="CB23" s="561">
        <f t="shared" si="14"/>
        <v>44460000</v>
      </c>
    </row>
    <row r="24" spans="1:80" s="11" customFormat="1" x14ac:dyDescent="0.2">
      <c r="A24" s="90"/>
      <c r="B24" s="91"/>
      <c r="C24" s="92"/>
      <c r="D24" s="91"/>
      <c r="E24" s="92"/>
      <c r="F24" s="92"/>
      <c r="G24" s="91"/>
      <c r="H24" s="92"/>
      <c r="I24" s="91"/>
      <c r="J24" s="93"/>
      <c r="K24" s="93"/>
      <c r="L24" s="93"/>
      <c r="M24" s="93"/>
      <c r="N24" s="93"/>
      <c r="O24" s="500"/>
      <c r="P24" s="91"/>
      <c r="Q24" s="92"/>
      <c r="R24" s="543"/>
      <c r="S24" s="543"/>
      <c r="T24" s="543"/>
      <c r="U24" s="544"/>
      <c r="V24" s="544"/>
      <c r="W24" s="544"/>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4"/>
      <c r="AZ24" s="544"/>
      <c r="BA24" s="544"/>
      <c r="BB24" s="544"/>
      <c r="BC24" s="544"/>
      <c r="BD24" s="544"/>
      <c r="BE24" s="543"/>
      <c r="BF24" s="543"/>
      <c r="BG24" s="543"/>
      <c r="BH24" s="543"/>
      <c r="BI24" s="543"/>
      <c r="BJ24" s="543"/>
      <c r="BK24" s="545"/>
      <c r="BL24" s="545"/>
      <c r="BM24" s="545"/>
      <c r="BN24" s="546"/>
      <c r="BO24" s="546"/>
      <c r="BP24" s="546"/>
      <c r="BQ24" s="543"/>
      <c r="BR24" s="543"/>
      <c r="BS24" s="543"/>
      <c r="BT24" s="543"/>
      <c r="BU24" s="543"/>
      <c r="BV24" s="543"/>
      <c r="BW24" s="544"/>
      <c r="BX24" s="544"/>
      <c r="BY24" s="544"/>
      <c r="BZ24" s="543"/>
      <c r="CA24" s="543"/>
      <c r="CB24" s="543"/>
    </row>
    <row r="25" spans="1:80" s="2" customFormat="1" ht="20.25" x14ac:dyDescent="0.25">
      <c r="A25" s="41" t="s">
        <v>68</v>
      </c>
      <c r="B25" s="42"/>
      <c r="C25" s="43"/>
      <c r="D25" s="42"/>
      <c r="E25" s="42"/>
      <c r="F25" s="42"/>
      <c r="G25" s="42"/>
      <c r="H25" s="43"/>
      <c r="I25" s="42"/>
      <c r="J25" s="42"/>
      <c r="K25" s="42"/>
      <c r="L25" s="42"/>
      <c r="M25" s="42"/>
      <c r="N25" s="42"/>
      <c r="O25" s="43"/>
      <c r="P25" s="42"/>
      <c r="Q25" s="43"/>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8"/>
      <c r="BL25" s="618"/>
      <c r="BM25" s="618"/>
      <c r="BN25" s="619"/>
      <c r="BO25" s="619"/>
      <c r="BP25" s="619"/>
      <c r="BQ25" s="617"/>
      <c r="BR25" s="617"/>
      <c r="BS25" s="617"/>
      <c r="BT25" s="617"/>
      <c r="BU25" s="617"/>
      <c r="BV25" s="617"/>
      <c r="BW25" s="617"/>
      <c r="BX25" s="617"/>
      <c r="BY25" s="617"/>
      <c r="BZ25" s="620" t="s">
        <v>62</v>
      </c>
      <c r="CA25" s="620" t="s">
        <v>62</v>
      </c>
      <c r="CB25" s="620" t="s">
        <v>62</v>
      </c>
    </row>
    <row r="26" spans="1:80" s="459" customFormat="1" ht="15.75" x14ac:dyDescent="0.2">
      <c r="A26" s="44">
        <v>5</v>
      </c>
      <c r="B26" s="45" t="s">
        <v>38</v>
      </c>
      <c r="C26" s="46"/>
      <c r="D26" s="45"/>
      <c r="E26" s="45"/>
      <c r="F26" s="45"/>
      <c r="G26" s="45"/>
      <c r="H26" s="46"/>
      <c r="I26" s="45"/>
      <c r="J26" s="45"/>
      <c r="K26" s="45"/>
      <c r="L26" s="45"/>
      <c r="M26" s="45"/>
      <c r="N26" s="45"/>
      <c r="O26" s="46"/>
      <c r="P26" s="45"/>
      <c r="Q26" s="45"/>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3"/>
      <c r="BL26" s="573"/>
      <c r="BM26" s="573"/>
      <c r="BN26" s="572"/>
      <c r="BO26" s="572"/>
      <c r="BP26" s="572"/>
      <c r="BQ26" s="572"/>
      <c r="BR26" s="572"/>
      <c r="BS26" s="572"/>
      <c r="BT26" s="572"/>
      <c r="BU26" s="572"/>
      <c r="BV26" s="572"/>
      <c r="BW26" s="572"/>
      <c r="BX26" s="572"/>
      <c r="BY26" s="572"/>
      <c r="BZ26" s="574"/>
      <c r="CA26" s="574"/>
      <c r="CB26" s="574"/>
    </row>
    <row r="27" spans="1:80" s="459" customFormat="1" ht="15.75" x14ac:dyDescent="0.2">
      <c r="A27" s="94"/>
      <c r="B27" s="49">
        <v>26</v>
      </c>
      <c r="C27" s="49" t="s">
        <v>69</v>
      </c>
      <c r="D27" s="50"/>
      <c r="E27" s="50"/>
      <c r="F27" s="50"/>
      <c r="G27" s="50"/>
      <c r="H27" s="51"/>
      <c r="I27" s="50"/>
      <c r="J27" s="50"/>
      <c r="K27" s="50"/>
      <c r="L27" s="50"/>
      <c r="M27" s="50"/>
      <c r="N27" s="50"/>
      <c r="O27" s="51"/>
      <c r="P27" s="50"/>
      <c r="Q27" s="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0"/>
      <c r="BI27" s="550"/>
      <c r="BJ27" s="550"/>
      <c r="BK27" s="551"/>
      <c r="BL27" s="551"/>
      <c r="BM27" s="551"/>
      <c r="BN27" s="550"/>
      <c r="BO27" s="550"/>
      <c r="BP27" s="550"/>
      <c r="BQ27" s="550"/>
      <c r="BR27" s="550"/>
      <c r="BS27" s="550"/>
      <c r="BT27" s="550"/>
      <c r="BU27" s="550"/>
      <c r="BV27" s="550"/>
      <c r="BW27" s="550"/>
      <c r="BX27" s="550"/>
      <c r="BY27" s="550"/>
      <c r="BZ27" s="555"/>
      <c r="CA27" s="555"/>
      <c r="CB27" s="555"/>
    </row>
    <row r="28" spans="1:80" s="459" customFormat="1" ht="15.75" x14ac:dyDescent="0.2">
      <c r="A28" s="95"/>
      <c r="B28" s="96"/>
      <c r="C28" s="513"/>
      <c r="D28" s="96"/>
      <c r="E28" s="96"/>
      <c r="F28" s="96"/>
      <c r="G28" s="98">
        <v>83</v>
      </c>
      <c r="H28" s="99" t="s">
        <v>70</v>
      </c>
      <c r="I28" s="100"/>
      <c r="J28" s="100"/>
      <c r="K28" s="100"/>
      <c r="L28" s="100"/>
      <c r="M28" s="100"/>
      <c r="N28" s="100"/>
      <c r="O28" s="212"/>
      <c r="P28" s="100"/>
      <c r="Q28" s="100"/>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552"/>
      <c r="BL28" s="552"/>
      <c r="BM28" s="552"/>
      <c r="BN28" s="336"/>
      <c r="BO28" s="336"/>
      <c r="BP28" s="336"/>
      <c r="BQ28" s="336"/>
      <c r="BR28" s="336"/>
      <c r="BS28" s="336"/>
      <c r="BT28" s="336"/>
      <c r="BU28" s="336"/>
      <c r="BV28" s="336"/>
      <c r="BW28" s="336"/>
      <c r="BX28" s="336"/>
      <c r="BY28" s="336"/>
      <c r="BZ28" s="338"/>
      <c r="CA28" s="338"/>
      <c r="CB28" s="338"/>
    </row>
    <row r="29" spans="1:80" s="11" customFormat="1" ht="130.5" customHeight="1" x14ac:dyDescent="0.2">
      <c r="A29" s="95"/>
      <c r="B29" s="54"/>
      <c r="C29" s="684">
        <v>37</v>
      </c>
      <c r="D29" s="517" t="s">
        <v>71</v>
      </c>
      <c r="E29" s="515" t="s">
        <v>72</v>
      </c>
      <c r="F29" s="521">
        <v>0.6</v>
      </c>
      <c r="G29" s="56"/>
      <c r="H29" s="57">
        <v>246</v>
      </c>
      <c r="I29" s="56" t="s">
        <v>73</v>
      </c>
      <c r="J29" s="59" t="s">
        <v>42</v>
      </c>
      <c r="K29" s="60">
        <v>13</v>
      </c>
      <c r="L29" s="60">
        <v>12</v>
      </c>
      <c r="M29" s="61">
        <v>2017003630021</v>
      </c>
      <c r="N29" s="62" t="s">
        <v>43</v>
      </c>
      <c r="O29" s="498" t="s">
        <v>74</v>
      </c>
      <c r="P29" s="56" t="s">
        <v>75</v>
      </c>
      <c r="Q29" s="57" t="s">
        <v>51</v>
      </c>
      <c r="R29" s="539">
        <v>0</v>
      </c>
      <c r="S29" s="539"/>
      <c r="T29" s="539"/>
      <c r="U29" s="539">
        <v>0</v>
      </c>
      <c r="V29" s="539"/>
      <c r="W29" s="539"/>
      <c r="X29" s="539">
        <v>0</v>
      </c>
      <c r="Y29" s="539"/>
      <c r="Z29" s="539"/>
      <c r="AA29" s="539">
        <v>0</v>
      </c>
      <c r="AB29" s="539"/>
      <c r="AC29" s="539"/>
      <c r="AD29" s="539">
        <v>0</v>
      </c>
      <c r="AE29" s="539"/>
      <c r="AF29" s="539"/>
      <c r="AG29" s="539">
        <v>0</v>
      </c>
      <c r="AH29" s="539"/>
      <c r="AI29" s="539"/>
      <c r="AJ29" s="539">
        <v>0</v>
      </c>
      <c r="AK29" s="539"/>
      <c r="AL29" s="539"/>
      <c r="AM29" s="539"/>
      <c r="AN29" s="539"/>
      <c r="AO29" s="539"/>
      <c r="AP29" s="539"/>
      <c r="AQ29" s="539"/>
      <c r="AR29" s="539"/>
      <c r="AS29" s="539">
        <v>0</v>
      </c>
      <c r="AT29" s="539"/>
      <c r="AU29" s="539"/>
      <c r="AV29" s="539">
        <v>0</v>
      </c>
      <c r="AW29" s="539"/>
      <c r="AX29" s="539"/>
      <c r="AY29" s="539"/>
      <c r="AZ29" s="539"/>
      <c r="BA29" s="539"/>
      <c r="BB29" s="539"/>
      <c r="BC29" s="539"/>
      <c r="BD29" s="539"/>
      <c r="BE29" s="539">
        <v>0</v>
      </c>
      <c r="BF29" s="539"/>
      <c r="BG29" s="539"/>
      <c r="BH29" s="539">
        <v>0</v>
      </c>
      <c r="BI29" s="541"/>
      <c r="BJ29" s="541"/>
      <c r="BK29" s="542">
        <v>18000000</v>
      </c>
      <c r="BL29" s="542">
        <v>15840000</v>
      </c>
      <c r="BM29" s="542">
        <v>5280000</v>
      </c>
      <c r="BN29" s="542"/>
      <c r="BO29" s="542"/>
      <c r="BP29" s="542"/>
      <c r="BQ29" s="539">
        <v>0</v>
      </c>
      <c r="BR29" s="541"/>
      <c r="BS29" s="541"/>
      <c r="BT29" s="541"/>
      <c r="BU29" s="541"/>
      <c r="BV29" s="541"/>
      <c r="BW29" s="541">
        <v>0</v>
      </c>
      <c r="BX29" s="541"/>
      <c r="BY29" s="541"/>
      <c r="BZ29" s="539">
        <f>R29+U29+X29+AA29+AD29+AG29+AJ29+AM29+AP29+AS29+AV29+AY29+BB29+BE29+BH29+BK29+BN29+BQ29+BT29+BW29</f>
        <v>18000000</v>
      </c>
      <c r="CA29" s="539">
        <f t="shared" ref="CA29" si="15">S29+V29+Y29+AB29+AE29+AH29+AK29+AN29+AQ29+AT29+AW29+AZ29+BC29+BF29+BI29+BL29+BO29+BR29+BU29+BX29</f>
        <v>15840000</v>
      </c>
      <c r="CB29" s="539">
        <f t="shared" ref="CB29" si="16">T29+W29+Z29+AC29+AF29+AI29+AL29+AO29+AR29+AU29+AX29+BA29+BD29+BG29+BJ29+BM29+BP29+BS29+BV29+BY29</f>
        <v>5280000</v>
      </c>
    </row>
    <row r="30" spans="1:80" s="459" customFormat="1" ht="15.75" x14ac:dyDescent="0.2">
      <c r="A30" s="95"/>
      <c r="B30" s="54"/>
      <c r="C30" s="683"/>
      <c r="D30" s="209"/>
      <c r="E30" s="259"/>
      <c r="F30" s="259"/>
      <c r="G30" s="77"/>
      <c r="H30" s="77"/>
      <c r="I30" s="77"/>
      <c r="J30" s="77"/>
      <c r="K30" s="77"/>
      <c r="L30" s="77"/>
      <c r="M30" s="77"/>
      <c r="N30" s="77"/>
      <c r="O30" s="77"/>
      <c r="P30" s="77"/>
      <c r="Q30" s="77"/>
      <c r="R30" s="605">
        <f t="shared" ref="R30:BY30" si="17">SUM(R29)</f>
        <v>0</v>
      </c>
      <c r="S30" s="605">
        <f t="shared" si="17"/>
        <v>0</v>
      </c>
      <c r="T30" s="605">
        <f t="shared" si="17"/>
        <v>0</v>
      </c>
      <c r="U30" s="605">
        <f t="shared" si="17"/>
        <v>0</v>
      </c>
      <c r="V30" s="605">
        <f t="shared" si="17"/>
        <v>0</v>
      </c>
      <c r="W30" s="605">
        <f t="shared" si="17"/>
        <v>0</v>
      </c>
      <c r="X30" s="605">
        <f t="shared" si="17"/>
        <v>0</v>
      </c>
      <c r="Y30" s="605">
        <f t="shared" si="17"/>
        <v>0</v>
      </c>
      <c r="Z30" s="605">
        <f t="shared" si="17"/>
        <v>0</v>
      </c>
      <c r="AA30" s="605">
        <f t="shared" si="17"/>
        <v>0</v>
      </c>
      <c r="AB30" s="605">
        <f t="shared" si="17"/>
        <v>0</v>
      </c>
      <c r="AC30" s="605">
        <f t="shared" si="17"/>
        <v>0</v>
      </c>
      <c r="AD30" s="605">
        <f t="shared" si="17"/>
        <v>0</v>
      </c>
      <c r="AE30" s="605">
        <f t="shared" si="17"/>
        <v>0</v>
      </c>
      <c r="AF30" s="605">
        <f t="shared" si="17"/>
        <v>0</v>
      </c>
      <c r="AG30" s="605">
        <f t="shared" si="17"/>
        <v>0</v>
      </c>
      <c r="AH30" s="605">
        <f t="shared" si="17"/>
        <v>0</v>
      </c>
      <c r="AI30" s="605">
        <f t="shared" si="17"/>
        <v>0</v>
      </c>
      <c r="AJ30" s="605">
        <f t="shared" si="17"/>
        <v>0</v>
      </c>
      <c r="AK30" s="605">
        <f t="shared" si="17"/>
        <v>0</v>
      </c>
      <c r="AL30" s="605">
        <f t="shared" si="17"/>
        <v>0</v>
      </c>
      <c r="AM30" s="605">
        <f t="shared" si="17"/>
        <v>0</v>
      </c>
      <c r="AN30" s="605">
        <f t="shared" si="17"/>
        <v>0</v>
      </c>
      <c r="AO30" s="605">
        <f t="shared" si="17"/>
        <v>0</v>
      </c>
      <c r="AP30" s="605">
        <f t="shared" si="17"/>
        <v>0</v>
      </c>
      <c r="AQ30" s="605">
        <f t="shared" si="17"/>
        <v>0</v>
      </c>
      <c r="AR30" s="605">
        <f t="shared" si="17"/>
        <v>0</v>
      </c>
      <c r="AS30" s="605">
        <f t="shared" si="17"/>
        <v>0</v>
      </c>
      <c r="AT30" s="605">
        <f t="shared" si="17"/>
        <v>0</v>
      </c>
      <c r="AU30" s="605">
        <f t="shared" si="17"/>
        <v>0</v>
      </c>
      <c r="AV30" s="605">
        <f t="shared" si="17"/>
        <v>0</v>
      </c>
      <c r="AW30" s="605">
        <f t="shared" si="17"/>
        <v>0</v>
      </c>
      <c r="AX30" s="605">
        <f t="shared" si="17"/>
        <v>0</v>
      </c>
      <c r="AY30" s="605">
        <f t="shared" si="17"/>
        <v>0</v>
      </c>
      <c r="AZ30" s="605">
        <f t="shared" si="17"/>
        <v>0</v>
      </c>
      <c r="BA30" s="605">
        <f t="shared" si="17"/>
        <v>0</v>
      </c>
      <c r="BB30" s="605">
        <f t="shared" si="17"/>
        <v>0</v>
      </c>
      <c r="BC30" s="605">
        <f t="shared" si="17"/>
        <v>0</v>
      </c>
      <c r="BD30" s="605">
        <f t="shared" si="17"/>
        <v>0</v>
      </c>
      <c r="BE30" s="605">
        <f t="shared" si="17"/>
        <v>0</v>
      </c>
      <c r="BF30" s="605">
        <f t="shared" si="17"/>
        <v>0</v>
      </c>
      <c r="BG30" s="605">
        <f t="shared" si="17"/>
        <v>0</v>
      </c>
      <c r="BH30" s="605">
        <f t="shared" si="17"/>
        <v>0</v>
      </c>
      <c r="BI30" s="605">
        <f t="shared" si="17"/>
        <v>0</v>
      </c>
      <c r="BJ30" s="605">
        <f t="shared" si="17"/>
        <v>0</v>
      </c>
      <c r="BK30" s="605">
        <f t="shared" si="17"/>
        <v>18000000</v>
      </c>
      <c r="BL30" s="605">
        <f t="shared" si="17"/>
        <v>15840000</v>
      </c>
      <c r="BM30" s="605">
        <f t="shared" si="17"/>
        <v>5280000</v>
      </c>
      <c r="BN30" s="605">
        <f t="shared" si="17"/>
        <v>0</v>
      </c>
      <c r="BO30" s="605">
        <f t="shared" si="17"/>
        <v>0</v>
      </c>
      <c r="BP30" s="605">
        <f t="shared" si="17"/>
        <v>0</v>
      </c>
      <c r="BQ30" s="605">
        <f t="shared" si="17"/>
        <v>0</v>
      </c>
      <c r="BR30" s="605">
        <f t="shared" si="17"/>
        <v>0</v>
      </c>
      <c r="BS30" s="605">
        <f t="shared" si="17"/>
        <v>0</v>
      </c>
      <c r="BT30" s="605">
        <f t="shared" si="17"/>
        <v>0</v>
      </c>
      <c r="BU30" s="605">
        <f t="shared" si="17"/>
        <v>0</v>
      </c>
      <c r="BV30" s="605">
        <f t="shared" si="17"/>
        <v>0</v>
      </c>
      <c r="BW30" s="605">
        <f t="shared" si="17"/>
        <v>0</v>
      </c>
      <c r="BX30" s="605">
        <f t="shared" si="17"/>
        <v>0</v>
      </c>
      <c r="BY30" s="605">
        <f t="shared" si="17"/>
        <v>0</v>
      </c>
      <c r="BZ30" s="605">
        <f>SUM(BZ29)</f>
        <v>18000000</v>
      </c>
      <c r="CA30" s="605">
        <f t="shared" ref="CA30:CB30" si="18">SUM(CA29)</f>
        <v>15840000</v>
      </c>
      <c r="CB30" s="605">
        <f t="shared" si="18"/>
        <v>5280000</v>
      </c>
    </row>
    <row r="31" spans="1:80" s="11" customFormat="1" ht="15.75" x14ac:dyDescent="0.2">
      <c r="A31" s="95"/>
      <c r="B31" s="54"/>
      <c r="C31" s="166"/>
      <c r="D31" s="91"/>
      <c r="E31" s="92"/>
      <c r="F31" s="92"/>
      <c r="G31" s="91"/>
      <c r="H31" s="92"/>
      <c r="I31" s="91"/>
      <c r="J31" s="93"/>
      <c r="K31" s="104"/>
      <c r="L31" s="104"/>
      <c r="M31" s="104"/>
      <c r="N31" s="93"/>
      <c r="O31" s="500"/>
      <c r="P31" s="91"/>
      <c r="Q31" s="92"/>
      <c r="R31" s="543"/>
      <c r="S31" s="543"/>
      <c r="T31" s="543"/>
      <c r="U31" s="544"/>
      <c r="V31" s="544"/>
      <c r="W31" s="544"/>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4"/>
      <c r="AZ31" s="544"/>
      <c r="BA31" s="544"/>
      <c r="BB31" s="544"/>
      <c r="BC31" s="544"/>
      <c r="BD31" s="544"/>
      <c r="BE31" s="543"/>
      <c r="BF31" s="543"/>
      <c r="BG31" s="543"/>
      <c r="BH31" s="543"/>
      <c r="BI31" s="543"/>
      <c r="BJ31" s="543"/>
      <c r="BK31" s="545"/>
      <c r="BL31" s="545"/>
      <c r="BM31" s="545"/>
      <c r="BN31" s="546"/>
      <c r="BO31" s="546"/>
      <c r="BP31" s="546"/>
      <c r="BQ31" s="543"/>
      <c r="BR31" s="543"/>
      <c r="BS31" s="543"/>
      <c r="BT31" s="543"/>
      <c r="BU31" s="543"/>
      <c r="BV31" s="543"/>
      <c r="BW31" s="544"/>
      <c r="BX31" s="544"/>
      <c r="BY31" s="544"/>
      <c r="BZ31" s="547"/>
      <c r="CA31" s="547"/>
      <c r="CB31" s="547"/>
    </row>
    <row r="32" spans="1:80" s="11" customFormat="1" ht="15.75" x14ac:dyDescent="0.2">
      <c r="A32" s="95"/>
      <c r="B32" s="54"/>
      <c r="C32" s="508"/>
      <c r="D32" s="516"/>
      <c r="E32" s="508"/>
      <c r="F32" s="508"/>
      <c r="G32" s="169">
        <v>84</v>
      </c>
      <c r="H32" s="99" t="s">
        <v>76</v>
      </c>
      <c r="I32" s="77"/>
      <c r="J32" s="77"/>
      <c r="K32" s="77"/>
      <c r="L32" s="77"/>
      <c r="M32" s="77"/>
      <c r="N32" s="77"/>
      <c r="O32" s="77"/>
      <c r="P32" s="77"/>
      <c r="Q32" s="77"/>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A32" s="605"/>
      <c r="CB32" s="605"/>
    </row>
    <row r="33" spans="1:80" s="11" customFormat="1" ht="114" customHeight="1" x14ac:dyDescent="0.2">
      <c r="A33" s="95"/>
      <c r="B33" s="54"/>
      <c r="C33" s="509">
        <v>37</v>
      </c>
      <c r="D33" s="517" t="s">
        <v>71</v>
      </c>
      <c r="E33" s="515" t="s">
        <v>72</v>
      </c>
      <c r="F33" s="521">
        <v>0.6</v>
      </c>
      <c r="G33" s="56"/>
      <c r="H33" s="57">
        <v>248</v>
      </c>
      <c r="I33" s="56" t="s">
        <v>77</v>
      </c>
      <c r="J33" s="59" t="s">
        <v>42</v>
      </c>
      <c r="K33" s="60">
        <v>12</v>
      </c>
      <c r="L33" s="60">
        <v>0</v>
      </c>
      <c r="M33" s="61">
        <v>2017003630053</v>
      </c>
      <c r="N33" s="62" t="s">
        <v>43</v>
      </c>
      <c r="O33" s="498" t="s">
        <v>78</v>
      </c>
      <c r="P33" s="56" t="s">
        <v>79</v>
      </c>
      <c r="Q33" s="57" t="s">
        <v>51</v>
      </c>
      <c r="R33" s="539">
        <v>0</v>
      </c>
      <c r="S33" s="539"/>
      <c r="T33" s="539"/>
      <c r="U33" s="539">
        <v>0</v>
      </c>
      <c r="V33" s="539"/>
      <c r="W33" s="539"/>
      <c r="X33" s="539">
        <v>0</v>
      </c>
      <c r="Y33" s="539"/>
      <c r="Z33" s="539"/>
      <c r="AA33" s="539">
        <v>0</v>
      </c>
      <c r="AB33" s="539"/>
      <c r="AC33" s="539"/>
      <c r="AD33" s="539">
        <v>0</v>
      </c>
      <c r="AE33" s="539"/>
      <c r="AF33" s="539"/>
      <c r="AG33" s="539">
        <v>0</v>
      </c>
      <c r="AH33" s="539"/>
      <c r="AI33" s="539"/>
      <c r="AJ33" s="539">
        <v>0</v>
      </c>
      <c r="AK33" s="539"/>
      <c r="AL33" s="539"/>
      <c r="AM33" s="539"/>
      <c r="AN33" s="539"/>
      <c r="AO33" s="539"/>
      <c r="AP33" s="539"/>
      <c r="AQ33" s="539"/>
      <c r="AR33" s="539"/>
      <c r="AS33" s="539">
        <v>0</v>
      </c>
      <c r="AT33" s="539"/>
      <c r="AU33" s="539"/>
      <c r="AV33" s="539">
        <v>0</v>
      </c>
      <c r="AW33" s="539"/>
      <c r="AX33" s="539"/>
      <c r="AY33" s="539"/>
      <c r="AZ33" s="539"/>
      <c r="BA33" s="539"/>
      <c r="BB33" s="539"/>
      <c r="BC33" s="539"/>
      <c r="BD33" s="539"/>
      <c r="BE33" s="539">
        <v>0</v>
      </c>
      <c r="BF33" s="539"/>
      <c r="BG33" s="539"/>
      <c r="BH33" s="539">
        <v>0</v>
      </c>
      <c r="BI33" s="539"/>
      <c r="BJ33" s="539"/>
      <c r="BK33" s="540">
        <v>29000000</v>
      </c>
      <c r="BL33" s="540"/>
      <c r="BM33" s="540"/>
      <c r="BN33" s="540"/>
      <c r="BO33" s="540"/>
      <c r="BP33" s="540"/>
      <c r="BQ33" s="539">
        <v>0</v>
      </c>
      <c r="BR33" s="541"/>
      <c r="BS33" s="541"/>
      <c r="BT33" s="541"/>
      <c r="BU33" s="541"/>
      <c r="BV33" s="541"/>
      <c r="BW33" s="541">
        <v>0</v>
      </c>
      <c r="BX33" s="541"/>
      <c r="BY33" s="541"/>
      <c r="BZ33" s="539">
        <f>R33+U33+X33+AA33+AD33+AG33+AJ33+AM33+AP33+AS33+AV33+AY33+BB33+BE33+BH33+BK33+BN33+BQ33+BT33+BW33</f>
        <v>29000000</v>
      </c>
      <c r="CA33" s="539">
        <f t="shared" ref="CA33" si="19">S33+V33+Y33+AB33+AE33+AH33+AK33+AN33+AQ33+AT33+AW33+AZ33+BC33+BF33+BI33+BL33+BO33+BR33+BU33+BX33</f>
        <v>0</v>
      </c>
      <c r="CB33" s="539">
        <f t="shared" ref="CB33" si="20">T33+W33+Z33+AC33+AF33+AI33+AL33+AO33+AR33+AU33+AX33+BA33+BD33+BG33+BJ33+BM33+BP33+BS33+BV33+BY33</f>
        <v>0</v>
      </c>
    </row>
    <row r="34" spans="1:80" s="2" customFormat="1" ht="20.25" x14ac:dyDescent="0.25">
      <c r="A34" s="95"/>
      <c r="B34" s="74"/>
      <c r="C34" s="510"/>
      <c r="D34" s="518"/>
      <c r="E34" s="510"/>
      <c r="F34" s="510"/>
      <c r="G34" s="77"/>
      <c r="H34" s="78"/>
      <c r="I34" s="77"/>
      <c r="J34" s="79"/>
      <c r="K34" s="105"/>
      <c r="L34" s="105"/>
      <c r="M34" s="105"/>
      <c r="N34" s="79"/>
      <c r="O34" s="78"/>
      <c r="P34" s="77"/>
      <c r="Q34" s="78"/>
      <c r="R34" s="548">
        <f t="shared" ref="R34:BY34" si="21">R33</f>
        <v>0</v>
      </c>
      <c r="S34" s="548">
        <f t="shared" si="21"/>
        <v>0</v>
      </c>
      <c r="T34" s="548">
        <f t="shared" si="21"/>
        <v>0</v>
      </c>
      <c r="U34" s="548">
        <f t="shared" si="21"/>
        <v>0</v>
      </c>
      <c r="V34" s="548">
        <f t="shared" si="21"/>
        <v>0</v>
      </c>
      <c r="W34" s="548">
        <f t="shared" si="21"/>
        <v>0</v>
      </c>
      <c r="X34" s="548">
        <f t="shared" si="21"/>
        <v>0</v>
      </c>
      <c r="Y34" s="548">
        <f t="shared" si="21"/>
        <v>0</v>
      </c>
      <c r="Z34" s="548">
        <f t="shared" si="21"/>
        <v>0</v>
      </c>
      <c r="AA34" s="548">
        <f t="shared" si="21"/>
        <v>0</v>
      </c>
      <c r="AB34" s="548">
        <f t="shared" si="21"/>
        <v>0</v>
      </c>
      <c r="AC34" s="548">
        <f t="shared" si="21"/>
        <v>0</v>
      </c>
      <c r="AD34" s="548">
        <f t="shared" si="21"/>
        <v>0</v>
      </c>
      <c r="AE34" s="548">
        <f t="shared" si="21"/>
        <v>0</v>
      </c>
      <c r="AF34" s="548">
        <f t="shared" si="21"/>
        <v>0</v>
      </c>
      <c r="AG34" s="548">
        <f t="shared" si="21"/>
        <v>0</v>
      </c>
      <c r="AH34" s="548">
        <f t="shared" si="21"/>
        <v>0</v>
      </c>
      <c r="AI34" s="548">
        <f t="shared" si="21"/>
        <v>0</v>
      </c>
      <c r="AJ34" s="548">
        <f t="shared" si="21"/>
        <v>0</v>
      </c>
      <c r="AK34" s="548">
        <f t="shared" si="21"/>
        <v>0</v>
      </c>
      <c r="AL34" s="548">
        <f t="shared" si="21"/>
        <v>0</v>
      </c>
      <c r="AM34" s="548">
        <f t="shared" si="21"/>
        <v>0</v>
      </c>
      <c r="AN34" s="548">
        <f t="shared" si="21"/>
        <v>0</v>
      </c>
      <c r="AO34" s="548">
        <f t="shared" si="21"/>
        <v>0</v>
      </c>
      <c r="AP34" s="548">
        <f t="shared" si="21"/>
        <v>0</v>
      </c>
      <c r="AQ34" s="548">
        <f t="shared" si="21"/>
        <v>0</v>
      </c>
      <c r="AR34" s="548">
        <f t="shared" si="21"/>
        <v>0</v>
      </c>
      <c r="AS34" s="548">
        <f t="shared" si="21"/>
        <v>0</v>
      </c>
      <c r="AT34" s="548">
        <f t="shared" si="21"/>
        <v>0</v>
      </c>
      <c r="AU34" s="548">
        <f t="shared" si="21"/>
        <v>0</v>
      </c>
      <c r="AV34" s="548">
        <f t="shared" si="21"/>
        <v>0</v>
      </c>
      <c r="AW34" s="548">
        <f t="shared" si="21"/>
        <v>0</v>
      </c>
      <c r="AX34" s="548">
        <f t="shared" si="21"/>
        <v>0</v>
      </c>
      <c r="AY34" s="548">
        <f t="shared" si="21"/>
        <v>0</v>
      </c>
      <c r="AZ34" s="548">
        <f t="shared" si="21"/>
        <v>0</v>
      </c>
      <c r="BA34" s="548">
        <f t="shared" si="21"/>
        <v>0</v>
      </c>
      <c r="BB34" s="548">
        <f t="shared" si="21"/>
        <v>0</v>
      </c>
      <c r="BC34" s="548">
        <f t="shared" si="21"/>
        <v>0</v>
      </c>
      <c r="BD34" s="548">
        <f t="shared" si="21"/>
        <v>0</v>
      </c>
      <c r="BE34" s="548">
        <f t="shared" si="21"/>
        <v>0</v>
      </c>
      <c r="BF34" s="548">
        <f t="shared" si="21"/>
        <v>0</v>
      </c>
      <c r="BG34" s="548">
        <f t="shared" si="21"/>
        <v>0</v>
      </c>
      <c r="BH34" s="548">
        <f t="shared" si="21"/>
        <v>0</v>
      </c>
      <c r="BI34" s="548">
        <f t="shared" si="21"/>
        <v>0</v>
      </c>
      <c r="BJ34" s="548">
        <f t="shared" si="21"/>
        <v>0</v>
      </c>
      <c r="BK34" s="548">
        <f t="shared" si="21"/>
        <v>29000000</v>
      </c>
      <c r="BL34" s="548">
        <f t="shared" si="21"/>
        <v>0</v>
      </c>
      <c r="BM34" s="548">
        <f t="shared" si="21"/>
        <v>0</v>
      </c>
      <c r="BN34" s="548">
        <f t="shared" si="21"/>
        <v>0</v>
      </c>
      <c r="BO34" s="548">
        <f t="shared" si="21"/>
        <v>0</v>
      </c>
      <c r="BP34" s="548">
        <f t="shared" si="21"/>
        <v>0</v>
      </c>
      <c r="BQ34" s="548">
        <f t="shared" si="21"/>
        <v>0</v>
      </c>
      <c r="BR34" s="548">
        <f t="shared" si="21"/>
        <v>0</v>
      </c>
      <c r="BS34" s="548">
        <f t="shared" si="21"/>
        <v>0</v>
      </c>
      <c r="BT34" s="548">
        <f t="shared" si="21"/>
        <v>0</v>
      </c>
      <c r="BU34" s="548">
        <f t="shared" si="21"/>
        <v>0</v>
      </c>
      <c r="BV34" s="548">
        <f t="shared" si="21"/>
        <v>0</v>
      </c>
      <c r="BW34" s="548">
        <f t="shared" si="21"/>
        <v>0</v>
      </c>
      <c r="BX34" s="548">
        <f t="shared" si="21"/>
        <v>0</v>
      </c>
      <c r="BY34" s="548">
        <f t="shared" si="21"/>
        <v>0</v>
      </c>
      <c r="BZ34" s="548">
        <f t="shared" ref="BZ34" si="22">BZ33</f>
        <v>29000000</v>
      </c>
      <c r="CA34" s="548">
        <f t="shared" ref="CA34:CB34" si="23">CA33</f>
        <v>0</v>
      </c>
      <c r="CB34" s="548">
        <f t="shared" si="23"/>
        <v>0</v>
      </c>
    </row>
    <row r="35" spans="1:80" s="459" customFormat="1" ht="15.75" x14ac:dyDescent="0.2">
      <c r="A35" s="95"/>
      <c r="B35" s="106"/>
      <c r="C35" s="107"/>
      <c r="D35" s="106"/>
      <c r="E35" s="107"/>
      <c r="F35" s="107"/>
      <c r="G35" s="106"/>
      <c r="H35" s="107"/>
      <c r="I35" s="106"/>
      <c r="J35" s="108"/>
      <c r="K35" s="109"/>
      <c r="L35" s="109"/>
      <c r="M35" s="109"/>
      <c r="N35" s="110"/>
      <c r="O35" s="107"/>
      <c r="P35" s="106"/>
      <c r="Q35" s="107"/>
      <c r="R35" s="549">
        <f t="shared" ref="R35:BY35" si="24">R30+R34</f>
        <v>0</v>
      </c>
      <c r="S35" s="549">
        <f t="shared" si="24"/>
        <v>0</v>
      </c>
      <c r="T35" s="549">
        <f t="shared" si="24"/>
        <v>0</v>
      </c>
      <c r="U35" s="549">
        <f t="shared" si="24"/>
        <v>0</v>
      </c>
      <c r="V35" s="549">
        <f t="shared" si="24"/>
        <v>0</v>
      </c>
      <c r="W35" s="549">
        <f t="shared" si="24"/>
        <v>0</v>
      </c>
      <c r="X35" s="549">
        <f t="shared" si="24"/>
        <v>0</v>
      </c>
      <c r="Y35" s="549">
        <f t="shared" si="24"/>
        <v>0</v>
      </c>
      <c r="Z35" s="549">
        <f t="shared" si="24"/>
        <v>0</v>
      </c>
      <c r="AA35" s="549">
        <f t="shared" si="24"/>
        <v>0</v>
      </c>
      <c r="AB35" s="549">
        <f t="shared" si="24"/>
        <v>0</v>
      </c>
      <c r="AC35" s="549">
        <f t="shared" si="24"/>
        <v>0</v>
      </c>
      <c r="AD35" s="549">
        <f t="shared" si="24"/>
        <v>0</v>
      </c>
      <c r="AE35" s="549">
        <f t="shared" si="24"/>
        <v>0</v>
      </c>
      <c r="AF35" s="549">
        <f t="shared" si="24"/>
        <v>0</v>
      </c>
      <c r="AG35" s="549">
        <f t="shared" si="24"/>
        <v>0</v>
      </c>
      <c r="AH35" s="549">
        <f t="shared" si="24"/>
        <v>0</v>
      </c>
      <c r="AI35" s="549">
        <f t="shared" si="24"/>
        <v>0</v>
      </c>
      <c r="AJ35" s="549">
        <f t="shared" si="24"/>
        <v>0</v>
      </c>
      <c r="AK35" s="549">
        <f t="shared" si="24"/>
        <v>0</v>
      </c>
      <c r="AL35" s="549">
        <f t="shared" si="24"/>
        <v>0</v>
      </c>
      <c r="AM35" s="549">
        <f t="shared" si="24"/>
        <v>0</v>
      </c>
      <c r="AN35" s="549">
        <f t="shared" si="24"/>
        <v>0</v>
      </c>
      <c r="AO35" s="549">
        <f t="shared" si="24"/>
        <v>0</v>
      </c>
      <c r="AP35" s="549">
        <f t="shared" si="24"/>
        <v>0</v>
      </c>
      <c r="AQ35" s="549">
        <f t="shared" si="24"/>
        <v>0</v>
      </c>
      <c r="AR35" s="549">
        <f t="shared" si="24"/>
        <v>0</v>
      </c>
      <c r="AS35" s="549">
        <f t="shared" si="24"/>
        <v>0</v>
      </c>
      <c r="AT35" s="549">
        <f t="shared" si="24"/>
        <v>0</v>
      </c>
      <c r="AU35" s="549">
        <f t="shared" si="24"/>
        <v>0</v>
      </c>
      <c r="AV35" s="549">
        <f t="shared" si="24"/>
        <v>0</v>
      </c>
      <c r="AW35" s="549">
        <f t="shared" si="24"/>
        <v>0</v>
      </c>
      <c r="AX35" s="549">
        <f t="shared" si="24"/>
        <v>0</v>
      </c>
      <c r="AY35" s="549">
        <f t="shared" si="24"/>
        <v>0</v>
      </c>
      <c r="AZ35" s="549">
        <f t="shared" si="24"/>
        <v>0</v>
      </c>
      <c r="BA35" s="549">
        <f t="shared" si="24"/>
        <v>0</v>
      </c>
      <c r="BB35" s="549">
        <f t="shared" si="24"/>
        <v>0</v>
      </c>
      <c r="BC35" s="549">
        <f t="shared" si="24"/>
        <v>0</v>
      </c>
      <c r="BD35" s="549">
        <f t="shared" si="24"/>
        <v>0</v>
      </c>
      <c r="BE35" s="549">
        <f t="shared" si="24"/>
        <v>0</v>
      </c>
      <c r="BF35" s="549">
        <f t="shared" si="24"/>
        <v>0</v>
      </c>
      <c r="BG35" s="549">
        <f t="shared" si="24"/>
        <v>0</v>
      </c>
      <c r="BH35" s="549">
        <f t="shared" si="24"/>
        <v>0</v>
      </c>
      <c r="BI35" s="549">
        <f t="shared" si="24"/>
        <v>0</v>
      </c>
      <c r="BJ35" s="549">
        <f t="shared" si="24"/>
        <v>0</v>
      </c>
      <c r="BK35" s="549">
        <f t="shared" si="24"/>
        <v>47000000</v>
      </c>
      <c r="BL35" s="549">
        <f t="shared" si="24"/>
        <v>15840000</v>
      </c>
      <c r="BM35" s="549">
        <f t="shared" si="24"/>
        <v>5280000</v>
      </c>
      <c r="BN35" s="549">
        <f t="shared" si="24"/>
        <v>0</v>
      </c>
      <c r="BO35" s="549">
        <f t="shared" si="24"/>
        <v>0</v>
      </c>
      <c r="BP35" s="549">
        <f t="shared" si="24"/>
        <v>0</v>
      </c>
      <c r="BQ35" s="549">
        <f t="shared" si="24"/>
        <v>0</v>
      </c>
      <c r="BR35" s="549">
        <f t="shared" si="24"/>
        <v>0</v>
      </c>
      <c r="BS35" s="549">
        <f t="shared" si="24"/>
        <v>0</v>
      </c>
      <c r="BT35" s="549">
        <f t="shared" si="24"/>
        <v>0</v>
      </c>
      <c r="BU35" s="549">
        <f t="shared" si="24"/>
        <v>0</v>
      </c>
      <c r="BV35" s="549">
        <f t="shared" si="24"/>
        <v>0</v>
      </c>
      <c r="BW35" s="549">
        <f t="shared" si="24"/>
        <v>0</v>
      </c>
      <c r="BX35" s="549">
        <f t="shared" si="24"/>
        <v>0</v>
      </c>
      <c r="BY35" s="549">
        <f t="shared" si="24"/>
        <v>0</v>
      </c>
      <c r="BZ35" s="549">
        <f t="shared" ref="BZ35" si="25">BZ30+BZ34</f>
        <v>47000000</v>
      </c>
      <c r="CA35" s="549">
        <f t="shared" ref="CA35:CB35" si="26">CA30+CA34</f>
        <v>15840000</v>
      </c>
      <c r="CB35" s="549">
        <f t="shared" si="26"/>
        <v>5280000</v>
      </c>
    </row>
    <row r="36" spans="1:80" s="11" customFormat="1" ht="15.75" x14ac:dyDescent="0.2">
      <c r="A36" s="95"/>
      <c r="B36" s="91"/>
      <c r="C36" s="92"/>
      <c r="D36" s="91"/>
      <c r="E36" s="92"/>
      <c r="F36" s="92"/>
      <c r="G36" s="91"/>
      <c r="H36" s="92"/>
      <c r="I36" s="91"/>
      <c r="J36" s="93"/>
      <c r="K36" s="104"/>
      <c r="L36" s="104"/>
      <c r="M36" s="104"/>
      <c r="N36" s="111"/>
      <c r="O36" s="500"/>
      <c r="P36" s="91"/>
      <c r="Q36" s="92"/>
      <c r="R36" s="543"/>
      <c r="S36" s="543"/>
      <c r="T36" s="543"/>
      <c r="U36" s="544"/>
      <c r="V36" s="544"/>
      <c r="W36" s="544"/>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4"/>
      <c r="AZ36" s="544"/>
      <c r="BA36" s="544"/>
      <c r="BB36" s="544"/>
      <c r="BC36" s="544"/>
      <c r="BD36" s="544"/>
      <c r="BE36" s="543"/>
      <c r="BF36" s="543"/>
      <c r="BG36" s="543"/>
      <c r="BH36" s="543"/>
      <c r="BI36" s="543"/>
      <c r="BJ36" s="543"/>
      <c r="BK36" s="545"/>
      <c r="BL36" s="545"/>
      <c r="BM36" s="545"/>
      <c r="BN36" s="543"/>
      <c r="BO36" s="543"/>
      <c r="BP36" s="543"/>
      <c r="BQ36" s="543"/>
      <c r="BR36" s="543"/>
      <c r="BS36" s="543"/>
      <c r="BT36" s="543"/>
      <c r="BU36" s="543"/>
      <c r="BV36" s="543"/>
      <c r="BW36" s="544"/>
      <c r="BX36" s="544"/>
      <c r="BY36" s="544"/>
      <c r="BZ36" s="543"/>
      <c r="CA36" s="543"/>
      <c r="CB36" s="543"/>
    </row>
    <row r="37" spans="1:80" s="459" customFormat="1" ht="15.75" x14ac:dyDescent="0.2">
      <c r="A37" s="95"/>
      <c r="B37" s="49">
        <v>27</v>
      </c>
      <c r="C37" s="49" t="s">
        <v>80</v>
      </c>
      <c r="D37" s="50"/>
      <c r="E37" s="50"/>
      <c r="F37" s="50"/>
      <c r="G37" s="50"/>
      <c r="H37" s="51"/>
      <c r="I37" s="50"/>
      <c r="J37" s="50"/>
      <c r="K37" s="112"/>
      <c r="L37" s="112"/>
      <c r="M37" s="112"/>
      <c r="N37" s="50"/>
      <c r="O37" s="51"/>
      <c r="P37" s="50"/>
      <c r="Q37" s="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1"/>
      <c r="BL37" s="551"/>
      <c r="BM37" s="551"/>
      <c r="BN37" s="550"/>
      <c r="BO37" s="550"/>
      <c r="BP37" s="550"/>
      <c r="BQ37" s="550"/>
      <c r="BR37" s="550"/>
      <c r="BS37" s="550"/>
      <c r="BT37" s="550"/>
      <c r="BU37" s="550"/>
      <c r="BV37" s="550"/>
      <c r="BW37" s="550"/>
      <c r="BX37" s="550"/>
      <c r="BY37" s="550"/>
      <c r="BZ37" s="550"/>
      <c r="CA37" s="550"/>
      <c r="CB37" s="550"/>
    </row>
    <row r="38" spans="1:80" s="459" customFormat="1" ht="15.75" x14ac:dyDescent="0.2">
      <c r="A38" s="95"/>
      <c r="B38" s="113"/>
      <c r="C38" s="230"/>
      <c r="D38" s="113"/>
      <c r="E38" s="113"/>
      <c r="F38" s="113"/>
      <c r="G38" s="98">
        <v>85</v>
      </c>
      <c r="H38" s="99" t="s">
        <v>81</v>
      </c>
      <c r="I38" s="100"/>
      <c r="J38" s="100"/>
      <c r="K38" s="114"/>
      <c r="L38" s="114"/>
      <c r="M38" s="114"/>
      <c r="N38" s="100"/>
      <c r="O38" s="212"/>
      <c r="P38" s="100"/>
      <c r="Q38" s="100"/>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552"/>
      <c r="BL38" s="552"/>
      <c r="BM38" s="552"/>
      <c r="BN38" s="336"/>
      <c r="BO38" s="336"/>
      <c r="BP38" s="336"/>
      <c r="BQ38" s="336"/>
      <c r="BR38" s="336"/>
      <c r="BS38" s="336"/>
      <c r="BT38" s="336"/>
      <c r="BU38" s="336"/>
      <c r="BV38" s="336"/>
      <c r="BW38" s="336"/>
      <c r="BX38" s="336"/>
      <c r="BY38" s="336"/>
      <c r="BZ38" s="338"/>
      <c r="CA38" s="338"/>
      <c r="CB38" s="338"/>
    </row>
    <row r="39" spans="1:80" s="11" customFormat="1" ht="97.5" customHeight="1" x14ac:dyDescent="0.2">
      <c r="A39" s="95"/>
      <c r="B39" s="64"/>
      <c r="C39" s="509">
        <v>37</v>
      </c>
      <c r="D39" s="517" t="s">
        <v>71</v>
      </c>
      <c r="E39" s="515" t="s">
        <v>72</v>
      </c>
      <c r="F39" s="521">
        <v>0.6</v>
      </c>
      <c r="G39" s="67"/>
      <c r="H39" s="27">
        <v>249</v>
      </c>
      <c r="I39" s="56" t="s">
        <v>82</v>
      </c>
      <c r="J39" s="59">
        <v>1</v>
      </c>
      <c r="K39" s="60">
        <v>1</v>
      </c>
      <c r="L39" s="60">
        <v>0</v>
      </c>
      <c r="M39" s="61">
        <v>2017003630052</v>
      </c>
      <c r="N39" s="62" t="s">
        <v>83</v>
      </c>
      <c r="O39" s="498" t="s">
        <v>988</v>
      </c>
      <c r="P39" s="56" t="s">
        <v>84</v>
      </c>
      <c r="Q39" s="57" t="s">
        <v>51</v>
      </c>
      <c r="R39" s="539">
        <v>0</v>
      </c>
      <c r="S39" s="539"/>
      <c r="T39" s="539"/>
      <c r="U39" s="539">
        <v>0</v>
      </c>
      <c r="V39" s="539"/>
      <c r="W39" s="539"/>
      <c r="X39" s="539">
        <v>0</v>
      </c>
      <c r="Y39" s="539"/>
      <c r="Z39" s="539"/>
      <c r="AA39" s="539">
        <v>0</v>
      </c>
      <c r="AB39" s="539"/>
      <c r="AC39" s="539"/>
      <c r="AD39" s="539">
        <v>0</v>
      </c>
      <c r="AE39" s="539"/>
      <c r="AF39" s="539"/>
      <c r="AG39" s="539">
        <v>0</v>
      </c>
      <c r="AH39" s="539"/>
      <c r="AI39" s="539"/>
      <c r="AJ39" s="539">
        <v>0</v>
      </c>
      <c r="AK39" s="539"/>
      <c r="AL39" s="539"/>
      <c r="AM39" s="539"/>
      <c r="AN39" s="539"/>
      <c r="AO39" s="539"/>
      <c r="AP39" s="539"/>
      <c r="AQ39" s="539"/>
      <c r="AR39" s="539"/>
      <c r="AS39" s="539">
        <v>0</v>
      </c>
      <c r="AT39" s="539"/>
      <c r="AU39" s="539"/>
      <c r="AV39" s="539">
        <v>0</v>
      </c>
      <c r="AW39" s="539"/>
      <c r="AX39" s="539"/>
      <c r="AY39" s="539"/>
      <c r="AZ39" s="539"/>
      <c r="BA39" s="539"/>
      <c r="BB39" s="539"/>
      <c r="BC39" s="539"/>
      <c r="BD39" s="539"/>
      <c r="BE39" s="539">
        <v>0</v>
      </c>
      <c r="BF39" s="539"/>
      <c r="BG39" s="539"/>
      <c r="BH39" s="539">
        <v>0</v>
      </c>
      <c r="BI39" s="539"/>
      <c r="BJ39" s="539"/>
      <c r="BK39" s="540">
        <v>120000000</v>
      </c>
      <c r="BL39" s="540"/>
      <c r="BM39" s="540"/>
      <c r="BN39" s="553"/>
      <c r="BO39" s="553"/>
      <c r="BP39" s="553"/>
      <c r="BQ39" s="539">
        <v>0</v>
      </c>
      <c r="BR39" s="541"/>
      <c r="BS39" s="541"/>
      <c r="BT39" s="541"/>
      <c r="BU39" s="541"/>
      <c r="BV39" s="541"/>
      <c r="BW39" s="541">
        <v>0</v>
      </c>
      <c r="BX39" s="541"/>
      <c r="BY39" s="541"/>
      <c r="BZ39" s="539">
        <f>R39+U39+X39+AA39+AD39+AG39+AJ39+AM39+AP39+AS39+AV39+AY39+BB39+BE39+BH39+BK39+BN39+BQ39+BT39+BW39</f>
        <v>120000000</v>
      </c>
      <c r="CA39" s="539">
        <f t="shared" ref="CA39" si="27">S39+V39+Y39+AB39+AE39+AH39+AK39+AN39+AQ39+AT39+AW39+AZ39+BC39+BF39+BI39+BL39+BO39+BR39+BU39+BX39</f>
        <v>0</v>
      </c>
      <c r="CB39" s="539">
        <f t="shared" ref="CB39" si="28">T39+W39+Z39+AC39+AF39+AI39+AL39+AO39+AR39+AU39+AX39+BA39+BD39+BG39+BJ39+BM39+BP39+BS39+BV39+BY39</f>
        <v>0</v>
      </c>
    </row>
    <row r="40" spans="1:80" s="459" customFormat="1" ht="15.75" x14ac:dyDescent="0.2">
      <c r="A40" s="95"/>
      <c r="B40" s="115"/>
      <c r="C40" s="510"/>
      <c r="D40" s="518"/>
      <c r="E40" s="510"/>
      <c r="F40" s="510"/>
      <c r="G40" s="116"/>
      <c r="H40" s="117"/>
      <c r="I40" s="77"/>
      <c r="J40" s="79"/>
      <c r="K40" s="105"/>
      <c r="L40" s="105"/>
      <c r="M40" s="105"/>
      <c r="N40" s="79"/>
      <c r="O40" s="78"/>
      <c r="P40" s="77"/>
      <c r="Q40" s="78"/>
      <c r="R40" s="548">
        <f t="shared" ref="R40:BY40" si="29">SUM(R39)</f>
        <v>0</v>
      </c>
      <c r="S40" s="548">
        <f t="shared" si="29"/>
        <v>0</v>
      </c>
      <c r="T40" s="548">
        <f t="shared" si="29"/>
        <v>0</v>
      </c>
      <c r="U40" s="548">
        <f t="shared" si="29"/>
        <v>0</v>
      </c>
      <c r="V40" s="548">
        <f t="shared" si="29"/>
        <v>0</v>
      </c>
      <c r="W40" s="548">
        <f t="shared" si="29"/>
        <v>0</v>
      </c>
      <c r="X40" s="548">
        <f t="shared" si="29"/>
        <v>0</v>
      </c>
      <c r="Y40" s="548">
        <f t="shared" si="29"/>
        <v>0</v>
      </c>
      <c r="Z40" s="548">
        <f t="shared" si="29"/>
        <v>0</v>
      </c>
      <c r="AA40" s="548">
        <f t="shared" si="29"/>
        <v>0</v>
      </c>
      <c r="AB40" s="548">
        <f t="shared" si="29"/>
        <v>0</v>
      </c>
      <c r="AC40" s="548">
        <f t="shared" si="29"/>
        <v>0</v>
      </c>
      <c r="AD40" s="548">
        <f t="shared" si="29"/>
        <v>0</v>
      </c>
      <c r="AE40" s="548">
        <f t="shared" si="29"/>
        <v>0</v>
      </c>
      <c r="AF40" s="548">
        <f t="shared" si="29"/>
        <v>0</v>
      </c>
      <c r="AG40" s="548">
        <f t="shared" si="29"/>
        <v>0</v>
      </c>
      <c r="AH40" s="548">
        <f t="shared" si="29"/>
        <v>0</v>
      </c>
      <c r="AI40" s="548">
        <f t="shared" si="29"/>
        <v>0</v>
      </c>
      <c r="AJ40" s="548">
        <f t="shared" si="29"/>
        <v>0</v>
      </c>
      <c r="AK40" s="548">
        <f t="shared" si="29"/>
        <v>0</v>
      </c>
      <c r="AL40" s="548">
        <f t="shared" si="29"/>
        <v>0</v>
      </c>
      <c r="AM40" s="548">
        <f t="shared" si="29"/>
        <v>0</v>
      </c>
      <c r="AN40" s="548">
        <f t="shared" si="29"/>
        <v>0</v>
      </c>
      <c r="AO40" s="548">
        <f t="shared" si="29"/>
        <v>0</v>
      </c>
      <c r="AP40" s="548">
        <f t="shared" si="29"/>
        <v>0</v>
      </c>
      <c r="AQ40" s="548">
        <f t="shared" si="29"/>
        <v>0</v>
      </c>
      <c r="AR40" s="548">
        <f t="shared" si="29"/>
        <v>0</v>
      </c>
      <c r="AS40" s="548">
        <f t="shared" si="29"/>
        <v>0</v>
      </c>
      <c r="AT40" s="548">
        <f t="shared" si="29"/>
        <v>0</v>
      </c>
      <c r="AU40" s="548">
        <f t="shared" si="29"/>
        <v>0</v>
      </c>
      <c r="AV40" s="548">
        <f t="shared" si="29"/>
        <v>0</v>
      </c>
      <c r="AW40" s="548">
        <f t="shared" si="29"/>
        <v>0</v>
      </c>
      <c r="AX40" s="548">
        <f t="shared" si="29"/>
        <v>0</v>
      </c>
      <c r="AY40" s="548">
        <f t="shared" si="29"/>
        <v>0</v>
      </c>
      <c r="AZ40" s="548">
        <f t="shared" si="29"/>
        <v>0</v>
      </c>
      <c r="BA40" s="548">
        <f t="shared" si="29"/>
        <v>0</v>
      </c>
      <c r="BB40" s="548">
        <f t="shared" si="29"/>
        <v>0</v>
      </c>
      <c r="BC40" s="548">
        <f t="shared" si="29"/>
        <v>0</v>
      </c>
      <c r="BD40" s="548">
        <f t="shared" si="29"/>
        <v>0</v>
      </c>
      <c r="BE40" s="548">
        <f t="shared" si="29"/>
        <v>0</v>
      </c>
      <c r="BF40" s="548">
        <f t="shared" si="29"/>
        <v>0</v>
      </c>
      <c r="BG40" s="548">
        <f t="shared" si="29"/>
        <v>0</v>
      </c>
      <c r="BH40" s="548">
        <f t="shared" si="29"/>
        <v>0</v>
      </c>
      <c r="BI40" s="548">
        <f t="shared" si="29"/>
        <v>0</v>
      </c>
      <c r="BJ40" s="548">
        <f t="shared" si="29"/>
        <v>0</v>
      </c>
      <c r="BK40" s="548">
        <f t="shared" si="29"/>
        <v>120000000</v>
      </c>
      <c r="BL40" s="548">
        <f t="shared" si="29"/>
        <v>0</v>
      </c>
      <c r="BM40" s="548">
        <f t="shared" si="29"/>
        <v>0</v>
      </c>
      <c r="BN40" s="548">
        <f t="shared" si="29"/>
        <v>0</v>
      </c>
      <c r="BO40" s="548">
        <f t="shared" si="29"/>
        <v>0</v>
      </c>
      <c r="BP40" s="548">
        <f t="shared" si="29"/>
        <v>0</v>
      </c>
      <c r="BQ40" s="548">
        <f t="shared" si="29"/>
        <v>0</v>
      </c>
      <c r="BR40" s="548">
        <f t="shared" si="29"/>
        <v>0</v>
      </c>
      <c r="BS40" s="548">
        <f t="shared" si="29"/>
        <v>0</v>
      </c>
      <c r="BT40" s="548">
        <f t="shared" si="29"/>
        <v>0</v>
      </c>
      <c r="BU40" s="548">
        <f t="shared" si="29"/>
        <v>0</v>
      </c>
      <c r="BV40" s="548">
        <f t="shared" si="29"/>
        <v>0</v>
      </c>
      <c r="BW40" s="548">
        <f t="shared" si="29"/>
        <v>0</v>
      </c>
      <c r="BX40" s="548">
        <f t="shared" si="29"/>
        <v>0</v>
      </c>
      <c r="BY40" s="548">
        <f t="shared" si="29"/>
        <v>0</v>
      </c>
      <c r="BZ40" s="548">
        <f t="shared" ref="BZ40" si="30">SUM(BZ39)</f>
        <v>120000000</v>
      </c>
      <c r="CA40" s="548">
        <f t="shared" ref="CA40:CB40" si="31">SUM(CA39)</f>
        <v>0</v>
      </c>
      <c r="CB40" s="548">
        <f t="shared" si="31"/>
        <v>0</v>
      </c>
    </row>
    <row r="41" spans="1:80" s="459" customFormat="1" ht="15.75" x14ac:dyDescent="0.2">
      <c r="A41" s="95"/>
      <c r="B41" s="118"/>
      <c r="C41" s="119"/>
      <c r="D41" s="106"/>
      <c r="E41" s="107"/>
      <c r="F41" s="120"/>
      <c r="G41" s="121"/>
      <c r="H41" s="122"/>
      <c r="I41" s="81"/>
      <c r="J41" s="83"/>
      <c r="K41" s="123"/>
      <c r="L41" s="123"/>
      <c r="M41" s="123"/>
      <c r="N41" s="83"/>
      <c r="O41" s="82"/>
      <c r="P41" s="81"/>
      <c r="Q41" s="82"/>
      <c r="R41" s="554">
        <f t="shared" ref="R41:BY41" si="32">R40</f>
        <v>0</v>
      </c>
      <c r="S41" s="554">
        <f t="shared" si="32"/>
        <v>0</v>
      </c>
      <c r="T41" s="554">
        <f t="shared" si="32"/>
        <v>0</v>
      </c>
      <c r="U41" s="554">
        <f t="shared" si="32"/>
        <v>0</v>
      </c>
      <c r="V41" s="554">
        <f t="shared" si="32"/>
        <v>0</v>
      </c>
      <c r="W41" s="554">
        <f t="shared" si="32"/>
        <v>0</v>
      </c>
      <c r="X41" s="554">
        <f t="shared" si="32"/>
        <v>0</v>
      </c>
      <c r="Y41" s="554">
        <f t="shared" si="32"/>
        <v>0</v>
      </c>
      <c r="Z41" s="554">
        <f t="shared" si="32"/>
        <v>0</v>
      </c>
      <c r="AA41" s="554">
        <f t="shared" si="32"/>
        <v>0</v>
      </c>
      <c r="AB41" s="554">
        <f t="shared" si="32"/>
        <v>0</v>
      </c>
      <c r="AC41" s="554">
        <f t="shared" si="32"/>
        <v>0</v>
      </c>
      <c r="AD41" s="554">
        <f t="shared" si="32"/>
        <v>0</v>
      </c>
      <c r="AE41" s="554">
        <f t="shared" si="32"/>
        <v>0</v>
      </c>
      <c r="AF41" s="554">
        <f t="shared" si="32"/>
        <v>0</v>
      </c>
      <c r="AG41" s="554">
        <f t="shared" si="32"/>
        <v>0</v>
      </c>
      <c r="AH41" s="554">
        <f t="shared" si="32"/>
        <v>0</v>
      </c>
      <c r="AI41" s="554">
        <f t="shared" si="32"/>
        <v>0</v>
      </c>
      <c r="AJ41" s="554">
        <f t="shared" si="32"/>
        <v>0</v>
      </c>
      <c r="AK41" s="554">
        <f t="shared" si="32"/>
        <v>0</v>
      </c>
      <c r="AL41" s="554">
        <f t="shared" si="32"/>
        <v>0</v>
      </c>
      <c r="AM41" s="554">
        <f t="shared" si="32"/>
        <v>0</v>
      </c>
      <c r="AN41" s="554">
        <f t="shared" si="32"/>
        <v>0</v>
      </c>
      <c r="AO41" s="554">
        <f t="shared" si="32"/>
        <v>0</v>
      </c>
      <c r="AP41" s="554">
        <f t="shared" si="32"/>
        <v>0</v>
      </c>
      <c r="AQ41" s="554">
        <f t="shared" si="32"/>
        <v>0</v>
      </c>
      <c r="AR41" s="554">
        <f t="shared" si="32"/>
        <v>0</v>
      </c>
      <c r="AS41" s="554">
        <f t="shared" si="32"/>
        <v>0</v>
      </c>
      <c r="AT41" s="554">
        <f t="shared" si="32"/>
        <v>0</v>
      </c>
      <c r="AU41" s="554">
        <f t="shared" si="32"/>
        <v>0</v>
      </c>
      <c r="AV41" s="554">
        <f t="shared" si="32"/>
        <v>0</v>
      </c>
      <c r="AW41" s="554">
        <f t="shared" si="32"/>
        <v>0</v>
      </c>
      <c r="AX41" s="554">
        <f t="shared" si="32"/>
        <v>0</v>
      </c>
      <c r="AY41" s="554">
        <f t="shared" si="32"/>
        <v>0</v>
      </c>
      <c r="AZ41" s="554">
        <f t="shared" si="32"/>
        <v>0</v>
      </c>
      <c r="BA41" s="554">
        <f t="shared" si="32"/>
        <v>0</v>
      </c>
      <c r="BB41" s="554">
        <f t="shared" si="32"/>
        <v>0</v>
      </c>
      <c r="BC41" s="554">
        <f t="shared" si="32"/>
        <v>0</v>
      </c>
      <c r="BD41" s="554">
        <f t="shared" si="32"/>
        <v>0</v>
      </c>
      <c r="BE41" s="554">
        <f t="shared" si="32"/>
        <v>0</v>
      </c>
      <c r="BF41" s="554">
        <f t="shared" si="32"/>
        <v>0</v>
      </c>
      <c r="BG41" s="554">
        <f t="shared" si="32"/>
        <v>0</v>
      </c>
      <c r="BH41" s="554">
        <f t="shared" si="32"/>
        <v>0</v>
      </c>
      <c r="BI41" s="554">
        <f t="shared" si="32"/>
        <v>0</v>
      </c>
      <c r="BJ41" s="554">
        <f t="shared" si="32"/>
        <v>0</v>
      </c>
      <c r="BK41" s="554">
        <f t="shared" si="32"/>
        <v>120000000</v>
      </c>
      <c r="BL41" s="554">
        <f t="shared" si="32"/>
        <v>0</v>
      </c>
      <c r="BM41" s="554">
        <f t="shared" si="32"/>
        <v>0</v>
      </c>
      <c r="BN41" s="554">
        <f t="shared" si="32"/>
        <v>0</v>
      </c>
      <c r="BO41" s="554">
        <f t="shared" si="32"/>
        <v>0</v>
      </c>
      <c r="BP41" s="554">
        <f t="shared" si="32"/>
        <v>0</v>
      </c>
      <c r="BQ41" s="554">
        <f t="shared" si="32"/>
        <v>0</v>
      </c>
      <c r="BR41" s="554">
        <f t="shared" si="32"/>
        <v>0</v>
      </c>
      <c r="BS41" s="554">
        <f t="shared" si="32"/>
        <v>0</v>
      </c>
      <c r="BT41" s="554">
        <f t="shared" si="32"/>
        <v>0</v>
      </c>
      <c r="BU41" s="554">
        <f t="shared" si="32"/>
        <v>0</v>
      </c>
      <c r="BV41" s="554">
        <f t="shared" si="32"/>
        <v>0</v>
      </c>
      <c r="BW41" s="554">
        <f t="shared" si="32"/>
        <v>0</v>
      </c>
      <c r="BX41" s="554">
        <f t="shared" si="32"/>
        <v>0</v>
      </c>
      <c r="BY41" s="554">
        <f t="shared" si="32"/>
        <v>0</v>
      </c>
      <c r="BZ41" s="554">
        <f t="shared" ref="BZ41" si="33">BZ40</f>
        <v>120000000</v>
      </c>
      <c r="CA41" s="554">
        <f t="shared" ref="CA41:CB41" si="34">CA40</f>
        <v>0</v>
      </c>
      <c r="CB41" s="554">
        <f t="shared" si="34"/>
        <v>0</v>
      </c>
    </row>
    <row r="42" spans="1:80" s="459" customFormat="1" ht="15.75" x14ac:dyDescent="0.2">
      <c r="A42" s="95"/>
      <c r="B42" s="91"/>
      <c r="C42" s="92"/>
      <c r="D42" s="91"/>
      <c r="E42" s="92"/>
      <c r="F42" s="92"/>
      <c r="G42" s="124"/>
      <c r="H42" s="125"/>
      <c r="I42" s="91"/>
      <c r="J42" s="93"/>
      <c r="K42" s="104"/>
      <c r="L42" s="104"/>
      <c r="M42" s="104"/>
      <c r="N42" s="93"/>
      <c r="O42" s="500"/>
      <c r="P42" s="91"/>
      <c r="Q42" s="92"/>
      <c r="R42" s="543"/>
      <c r="S42" s="543"/>
      <c r="T42" s="543"/>
      <c r="U42" s="544"/>
      <c r="V42" s="544"/>
      <c r="W42" s="544"/>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4"/>
      <c r="AZ42" s="544"/>
      <c r="BA42" s="544"/>
      <c r="BB42" s="544"/>
      <c r="BC42" s="544"/>
      <c r="BD42" s="544"/>
      <c r="BE42" s="543"/>
      <c r="BF42" s="543"/>
      <c r="BG42" s="543"/>
      <c r="BH42" s="543"/>
      <c r="BI42" s="543"/>
      <c r="BJ42" s="543"/>
      <c r="BK42" s="545"/>
      <c r="BL42" s="545"/>
      <c r="BM42" s="545"/>
      <c r="BN42" s="546"/>
      <c r="BO42" s="546"/>
      <c r="BP42" s="546"/>
      <c r="BQ42" s="543"/>
      <c r="BR42" s="543"/>
      <c r="BS42" s="543"/>
      <c r="BT42" s="543"/>
      <c r="BU42" s="543"/>
      <c r="BV42" s="543"/>
      <c r="BW42" s="543"/>
      <c r="BX42" s="543"/>
      <c r="BY42" s="543"/>
      <c r="BZ42" s="543"/>
      <c r="CA42" s="543"/>
      <c r="CB42" s="543"/>
    </row>
    <row r="43" spans="1:80" s="459" customFormat="1" ht="15.75" x14ac:dyDescent="0.2">
      <c r="A43" s="95"/>
      <c r="B43" s="126">
        <v>28</v>
      </c>
      <c r="C43" s="127" t="s">
        <v>39</v>
      </c>
      <c r="D43" s="50"/>
      <c r="E43" s="50"/>
      <c r="F43" s="50"/>
      <c r="G43" s="50"/>
      <c r="H43" s="51"/>
      <c r="I43" s="50"/>
      <c r="J43" s="50"/>
      <c r="K43" s="112"/>
      <c r="L43" s="112"/>
      <c r="M43" s="112"/>
      <c r="N43" s="50"/>
      <c r="O43" s="51"/>
      <c r="P43" s="50"/>
      <c r="Q43" s="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c r="BB43" s="550"/>
      <c r="BC43" s="550"/>
      <c r="BD43" s="550"/>
      <c r="BE43" s="550"/>
      <c r="BF43" s="550"/>
      <c r="BG43" s="550"/>
      <c r="BH43" s="550"/>
      <c r="BI43" s="550"/>
      <c r="BJ43" s="550"/>
      <c r="BK43" s="551"/>
      <c r="BL43" s="551"/>
      <c r="BM43" s="551"/>
      <c r="BN43" s="550"/>
      <c r="BO43" s="550"/>
      <c r="BP43" s="550"/>
      <c r="BQ43" s="550"/>
      <c r="BR43" s="550"/>
      <c r="BS43" s="550"/>
      <c r="BT43" s="550"/>
      <c r="BU43" s="550"/>
      <c r="BV43" s="550"/>
      <c r="BW43" s="550"/>
      <c r="BX43" s="550"/>
      <c r="BY43" s="550"/>
      <c r="BZ43" s="555"/>
      <c r="CA43" s="555"/>
      <c r="CB43" s="555"/>
    </row>
    <row r="44" spans="1:80" s="459" customFormat="1" ht="15.75" x14ac:dyDescent="0.2">
      <c r="A44" s="95"/>
      <c r="B44" s="58"/>
      <c r="C44" s="685"/>
      <c r="D44" s="124"/>
      <c r="E44" s="537"/>
      <c r="F44" s="519"/>
      <c r="G44" s="686">
        <v>87</v>
      </c>
      <c r="H44" s="128" t="s">
        <v>85</v>
      </c>
      <c r="I44" s="129"/>
      <c r="J44" s="129"/>
      <c r="K44" s="130"/>
      <c r="L44" s="130"/>
      <c r="M44" s="130"/>
      <c r="N44" s="129"/>
      <c r="O44" s="502"/>
      <c r="P44" s="129"/>
      <c r="Q44" s="129"/>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57"/>
      <c r="BL44" s="557"/>
      <c r="BM44" s="557"/>
      <c r="BN44" s="556"/>
      <c r="BO44" s="556"/>
      <c r="BP44" s="556"/>
      <c r="BQ44" s="556"/>
      <c r="BR44" s="556"/>
      <c r="BS44" s="556"/>
      <c r="BT44" s="556"/>
      <c r="BU44" s="556"/>
      <c r="BV44" s="556"/>
      <c r="BW44" s="556"/>
      <c r="BX44" s="556"/>
      <c r="BY44" s="556"/>
      <c r="BZ44" s="558"/>
      <c r="CA44" s="558"/>
      <c r="CB44" s="558"/>
    </row>
    <row r="45" spans="1:80" s="11" customFormat="1" ht="55.5" customHeight="1" x14ac:dyDescent="0.2">
      <c r="A45" s="95"/>
      <c r="B45" s="64"/>
      <c r="C45" s="857">
        <v>38</v>
      </c>
      <c r="D45" s="854" t="s">
        <v>52</v>
      </c>
      <c r="E45" s="857">
        <v>0</v>
      </c>
      <c r="F45" s="857">
        <v>2</v>
      </c>
      <c r="G45" s="64"/>
      <c r="H45" s="57">
        <v>257</v>
      </c>
      <c r="I45" s="56" t="s">
        <v>86</v>
      </c>
      <c r="J45" s="131">
        <v>0</v>
      </c>
      <c r="K45" s="132">
        <v>1</v>
      </c>
      <c r="L45" s="133">
        <v>0.3</v>
      </c>
      <c r="M45" s="850">
        <v>2017003630022</v>
      </c>
      <c r="N45" s="876" t="s">
        <v>43</v>
      </c>
      <c r="O45" s="856" t="s">
        <v>87</v>
      </c>
      <c r="P45" s="868" t="s">
        <v>88</v>
      </c>
      <c r="Q45" s="134" t="s">
        <v>51</v>
      </c>
      <c r="R45" s="539">
        <v>0</v>
      </c>
      <c r="S45" s="539"/>
      <c r="T45" s="539"/>
      <c r="U45" s="539">
        <v>0</v>
      </c>
      <c r="V45" s="539"/>
      <c r="W45" s="539"/>
      <c r="X45" s="539">
        <v>0</v>
      </c>
      <c r="Y45" s="539"/>
      <c r="Z45" s="539"/>
      <c r="AA45" s="539">
        <v>0</v>
      </c>
      <c r="AB45" s="539"/>
      <c r="AC45" s="539"/>
      <c r="AD45" s="539">
        <v>0</v>
      </c>
      <c r="AE45" s="539"/>
      <c r="AF45" s="539"/>
      <c r="AG45" s="539">
        <v>0</v>
      </c>
      <c r="AH45" s="539"/>
      <c r="AI45" s="539"/>
      <c r="AJ45" s="539">
        <v>0</v>
      </c>
      <c r="AK45" s="539"/>
      <c r="AL45" s="539"/>
      <c r="AM45" s="539"/>
      <c r="AN45" s="539"/>
      <c r="AO45" s="539"/>
      <c r="AP45" s="539"/>
      <c r="AQ45" s="539"/>
      <c r="AR45" s="539"/>
      <c r="AS45" s="539">
        <v>0</v>
      </c>
      <c r="AT45" s="539"/>
      <c r="AU45" s="539"/>
      <c r="AV45" s="539">
        <v>0</v>
      </c>
      <c r="AW45" s="539"/>
      <c r="AX45" s="539"/>
      <c r="AY45" s="539"/>
      <c r="AZ45" s="539"/>
      <c r="BA45" s="539"/>
      <c r="BB45" s="539"/>
      <c r="BC45" s="539"/>
      <c r="BD45" s="539"/>
      <c r="BE45" s="539">
        <v>0</v>
      </c>
      <c r="BF45" s="539"/>
      <c r="BG45" s="539"/>
      <c r="BH45" s="539">
        <v>0</v>
      </c>
      <c r="BI45" s="539"/>
      <c r="BJ45" s="539"/>
      <c r="BK45" s="540">
        <f>62000000+10000000</f>
        <v>72000000</v>
      </c>
      <c r="BL45" s="540">
        <v>60120000</v>
      </c>
      <c r="BM45" s="540">
        <v>20040000</v>
      </c>
      <c r="BN45" s="540"/>
      <c r="BO45" s="540"/>
      <c r="BP45" s="540"/>
      <c r="BQ45" s="539"/>
      <c r="BR45" s="541"/>
      <c r="BS45" s="541"/>
      <c r="BT45" s="541"/>
      <c r="BU45" s="541"/>
      <c r="BV45" s="541"/>
      <c r="BW45" s="541">
        <v>0</v>
      </c>
      <c r="BX45" s="541"/>
      <c r="BY45" s="541"/>
      <c r="BZ45" s="539">
        <f t="shared" ref="BZ45:BZ49" si="35">R45+U45+X45+AA45+AD45+AG45+AJ45+AM45+AP45+AS45+AV45+AY45+BB45+BE45+BH45+BK45+BN45+BQ45+BT45+BW45</f>
        <v>72000000</v>
      </c>
      <c r="CA45" s="539">
        <f t="shared" ref="CA45:CA49" si="36">S45+V45+Y45+AB45+AE45+AH45+AK45+AN45+AQ45+AT45+AW45+AZ45+BC45+BF45+BI45+BL45+BO45+BR45+BU45+BX45</f>
        <v>60120000</v>
      </c>
      <c r="CB45" s="539">
        <f t="shared" ref="CB45:CB49" si="37">T45+W45+Z45+AC45+AF45+AI45+AL45+AO45+AR45+AU45+AX45+BA45+BD45+BG45+BJ45+BM45+BP45+BS45+BV45+BY45</f>
        <v>20040000</v>
      </c>
    </row>
    <row r="46" spans="1:80" s="11" customFormat="1" ht="83.25" customHeight="1" x14ac:dyDescent="0.2">
      <c r="A46" s="95"/>
      <c r="B46" s="64"/>
      <c r="C46" s="857"/>
      <c r="D46" s="854"/>
      <c r="E46" s="857"/>
      <c r="F46" s="857"/>
      <c r="G46" s="64"/>
      <c r="H46" s="57">
        <v>258</v>
      </c>
      <c r="I46" s="56" t="s">
        <v>89</v>
      </c>
      <c r="J46" s="131">
        <v>0</v>
      </c>
      <c r="K46" s="132">
        <v>1</v>
      </c>
      <c r="L46" s="136">
        <v>0.13</v>
      </c>
      <c r="M46" s="851"/>
      <c r="N46" s="877"/>
      <c r="O46" s="857"/>
      <c r="P46" s="869"/>
      <c r="Q46" s="134" t="s">
        <v>51</v>
      </c>
      <c r="R46" s="539">
        <v>0</v>
      </c>
      <c r="S46" s="539"/>
      <c r="T46" s="539"/>
      <c r="U46" s="539">
        <v>0</v>
      </c>
      <c r="V46" s="539"/>
      <c r="W46" s="539"/>
      <c r="X46" s="539">
        <v>0</v>
      </c>
      <c r="Y46" s="539"/>
      <c r="Z46" s="539"/>
      <c r="AA46" s="539">
        <v>0</v>
      </c>
      <c r="AB46" s="539"/>
      <c r="AC46" s="539"/>
      <c r="AD46" s="539">
        <v>0</v>
      </c>
      <c r="AE46" s="539"/>
      <c r="AF46" s="539"/>
      <c r="AG46" s="539">
        <v>0</v>
      </c>
      <c r="AH46" s="539"/>
      <c r="AI46" s="539"/>
      <c r="AJ46" s="539">
        <v>0</v>
      </c>
      <c r="AK46" s="539"/>
      <c r="AL46" s="539"/>
      <c r="AM46" s="539"/>
      <c r="AN46" s="539"/>
      <c r="AO46" s="539"/>
      <c r="AP46" s="539"/>
      <c r="AQ46" s="539"/>
      <c r="AR46" s="539"/>
      <c r="AS46" s="539">
        <v>0</v>
      </c>
      <c r="AT46" s="539"/>
      <c r="AU46" s="539"/>
      <c r="AV46" s="539">
        <v>0</v>
      </c>
      <c r="AW46" s="539"/>
      <c r="AX46" s="539"/>
      <c r="AY46" s="539"/>
      <c r="AZ46" s="539"/>
      <c r="BA46" s="539"/>
      <c r="BB46" s="539"/>
      <c r="BC46" s="539"/>
      <c r="BD46" s="539"/>
      <c r="BE46" s="539">
        <v>0</v>
      </c>
      <c r="BF46" s="539"/>
      <c r="BG46" s="539"/>
      <c r="BH46" s="539">
        <v>0</v>
      </c>
      <c r="BI46" s="539"/>
      <c r="BJ46" s="539"/>
      <c r="BK46" s="540">
        <v>30000000</v>
      </c>
      <c r="BL46" s="540">
        <v>12000000</v>
      </c>
      <c r="BM46" s="540">
        <v>4000000</v>
      </c>
      <c r="BN46" s="540"/>
      <c r="BO46" s="540"/>
      <c r="BP46" s="540"/>
      <c r="BQ46" s="539">
        <v>0</v>
      </c>
      <c r="BR46" s="541"/>
      <c r="BS46" s="541"/>
      <c r="BT46" s="541"/>
      <c r="BU46" s="541"/>
      <c r="BV46" s="541"/>
      <c r="BW46" s="541">
        <v>0</v>
      </c>
      <c r="BX46" s="541"/>
      <c r="BY46" s="541"/>
      <c r="BZ46" s="539">
        <f t="shared" si="35"/>
        <v>30000000</v>
      </c>
      <c r="CA46" s="539">
        <f t="shared" si="36"/>
        <v>12000000</v>
      </c>
      <c r="CB46" s="539">
        <f t="shared" si="37"/>
        <v>4000000</v>
      </c>
    </row>
    <row r="47" spans="1:80" s="11" customFormat="1" ht="72.75" customHeight="1" x14ac:dyDescent="0.2">
      <c r="A47" s="95"/>
      <c r="B47" s="64"/>
      <c r="C47" s="857"/>
      <c r="D47" s="854"/>
      <c r="E47" s="857"/>
      <c r="F47" s="857"/>
      <c r="G47" s="64"/>
      <c r="H47" s="57">
        <v>259</v>
      </c>
      <c r="I47" s="56" t="s">
        <v>90</v>
      </c>
      <c r="J47" s="59">
        <v>1</v>
      </c>
      <c r="K47" s="60">
        <v>1</v>
      </c>
      <c r="L47" s="60">
        <v>0</v>
      </c>
      <c r="M47" s="851"/>
      <c r="N47" s="877"/>
      <c r="O47" s="857"/>
      <c r="P47" s="869"/>
      <c r="Q47" s="134" t="s">
        <v>51</v>
      </c>
      <c r="R47" s="539">
        <v>0</v>
      </c>
      <c r="S47" s="539"/>
      <c r="T47" s="539"/>
      <c r="U47" s="539">
        <v>0</v>
      </c>
      <c r="V47" s="539"/>
      <c r="W47" s="539"/>
      <c r="X47" s="539">
        <v>0</v>
      </c>
      <c r="Y47" s="539"/>
      <c r="Z47" s="539"/>
      <c r="AA47" s="539">
        <v>0</v>
      </c>
      <c r="AB47" s="539"/>
      <c r="AC47" s="539"/>
      <c r="AD47" s="539">
        <v>0</v>
      </c>
      <c r="AE47" s="539"/>
      <c r="AF47" s="539"/>
      <c r="AG47" s="539">
        <v>0</v>
      </c>
      <c r="AH47" s="539"/>
      <c r="AI47" s="539"/>
      <c r="AJ47" s="539">
        <v>0</v>
      </c>
      <c r="AK47" s="539"/>
      <c r="AL47" s="539"/>
      <c r="AM47" s="539"/>
      <c r="AN47" s="539"/>
      <c r="AO47" s="539"/>
      <c r="AP47" s="539"/>
      <c r="AQ47" s="539"/>
      <c r="AR47" s="539"/>
      <c r="AS47" s="539">
        <v>0</v>
      </c>
      <c r="AT47" s="539"/>
      <c r="AU47" s="539"/>
      <c r="AV47" s="539">
        <v>0</v>
      </c>
      <c r="AW47" s="539"/>
      <c r="AX47" s="539"/>
      <c r="AY47" s="539"/>
      <c r="AZ47" s="539"/>
      <c r="BA47" s="539"/>
      <c r="BB47" s="539"/>
      <c r="BC47" s="539"/>
      <c r="BD47" s="539"/>
      <c r="BE47" s="539">
        <v>0</v>
      </c>
      <c r="BF47" s="539"/>
      <c r="BG47" s="539"/>
      <c r="BH47" s="539">
        <v>0</v>
      </c>
      <c r="BI47" s="539"/>
      <c r="BJ47" s="539"/>
      <c r="BK47" s="163">
        <v>9000000</v>
      </c>
      <c r="BL47" s="163"/>
      <c r="BM47" s="163"/>
      <c r="BN47" s="559"/>
      <c r="BO47" s="559"/>
      <c r="BP47" s="559"/>
      <c r="BQ47" s="539">
        <v>0</v>
      </c>
      <c r="BR47" s="541"/>
      <c r="BS47" s="541"/>
      <c r="BT47" s="541"/>
      <c r="BU47" s="541"/>
      <c r="BV47" s="541"/>
      <c r="BW47" s="541">
        <v>0</v>
      </c>
      <c r="BX47" s="541"/>
      <c r="BY47" s="541"/>
      <c r="BZ47" s="539">
        <f t="shared" si="35"/>
        <v>9000000</v>
      </c>
      <c r="CA47" s="539">
        <f t="shared" si="36"/>
        <v>0</v>
      </c>
      <c r="CB47" s="539">
        <f t="shared" si="37"/>
        <v>0</v>
      </c>
    </row>
    <row r="48" spans="1:80" s="11" customFormat="1" ht="60.75" customHeight="1" x14ac:dyDescent="0.2">
      <c r="A48" s="95"/>
      <c r="B48" s="64"/>
      <c r="C48" s="857"/>
      <c r="D48" s="854"/>
      <c r="E48" s="857"/>
      <c r="F48" s="857"/>
      <c r="G48" s="64"/>
      <c r="H48" s="57">
        <v>263</v>
      </c>
      <c r="I48" s="56" t="s">
        <v>91</v>
      </c>
      <c r="J48" s="59">
        <v>1</v>
      </c>
      <c r="K48" s="60">
        <v>1</v>
      </c>
      <c r="L48" s="133">
        <v>0.5</v>
      </c>
      <c r="M48" s="851"/>
      <c r="N48" s="877"/>
      <c r="O48" s="857"/>
      <c r="P48" s="869"/>
      <c r="Q48" s="134" t="s">
        <v>51</v>
      </c>
      <c r="R48" s="539">
        <v>0</v>
      </c>
      <c r="S48" s="539"/>
      <c r="T48" s="539"/>
      <c r="U48" s="539">
        <v>0</v>
      </c>
      <c r="V48" s="539"/>
      <c r="W48" s="539"/>
      <c r="X48" s="539">
        <v>0</v>
      </c>
      <c r="Y48" s="539"/>
      <c r="Z48" s="539"/>
      <c r="AA48" s="539">
        <v>0</v>
      </c>
      <c r="AB48" s="539"/>
      <c r="AC48" s="539"/>
      <c r="AD48" s="539">
        <v>0</v>
      </c>
      <c r="AE48" s="539"/>
      <c r="AF48" s="539"/>
      <c r="AG48" s="539">
        <v>0</v>
      </c>
      <c r="AH48" s="539"/>
      <c r="AI48" s="539"/>
      <c r="AJ48" s="539">
        <v>0</v>
      </c>
      <c r="AK48" s="539"/>
      <c r="AL48" s="539"/>
      <c r="AM48" s="539"/>
      <c r="AN48" s="539"/>
      <c r="AO48" s="539"/>
      <c r="AP48" s="539"/>
      <c r="AQ48" s="539"/>
      <c r="AR48" s="539"/>
      <c r="AS48" s="539">
        <v>0</v>
      </c>
      <c r="AT48" s="539"/>
      <c r="AU48" s="539"/>
      <c r="AV48" s="539">
        <v>0</v>
      </c>
      <c r="AW48" s="539"/>
      <c r="AX48" s="539"/>
      <c r="AY48" s="539"/>
      <c r="AZ48" s="539"/>
      <c r="BA48" s="539"/>
      <c r="BB48" s="539"/>
      <c r="BC48" s="539"/>
      <c r="BD48" s="539"/>
      <c r="BE48" s="539">
        <v>0</v>
      </c>
      <c r="BF48" s="539"/>
      <c r="BG48" s="539"/>
      <c r="BH48" s="539">
        <v>0</v>
      </c>
      <c r="BI48" s="539"/>
      <c r="BJ48" s="539"/>
      <c r="BK48" s="163">
        <f>50000000+30000000</f>
        <v>80000000</v>
      </c>
      <c r="BL48" s="163"/>
      <c r="BM48" s="163"/>
      <c r="BN48" s="559"/>
      <c r="BO48" s="559"/>
      <c r="BP48" s="559"/>
      <c r="BQ48" s="539">
        <v>0</v>
      </c>
      <c r="BR48" s="541"/>
      <c r="BS48" s="541"/>
      <c r="BT48" s="541"/>
      <c r="BU48" s="541"/>
      <c r="BV48" s="541"/>
      <c r="BW48" s="541">
        <v>0</v>
      </c>
      <c r="BX48" s="541"/>
      <c r="BY48" s="541"/>
      <c r="BZ48" s="539">
        <f t="shared" si="35"/>
        <v>80000000</v>
      </c>
      <c r="CA48" s="539">
        <f t="shared" si="36"/>
        <v>0</v>
      </c>
      <c r="CB48" s="539">
        <f t="shared" si="37"/>
        <v>0</v>
      </c>
    </row>
    <row r="49" spans="1:80" s="11" customFormat="1" ht="75" customHeight="1" x14ac:dyDescent="0.2">
      <c r="A49" s="95"/>
      <c r="B49" s="64"/>
      <c r="C49" s="858"/>
      <c r="D49" s="855"/>
      <c r="E49" s="858"/>
      <c r="F49" s="858"/>
      <c r="G49" s="64"/>
      <c r="H49" s="57">
        <v>261</v>
      </c>
      <c r="I49" s="56" t="s">
        <v>92</v>
      </c>
      <c r="J49" s="59">
        <v>1</v>
      </c>
      <c r="K49" s="60">
        <v>2</v>
      </c>
      <c r="L49" s="60">
        <v>1</v>
      </c>
      <c r="M49" s="852"/>
      <c r="N49" s="878"/>
      <c r="O49" s="858"/>
      <c r="P49" s="870"/>
      <c r="Q49" s="134" t="s">
        <v>51</v>
      </c>
      <c r="R49" s="539">
        <v>0</v>
      </c>
      <c r="S49" s="539"/>
      <c r="T49" s="539"/>
      <c r="U49" s="539">
        <v>0</v>
      </c>
      <c r="V49" s="539"/>
      <c r="W49" s="539"/>
      <c r="X49" s="539">
        <v>0</v>
      </c>
      <c r="Y49" s="539"/>
      <c r="Z49" s="539"/>
      <c r="AA49" s="539">
        <v>0</v>
      </c>
      <c r="AB49" s="539"/>
      <c r="AC49" s="539"/>
      <c r="AD49" s="539">
        <v>0</v>
      </c>
      <c r="AE49" s="539"/>
      <c r="AF49" s="539"/>
      <c r="AG49" s="539">
        <v>0</v>
      </c>
      <c r="AH49" s="539"/>
      <c r="AI49" s="539"/>
      <c r="AJ49" s="539">
        <v>0</v>
      </c>
      <c r="AK49" s="539"/>
      <c r="AL49" s="539"/>
      <c r="AM49" s="539"/>
      <c r="AN49" s="539"/>
      <c r="AO49" s="539"/>
      <c r="AP49" s="539"/>
      <c r="AQ49" s="539"/>
      <c r="AR49" s="539"/>
      <c r="AS49" s="539">
        <v>0</v>
      </c>
      <c r="AT49" s="539"/>
      <c r="AU49" s="539"/>
      <c r="AV49" s="539">
        <v>0</v>
      </c>
      <c r="AW49" s="539"/>
      <c r="AX49" s="539"/>
      <c r="AY49" s="539"/>
      <c r="AZ49" s="539"/>
      <c r="BA49" s="539"/>
      <c r="BB49" s="539"/>
      <c r="BC49" s="539"/>
      <c r="BD49" s="539"/>
      <c r="BE49" s="539">
        <v>0</v>
      </c>
      <c r="BF49" s="539"/>
      <c r="BG49" s="539"/>
      <c r="BH49" s="539">
        <v>0</v>
      </c>
      <c r="BI49" s="541"/>
      <c r="BJ49" s="541"/>
      <c r="BK49" s="542">
        <v>21000000</v>
      </c>
      <c r="BL49" s="542">
        <v>20933333</v>
      </c>
      <c r="BM49" s="542">
        <v>4000000</v>
      </c>
      <c r="BN49" s="542"/>
      <c r="BO49" s="542"/>
      <c r="BP49" s="542"/>
      <c r="BQ49" s="539">
        <v>0</v>
      </c>
      <c r="BR49" s="541"/>
      <c r="BS49" s="541"/>
      <c r="BT49" s="541"/>
      <c r="BU49" s="541"/>
      <c r="BV49" s="541"/>
      <c r="BW49" s="541">
        <v>0</v>
      </c>
      <c r="BX49" s="541"/>
      <c r="BY49" s="541"/>
      <c r="BZ49" s="539">
        <f t="shared" si="35"/>
        <v>21000000</v>
      </c>
      <c r="CA49" s="539">
        <f t="shared" si="36"/>
        <v>20933333</v>
      </c>
      <c r="CB49" s="539">
        <f t="shared" si="37"/>
        <v>4000000</v>
      </c>
    </row>
    <row r="50" spans="1:80" s="11" customFormat="1" ht="98.25" customHeight="1" x14ac:dyDescent="0.2">
      <c r="A50" s="95"/>
      <c r="B50" s="64"/>
      <c r="C50" s="27">
        <v>38</v>
      </c>
      <c r="D50" s="67" t="s">
        <v>52</v>
      </c>
      <c r="E50" s="57">
        <v>0</v>
      </c>
      <c r="F50" s="57">
        <v>2</v>
      </c>
      <c r="G50" s="64"/>
      <c r="H50" s="57">
        <v>262</v>
      </c>
      <c r="I50" s="56" t="s">
        <v>93</v>
      </c>
      <c r="J50" s="59">
        <v>1</v>
      </c>
      <c r="K50" s="60">
        <v>1</v>
      </c>
      <c r="L50" s="135">
        <v>7.0000000000000007E-2</v>
      </c>
      <c r="M50" s="61">
        <v>2017003630023</v>
      </c>
      <c r="N50" s="56" t="s">
        <v>43</v>
      </c>
      <c r="O50" s="498" t="s">
        <v>94</v>
      </c>
      <c r="P50" s="56" t="s">
        <v>95</v>
      </c>
      <c r="Q50" s="134" t="s">
        <v>51</v>
      </c>
      <c r="R50" s="539">
        <v>0</v>
      </c>
      <c r="S50" s="539"/>
      <c r="T50" s="539"/>
      <c r="U50" s="539">
        <v>0</v>
      </c>
      <c r="V50" s="539"/>
      <c r="W50" s="539"/>
      <c r="X50" s="539">
        <v>0</v>
      </c>
      <c r="Y50" s="539"/>
      <c r="Z50" s="539"/>
      <c r="AA50" s="539">
        <v>0</v>
      </c>
      <c r="AB50" s="539"/>
      <c r="AC50" s="539"/>
      <c r="AD50" s="539">
        <v>0</v>
      </c>
      <c r="AE50" s="539"/>
      <c r="AF50" s="539"/>
      <c r="AG50" s="539">
        <v>0</v>
      </c>
      <c r="AH50" s="539"/>
      <c r="AI50" s="539"/>
      <c r="AJ50" s="539">
        <v>0</v>
      </c>
      <c r="AK50" s="539"/>
      <c r="AL50" s="539"/>
      <c r="AM50" s="539"/>
      <c r="AN50" s="539"/>
      <c r="AO50" s="539"/>
      <c r="AP50" s="539"/>
      <c r="AQ50" s="539"/>
      <c r="AR50" s="539"/>
      <c r="AS50" s="539">
        <v>0</v>
      </c>
      <c r="AT50" s="539"/>
      <c r="AU50" s="539"/>
      <c r="AV50" s="539">
        <v>0</v>
      </c>
      <c r="AW50" s="539"/>
      <c r="AX50" s="539"/>
      <c r="AY50" s="539"/>
      <c r="AZ50" s="539"/>
      <c r="BA50" s="539"/>
      <c r="BB50" s="539"/>
      <c r="BC50" s="539"/>
      <c r="BD50" s="539"/>
      <c r="BE50" s="539">
        <v>0</v>
      </c>
      <c r="BF50" s="539"/>
      <c r="BG50" s="539"/>
      <c r="BH50" s="539">
        <v>0</v>
      </c>
      <c r="BI50" s="539"/>
      <c r="BJ50" s="539"/>
      <c r="BK50" s="540">
        <f>30000000+78000000</f>
        <v>108000000</v>
      </c>
      <c r="BL50" s="540">
        <v>36120000</v>
      </c>
      <c r="BM50" s="540">
        <v>12040000</v>
      </c>
      <c r="BN50" s="553"/>
      <c r="BO50" s="553"/>
      <c r="BP50" s="553"/>
      <c r="BQ50" s="539"/>
      <c r="BR50" s="541"/>
      <c r="BS50" s="541"/>
      <c r="BT50" s="541"/>
      <c r="BU50" s="541"/>
      <c r="BV50" s="541"/>
      <c r="BW50" s="541">
        <v>0</v>
      </c>
      <c r="BX50" s="541"/>
      <c r="BY50" s="541"/>
      <c r="BZ50" s="539">
        <f>R50+U50+X50+AA50+AD50+AG50+AJ50+AM50+AP50+AS50+AV50+AY50+BB50+BE50+BH50+BK50+BN50+BQ50+BT50+BW50</f>
        <v>108000000</v>
      </c>
      <c r="CA50" s="539">
        <f t="shared" ref="CA50:CB50" si="38">S50+V50+Y50+AB50+AE50+AH50+AK50+AN50+AQ50+AT50+AW50+AZ50+BC50+BF50+BI50+BL50+BO50+BR50+BU50+BX50</f>
        <v>36120000</v>
      </c>
      <c r="CB50" s="539">
        <f t="shared" si="38"/>
        <v>12040000</v>
      </c>
    </row>
    <row r="51" spans="1:80" s="11" customFormat="1" ht="122.25" customHeight="1" x14ac:dyDescent="0.2">
      <c r="A51" s="95"/>
      <c r="B51" s="64"/>
      <c r="C51" s="27">
        <v>38</v>
      </c>
      <c r="D51" s="67" t="s">
        <v>52</v>
      </c>
      <c r="E51" s="57">
        <v>0</v>
      </c>
      <c r="F51" s="57">
        <v>2</v>
      </c>
      <c r="G51" s="64"/>
      <c r="H51" s="57">
        <v>264</v>
      </c>
      <c r="I51" s="56" t="s">
        <v>96</v>
      </c>
      <c r="J51" s="59">
        <v>0</v>
      </c>
      <c r="K51" s="60">
        <v>1</v>
      </c>
      <c r="L51" s="60">
        <v>0</v>
      </c>
      <c r="M51" s="61">
        <v>2017003630043</v>
      </c>
      <c r="N51" s="56" t="s">
        <v>43</v>
      </c>
      <c r="O51" s="498" t="s">
        <v>97</v>
      </c>
      <c r="P51" s="56" t="s">
        <v>98</v>
      </c>
      <c r="Q51" s="134" t="s">
        <v>51</v>
      </c>
      <c r="R51" s="539">
        <v>0</v>
      </c>
      <c r="S51" s="539"/>
      <c r="T51" s="539"/>
      <c r="U51" s="539">
        <v>0</v>
      </c>
      <c r="V51" s="539"/>
      <c r="W51" s="539"/>
      <c r="X51" s="539">
        <v>0</v>
      </c>
      <c r="Y51" s="539"/>
      <c r="Z51" s="539"/>
      <c r="AA51" s="539">
        <v>0</v>
      </c>
      <c r="AB51" s="539"/>
      <c r="AC51" s="539"/>
      <c r="AD51" s="539">
        <v>0</v>
      </c>
      <c r="AE51" s="539"/>
      <c r="AF51" s="539"/>
      <c r="AG51" s="539">
        <v>0</v>
      </c>
      <c r="AH51" s="539"/>
      <c r="AI51" s="539"/>
      <c r="AJ51" s="539">
        <v>0</v>
      </c>
      <c r="AK51" s="539"/>
      <c r="AL51" s="539"/>
      <c r="AM51" s="539"/>
      <c r="AN51" s="539"/>
      <c r="AO51" s="539"/>
      <c r="AP51" s="539"/>
      <c r="AQ51" s="539"/>
      <c r="AR51" s="539"/>
      <c r="AS51" s="539">
        <v>0</v>
      </c>
      <c r="AT51" s="539"/>
      <c r="AU51" s="539"/>
      <c r="AV51" s="539">
        <v>0</v>
      </c>
      <c r="AW51" s="539"/>
      <c r="AX51" s="539"/>
      <c r="AY51" s="539"/>
      <c r="AZ51" s="539"/>
      <c r="BA51" s="539"/>
      <c r="BB51" s="539"/>
      <c r="BC51" s="539"/>
      <c r="BD51" s="539"/>
      <c r="BE51" s="539">
        <v>0</v>
      </c>
      <c r="BF51" s="539"/>
      <c r="BG51" s="539"/>
      <c r="BH51" s="539">
        <v>0</v>
      </c>
      <c r="BI51" s="539"/>
      <c r="BJ51" s="539"/>
      <c r="BK51" s="540">
        <f>150000000+100000000</f>
        <v>250000000</v>
      </c>
      <c r="BL51" s="540"/>
      <c r="BM51" s="540"/>
      <c r="BN51" s="553"/>
      <c r="BO51" s="553"/>
      <c r="BP51" s="553"/>
      <c r="BQ51" s="539">
        <v>0</v>
      </c>
      <c r="BR51" s="541"/>
      <c r="BS51" s="541"/>
      <c r="BT51" s="541"/>
      <c r="BU51" s="541"/>
      <c r="BV51" s="541"/>
      <c r="BW51" s="541">
        <v>0</v>
      </c>
      <c r="BX51" s="541"/>
      <c r="BY51" s="541"/>
      <c r="BZ51" s="539">
        <f t="shared" ref="BZ51:BZ62" si="39">R51+U51+X51+AA51+AD51+AG51+AJ51+AM51+AP51+AS51+AV51+AY51+BB51+BE51+BH51+BK51+BN51+BQ51+BT51+BW51</f>
        <v>250000000</v>
      </c>
      <c r="CA51" s="539">
        <f t="shared" ref="CA51:CA62" si="40">S51+V51+Y51+AB51+AE51+AH51+AK51+AN51+AQ51+AT51+AW51+AZ51+BC51+BF51+BI51+BL51+BO51+BR51+BU51+BX51</f>
        <v>0</v>
      </c>
      <c r="CB51" s="539">
        <f t="shared" ref="CB51:CB62" si="41">T51+W51+Z51+AC51+AF51+AI51+AL51+AO51+AR51+AU51+AX51+BA51+BD51+BG51+BJ51+BM51+BP51+BS51+BV51+BY51</f>
        <v>0</v>
      </c>
    </row>
    <row r="52" spans="1:80" s="11" customFormat="1" ht="94.5" customHeight="1" x14ac:dyDescent="0.2">
      <c r="A52" s="95"/>
      <c r="B52" s="64"/>
      <c r="C52" s="27">
        <v>38</v>
      </c>
      <c r="D52" s="67" t="s">
        <v>52</v>
      </c>
      <c r="E52" s="57">
        <v>0</v>
      </c>
      <c r="F52" s="57">
        <v>2</v>
      </c>
      <c r="G52" s="64"/>
      <c r="H52" s="57">
        <v>265</v>
      </c>
      <c r="I52" s="56" t="s">
        <v>99</v>
      </c>
      <c r="J52" s="131">
        <v>0</v>
      </c>
      <c r="K52" s="132">
        <v>1</v>
      </c>
      <c r="L52" s="136">
        <v>0.25</v>
      </c>
      <c r="M52" s="61">
        <v>2017003630024</v>
      </c>
      <c r="N52" s="131" t="s">
        <v>100</v>
      </c>
      <c r="O52" s="498" t="s">
        <v>101</v>
      </c>
      <c r="P52" s="56" t="s">
        <v>102</v>
      </c>
      <c r="Q52" s="134" t="s">
        <v>51</v>
      </c>
      <c r="R52" s="539">
        <v>0</v>
      </c>
      <c r="S52" s="539"/>
      <c r="T52" s="539"/>
      <c r="U52" s="539">
        <v>0</v>
      </c>
      <c r="V52" s="539"/>
      <c r="W52" s="539"/>
      <c r="X52" s="539">
        <v>0</v>
      </c>
      <c r="Y52" s="539"/>
      <c r="Z52" s="539"/>
      <c r="AA52" s="539">
        <v>0</v>
      </c>
      <c r="AB52" s="539"/>
      <c r="AC52" s="539"/>
      <c r="AD52" s="539">
        <v>0</v>
      </c>
      <c r="AE52" s="539"/>
      <c r="AF52" s="539"/>
      <c r="AG52" s="539">
        <v>0</v>
      </c>
      <c r="AH52" s="539"/>
      <c r="AI52" s="539"/>
      <c r="AJ52" s="539">
        <v>0</v>
      </c>
      <c r="AK52" s="539"/>
      <c r="AL52" s="539"/>
      <c r="AM52" s="539"/>
      <c r="AN52" s="539"/>
      <c r="AO52" s="539"/>
      <c r="AP52" s="539"/>
      <c r="AQ52" s="539"/>
      <c r="AR52" s="539"/>
      <c r="AS52" s="539">
        <v>0</v>
      </c>
      <c r="AT52" s="539"/>
      <c r="AU52" s="539"/>
      <c r="AV52" s="539">
        <v>0</v>
      </c>
      <c r="AW52" s="539"/>
      <c r="AX52" s="539"/>
      <c r="AY52" s="539"/>
      <c r="AZ52" s="539"/>
      <c r="BA52" s="539"/>
      <c r="BB52" s="539"/>
      <c r="BC52" s="539"/>
      <c r="BD52" s="539"/>
      <c r="BE52" s="539">
        <v>0</v>
      </c>
      <c r="BF52" s="539"/>
      <c r="BG52" s="539"/>
      <c r="BH52" s="539">
        <v>0</v>
      </c>
      <c r="BI52" s="539"/>
      <c r="BJ52" s="539"/>
      <c r="BK52" s="540">
        <f>456500000+135000000</f>
        <v>591500000</v>
      </c>
      <c r="BL52" s="540">
        <v>236999996</v>
      </c>
      <c r="BM52" s="540">
        <v>62213332</v>
      </c>
      <c r="BN52" s="553"/>
      <c r="BO52" s="553"/>
      <c r="BP52" s="553"/>
      <c r="BQ52" s="539">
        <v>0</v>
      </c>
      <c r="BR52" s="541"/>
      <c r="BS52" s="541"/>
      <c r="BT52" s="541"/>
      <c r="BU52" s="541"/>
      <c r="BV52" s="541"/>
      <c r="BW52" s="541">
        <v>0</v>
      </c>
      <c r="BX52" s="541"/>
      <c r="BY52" s="541"/>
      <c r="BZ52" s="539">
        <f t="shared" si="39"/>
        <v>591500000</v>
      </c>
      <c r="CA52" s="539">
        <f t="shared" si="40"/>
        <v>236999996</v>
      </c>
      <c r="CB52" s="539">
        <f t="shared" si="41"/>
        <v>62213332</v>
      </c>
    </row>
    <row r="53" spans="1:80" s="11" customFormat="1" ht="81" customHeight="1" x14ac:dyDescent="0.2">
      <c r="A53" s="95"/>
      <c r="B53" s="64"/>
      <c r="C53" s="57">
        <v>38</v>
      </c>
      <c r="D53" s="56" t="s">
        <v>52</v>
      </c>
      <c r="E53" s="57">
        <v>0</v>
      </c>
      <c r="F53" s="57">
        <v>2</v>
      </c>
      <c r="G53" s="64"/>
      <c r="H53" s="57">
        <v>266</v>
      </c>
      <c r="I53" s="56" t="s">
        <v>103</v>
      </c>
      <c r="J53" s="59">
        <v>1</v>
      </c>
      <c r="K53" s="60">
        <v>1</v>
      </c>
      <c r="L53" s="138">
        <v>0.3</v>
      </c>
      <c r="M53" s="61">
        <v>2017003630084</v>
      </c>
      <c r="N53" s="56" t="s">
        <v>43</v>
      </c>
      <c r="O53" s="498" t="s">
        <v>104</v>
      </c>
      <c r="P53" s="56" t="s">
        <v>105</v>
      </c>
      <c r="Q53" s="134" t="s">
        <v>51</v>
      </c>
      <c r="R53" s="539">
        <v>0</v>
      </c>
      <c r="S53" s="539"/>
      <c r="T53" s="539"/>
      <c r="U53" s="539">
        <v>0</v>
      </c>
      <c r="V53" s="539"/>
      <c r="W53" s="539"/>
      <c r="X53" s="539">
        <v>0</v>
      </c>
      <c r="Y53" s="539"/>
      <c r="Z53" s="539"/>
      <c r="AA53" s="539">
        <v>0</v>
      </c>
      <c r="AB53" s="539"/>
      <c r="AC53" s="539"/>
      <c r="AD53" s="539">
        <v>0</v>
      </c>
      <c r="AE53" s="539"/>
      <c r="AF53" s="539"/>
      <c r="AG53" s="539">
        <v>0</v>
      </c>
      <c r="AH53" s="539"/>
      <c r="AI53" s="539"/>
      <c r="AJ53" s="539">
        <v>0</v>
      </c>
      <c r="AK53" s="539"/>
      <c r="AL53" s="539"/>
      <c r="AM53" s="539"/>
      <c r="AN53" s="539"/>
      <c r="AO53" s="539"/>
      <c r="AP53" s="539"/>
      <c r="AQ53" s="539"/>
      <c r="AR53" s="539"/>
      <c r="AS53" s="539">
        <v>0</v>
      </c>
      <c r="AT53" s="539"/>
      <c r="AU53" s="539"/>
      <c r="AV53" s="539">
        <v>0</v>
      </c>
      <c r="AW53" s="539"/>
      <c r="AX53" s="539"/>
      <c r="AY53" s="539"/>
      <c r="AZ53" s="539"/>
      <c r="BA53" s="539"/>
      <c r="BB53" s="539"/>
      <c r="BC53" s="539"/>
      <c r="BD53" s="539"/>
      <c r="BE53" s="539">
        <v>0</v>
      </c>
      <c r="BF53" s="539"/>
      <c r="BG53" s="539"/>
      <c r="BH53" s="539">
        <v>0</v>
      </c>
      <c r="BI53" s="539"/>
      <c r="BJ53" s="539"/>
      <c r="BK53" s="540">
        <v>38500000</v>
      </c>
      <c r="BL53" s="540">
        <v>20280000</v>
      </c>
      <c r="BM53" s="540">
        <v>6760000</v>
      </c>
      <c r="BN53" s="553"/>
      <c r="BO53" s="553"/>
      <c r="BP53" s="553"/>
      <c r="BQ53" s="539">
        <v>0</v>
      </c>
      <c r="BR53" s="541"/>
      <c r="BS53" s="541"/>
      <c r="BT53" s="541"/>
      <c r="BU53" s="541"/>
      <c r="BV53" s="541"/>
      <c r="BW53" s="541">
        <v>0</v>
      </c>
      <c r="BX53" s="541"/>
      <c r="BY53" s="541"/>
      <c r="BZ53" s="539">
        <f t="shared" si="39"/>
        <v>38500000</v>
      </c>
      <c r="CA53" s="539">
        <f t="shared" si="40"/>
        <v>20280000</v>
      </c>
      <c r="CB53" s="539">
        <f t="shared" si="41"/>
        <v>6760000</v>
      </c>
    </row>
    <row r="54" spans="1:80" s="11" customFormat="1" ht="48.75" customHeight="1" x14ac:dyDescent="0.2">
      <c r="A54" s="95"/>
      <c r="B54" s="64"/>
      <c r="C54" s="856">
        <v>38</v>
      </c>
      <c r="D54" s="853" t="s">
        <v>52</v>
      </c>
      <c r="E54" s="856">
        <v>0</v>
      </c>
      <c r="F54" s="856">
        <v>2</v>
      </c>
      <c r="G54" s="64"/>
      <c r="H54" s="57">
        <v>267</v>
      </c>
      <c r="I54" s="56" t="s">
        <v>106</v>
      </c>
      <c r="J54" s="59">
        <v>1</v>
      </c>
      <c r="K54" s="60">
        <v>1</v>
      </c>
      <c r="L54" s="60">
        <v>0</v>
      </c>
      <c r="M54" s="850">
        <v>2017003630025</v>
      </c>
      <c r="N54" s="873" t="s">
        <v>43</v>
      </c>
      <c r="O54" s="856" t="s">
        <v>107</v>
      </c>
      <c r="P54" s="853" t="s">
        <v>108</v>
      </c>
      <c r="Q54" s="134" t="s">
        <v>51</v>
      </c>
      <c r="R54" s="539">
        <v>0</v>
      </c>
      <c r="S54" s="539"/>
      <c r="T54" s="539"/>
      <c r="U54" s="539">
        <v>0</v>
      </c>
      <c r="V54" s="539"/>
      <c r="W54" s="539"/>
      <c r="X54" s="539">
        <v>0</v>
      </c>
      <c r="Y54" s="539"/>
      <c r="Z54" s="539"/>
      <c r="AA54" s="539">
        <v>0</v>
      </c>
      <c r="AB54" s="539"/>
      <c r="AC54" s="539"/>
      <c r="AD54" s="539">
        <v>0</v>
      </c>
      <c r="AE54" s="539"/>
      <c r="AF54" s="539"/>
      <c r="AG54" s="539">
        <v>0</v>
      </c>
      <c r="AH54" s="539"/>
      <c r="AI54" s="539"/>
      <c r="AJ54" s="539">
        <v>0</v>
      </c>
      <c r="AK54" s="539"/>
      <c r="AL54" s="539"/>
      <c r="AM54" s="539"/>
      <c r="AN54" s="539"/>
      <c r="AO54" s="539"/>
      <c r="AP54" s="539"/>
      <c r="AQ54" s="539"/>
      <c r="AR54" s="539"/>
      <c r="AS54" s="539">
        <v>0</v>
      </c>
      <c r="AT54" s="539"/>
      <c r="AU54" s="539"/>
      <c r="AV54" s="539">
        <v>0</v>
      </c>
      <c r="AW54" s="539"/>
      <c r="AX54" s="539"/>
      <c r="AY54" s="539"/>
      <c r="AZ54" s="539"/>
      <c r="BA54" s="539"/>
      <c r="BB54" s="539"/>
      <c r="BC54" s="539"/>
      <c r="BD54" s="539"/>
      <c r="BE54" s="539">
        <v>0</v>
      </c>
      <c r="BF54" s="539"/>
      <c r="BG54" s="539"/>
      <c r="BH54" s="539">
        <v>0</v>
      </c>
      <c r="BI54" s="539"/>
      <c r="BJ54" s="539"/>
      <c r="BK54" s="540">
        <f>10000000</f>
        <v>10000000</v>
      </c>
      <c r="BL54" s="540"/>
      <c r="BM54" s="540"/>
      <c r="BN54" s="540"/>
      <c r="BO54" s="540"/>
      <c r="BP54" s="540"/>
      <c r="BQ54" s="539">
        <v>0</v>
      </c>
      <c r="BR54" s="541"/>
      <c r="BS54" s="541"/>
      <c r="BT54" s="541"/>
      <c r="BU54" s="541"/>
      <c r="BV54" s="541"/>
      <c r="BW54" s="541">
        <v>0</v>
      </c>
      <c r="BX54" s="541"/>
      <c r="BY54" s="541"/>
      <c r="BZ54" s="539">
        <f t="shared" si="39"/>
        <v>10000000</v>
      </c>
      <c r="CA54" s="539">
        <f t="shared" si="40"/>
        <v>0</v>
      </c>
      <c r="CB54" s="539">
        <f t="shared" si="41"/>
        <v>0</v>
      </c>
    </row>
    <row r="55" spans="1:80" s="11" customFormat="1" ht="110.25" customHeight="1" x14ac:dyDescent="0.2">
      <c r="A55" s="95"/>
      <c r="B55" s="64"/>
      <c r="C55" s="857"/>
      <c r="D55" s="854"/>
      <c r="E55" s="857"/>
      <c r="F55" s="857"/>
      <c r="G55" s="64"/>
      <c r="H55" s="57">
        <v>268</v>
      </c>
      <c r="I55" s="56" t="s">
        <v>109</v>
      </c>
      <c r="J55" s="59">
        <v>12</v>
      </c>
      <c r="K55" s="60">
        <v>12</v>
      </c>
      <c r="L55" s="60">
        <v>0</v>
      </c>
      <c r="M55" s="851"/>
      <c r="N55" s="874"/>
      <c r="O55" s="857"/>
      <c r="P55" s="854"/>
      <c r="Q55" s="134" t="s">
        <v>51</v>
      </c>
      <c r="R55" s="539">
        <v>0</v>
      </c>
      <c r="S55" s="539"/>
      <c r="T55" s="539"/>
      <c r="U55" s="539">
        <v>0</v>
      </c>
      <c r="V55" s="539"/>
      <c r="W55" s="539"/>
      <c r="X55" s="539">
        <v>0</v>
      </c>
      <c r="Y55" s="539"/>
      <c r="Z55" s="539"/>
      <c r="AA55" s="539">
        <v>0</v>
      </c>
      <c r="AB55" s="539"/>
      <c r="AC55" s="539"/>
      <c r="AD55" s="539">
        <v>0</v>
      </c>
      <c r="AE55" s="539"/>
      <c r="AF55" s="539"/>
      <c r="AG55" s="539">
        <v>0</v>
      </c>
      <c r="AH55" s="539"/>
      <c r="AI55" s="539"/>
      <c r="AJ55" s="539">
        <v>0</v>
      </c>
      <c r="AK55" s="539"/>
      <c r="AL55" s="539"/>
      <c r="AM55" s="539"/>
      <c r="AN55" s="539"/>
      <c r="AO55" s="539"/>
      <c r="AP55" s="539"/>
      <c r="AQ55" s="539"/>
      <c r="AR55" s="539"/>
      <c r="AS55" s="539">
        <v>0</v>
      </c>
      <c r="AT55" s="539"/>
      <c r="AU55" s="539"/>
      <c r="AV55" s="539">
        <v>0</v>
      </c>
      <c r="AW55" s="539"/>
      <c r="AX55" s="539"/>
      <c r="AY55" s="539"/>
      <c r="AZ55" s="539"/>
      <c r="BA55" s="539"/>
      <c r="BB55" s="539"/>
      <c r="BC55" s="539"/>
      <c r="BD55" s="539"/>
      <c r="BE55" s="539">
        <v>0</v>
      </c>
      <c r="BF55" s="539"/>
      <c r="BG55" s="539"/>
      <c r="BH55" s="539">
        <v>0</v>
      </c>
      <c r="BI55" s="539"/>
      <c r="BJ55" s="539"/>
      <c r="BK55" s="540">
        <f>21000000+9000000+40000000</f>
        <v>70000000</v>
      </c>
      <c r="BL55" s="540">
        <v>1200000</v>
      </c>
      <c r="BM55" s="540"/>
      <c r="BN55" s="540"/>
      <c r="BO55" s="540"/>
      <c r="BP55" s="540"/>
      <c r="BQ55" s="539">
        <v>0</v>
      </c>
      <c r="BR55" s="541"/>
      <c r="BS55" s="541"/>
      <c r="BT55" s="541"/>
      <c r="BU55" s="541"/>
      <c r="BV55" s="541"/>
      <c r="BW55" s="541">
        <v>0</v>
      </c>
      <c r="BX55" s="541"/>
      <c r="BY55" s="541"/>
      <c r="BZ55" s="539">
        <f t="shared" si="39"/>
        <v>70000000</v>
      </c>
      <c r="CA55" s="539">
        <f t="shared" si="40"/>
        <v>1200000</v>
      </c>
      <c r="CB55" s="539">
        <f t="shared" si="41"/>
        <v>0</v>
      </c>
    </row>
    <row r="56" spans="1:80" s="11" customFormat="1" ht="107.25" customHeight="1" x14ac:dyDescent="0.2">
      <c r="A56" s="95"/>
      <c r="B56" s="64"/>
      <c r="C56" s="857"/>
      <c r="D56" s="854"/>
      <c r="E56" s="857"/>
      <c r="F56" s="857"/>
      <c r="G56" s="64"/>
      <c r="H56" s="57">
        <v>269</v>
      </c>
      <c r="I56" s="56" t="s">
        <v>110</v>
      </c>
      <c r="J56" s="59">
        <v>12</v>
      </c>
      <c r="K56" s="60">
        <v>12</v>
      </c>
      <c r="L56" s="60">
        <v>12</v>
      </c>
      <c r="M56" s="851"/>
      <c r="N56" s="874"/>
      <c r="O56" s="857"/>
      <c r="P56" s="854"/>
      <c r="Q56" s="134" t="s">
        <v>51</v>
      </c>
      <c r="R56" s="539">
        <v>0</v>
      </c>
      <c r="S56" s="539"/>
      <c r="T56" s="539"/>
      <c r="U56" s="539">
        <v>0</v>
      </c>
      <c r="V56" s="539"/>
      <c r="W56" s="539"/>
      <c r="X56" s="539">
        <v>0</v>
      </c>
      <c r="Y56" s="539"/>
      <c r="Z56" s="539"/>
      <c r="AA56" s="539">
        <v>0</v>
      </c>
      <c r="AB56" s="539"/>
      <c r="AC56" s="539"/>
      <c r="AD56" s="539">
        <v>0</v>
      </c>
      <c r="AE56" s="539"/>
      <c r="AF56" s="539"/>
      <c r="AG56" s="539">
        <v>0</v>
      </c>
      <c r="AH56" s="539"/>
      <c r="AI56" s="539"/>
      <c r="AJ56" s="539">
        <v>0</v>
      </c>
      <c r="AK56" s="539"/>
      <c r="AL56" s="539"/>
      <c r="AM56" s="539"/>
      <c r="AN56" s="539"/>
      <c r="AO56" s="539"/>
      <c r="AP56" s="539"/>
      <c r="AQ56" s="539"/>
      <c r="AR56" s="539"/>
      <c r="AS56" s="539">
        <v>0</v>
      </c>
      <c r="AT56" s="539"/>
      <c r="AU56" s="539"/>
      <c r="AV56" s="539">
        <v>0</v>
      </c>
      <c r="AW56" s="539"/>
      <c r="AX56" s="539"/>
      <c r="AY56" s="539"/>
      <c r="AZ56" s="539"/>
      <c r="BA56" s="539"/>
      <c r="BB56" s="539"/>
      <c r="BC56" s="539"/>
      <c r="BD56" s="539"/>
      <c r="BE56" s="539">
        <v>0</v>
      </c>
      <c r="BF56" s="539"/>
      <c r="BG56" s="539"/>
      <c r="BH56" s="539">
        <v>0</v>
      </c>
      <c r="BI56" s="539"/>
      <c r="BJ56" s="539"/>
      <c r="BK56" s="540">
        <f>21000000+9000000</f>
        <v>30000000</v>
      </c>
      <c r="BL56" s="540">
        <v>21000000</v>
      </c>
      <c r="BM56" s="540">
        <v>6760000</v>
      </c>
      <c r="BN56" s="540"/>
      <c r="BO56" s="540"/>
      <c r="BP56" s="540"/>
      <c r="BQ56" s="539">
        <v>0</v>
      </c>
      <c r="BR56" s="541"/>
      <c r="BS56" s="541"/>
      <c r="BT56" s="541"/>
      <c r="BU56" s="541"/>
      <c r="BV56" s="541"/>
      <c r="BW56" s="541">
        <v>0</v>
      </c>
      <c r="BX56" s="541"/>
      <c r="BY56" s="541"/>
      <c r="BZ56" s="539">
        <f t="shared" si="39"/>
        <v>30000000</v>
      </c>
      <c r="CA56" s="539">
        <f t="shared" si="40"/>
        <v>21000000</v>
      </c>
      <c r="CB56" s="539">
        <f t="shared" si="41"/>
        <v>6760000</v>
      </c>
    </row>
    <row r="57" spans="1:80" s="11" customFormat="1" ht="118.5" customHeight="1" x14ac:dyDescent="0.2">
      <c r="A57" s="95"/>
      <c r="B57" s="64"/>
      <c r="C57" s="857"/>
      <c r="D57" s="854"/>
      <c r="E57" s="857"/>
      <c r="F57" s="857"/>
      <c r="G57" s="64"/>
      <c r="H57" s="57">
        <v>270</v>
      </c>
      <c r="I57" s="56" t="s">
        <v>111</v>
      </c>
      <c r="J57" s="59" t="s">
        <v>42</v>
      </c>
      <c r="K57" s="60">
        <v>12</v>
      </c>
      <c r="L57" s="60">
        <v>0</v>
      </c>
      <c r="M57" s="851"/>
      <c r="N57" s="874"/>
      <c r="O57" s="857"/>
      <c r="P57" s="854"/>
      <c r="Q57" s="134" t="s">
        <v>51</v>
      </c>
      <c r="R57" s="539">
        <v>0</v>
      </c>
      <c r="S57" s="539"/>
      <c r="T57" s="539"/>
      <c r="U57" s="539">
        <v>0</v>
      </c>
      <c r="V57" s="539"/>
      <c r="W57" s="539"/>
      <c r="X57" s="539">
        <v>0</v>
      </c>
      <c r="Y57" s="539"/>
      <c r="Z57" s="539"/>
      <c r="AA57" s="539">
        <v>0</v>
      </c>
      <c r="AB57" s="539"/>
      <c r="AC57" s="539"/>
      <c r="AD57" s="539">
        <v>0</v>
      </c>
      <c r="AE57" s="539"/>
      <c r="AF57" s="539"/>
      <c r="AG57" s="539">
        <v>0</v>
      </c>
      <c r="AH57" s="539"/>
      <c r="AI57" s="539"/>
      <c r="AJ57" s="539">
        <v>0</v>
      </c>
      <c r="AK57" s="539"/>
      <c r="AL57" s="539"/>
      <c r="AM57" s="539"/>
      <c r="AN57" s="539"/>
      <c r="AO57" s="539"/>
      <c r="AP57" s="539"/>
      <c r="AQ57" s="539"/>
      <c r="AR57" s="539"/>
      <c r="AS57" s="539">
        <v>0</v>
      </c>
      <c r="AT57" s="539"/>
      <c r="AU57" s="539"/>
      <c r="AV57" s="539">
        <v>0</v>
      </c>
      <c r="AW57" s="539"/>
      <c r="AX57" s="539"/>
      <c r="AY57" s="539"/>
      <c r="AZ57" s="539"/>
      <c r="BA57" s="539"/>
      <c r="BB57" s="539"/>
      <c r="BC57" s="539"/>
      <c r="BD57" s="539"/>
      <c r="BE57" s="539">
        <v>0</v>
      </c>
      <c r="BF57" s="539"/>
      <c r="BG57" s="539"/>
      <c r="BH57" s="539">
        <v>0</v>
      </c>
      <c r="BI57" s="539"/>
      <c r="BJ57" s="539"/>
      <c r="BK57" s="540">
        <v>21000000</v>
      </c>
      <c r="BL57" s="540">
        <v>2410000</v>
      </c>
      <c r="BM57" s="540"/>
      <c r="BN57" s="540"/>
      <c r="BO57" s="540"/>
      <c r="BP57" s="540"/>
      <c r="BQ57" s="539">
        <v>0</v>
      </c>
      <c r="BR57" s="541"/>
      <c r="BS57" s="541"/>
      <c r="BT57" s="541"/>
      <c r="BU57" s="541"/>
      <c r="BV57" s="541"/>
      <c r="BW57" s="541">
        <v>0</v>
      </c>
      <c r="BX57" s="541"/>
      <c r="BY57" s="541"/>
      <c r="BZ57" s="539">
        <f t="shared" si="39"/>
        <v>21000000</v>
      </c>
      <c r="CA57" s="539">
        <f t="shared" si="40"/>
        <v>2410000</v>
      </c>
      <c r="CB57" s="539">
        <f t="shared" si="41"/>
        <v>0</v>
      </c>
    </row>
    <row r="58" spans="1:80" s="11" customFormat="1" ht="144.75" customHeight="1" x14ac:dyDescent="0.2">
      <c r="A58" s="95"/>
      <c r="B58" s="64"/>
      <c r="C58" s="857"/>
      <c r="D58" s="854"/>
      <c r="E58" s="857"/>
      <c r="F58" s="857"/>
      <c r="G58" s="64"/>
      <c r="H58" s="57">
        <v>271</v>
      </c>
      <c r="I58" s="56" t="s">
        <v>112</v>
      </c>
      <c r="J58" s="59">
        <v>12</v>
      </c>
      <c r="K58" s="60">
        <v>12</v>
      </c>
      <c r="L58" s="60">
        <v>12</v>
      </c>
      <c r="M58" s="851"/>
      <c r="N58" s="874"/>
      <c r="O58" s="857"/>
      <c r="P58" s="854"/>
      <c r="Q58" s="134" t="s">
        <v>51</v>
      </c>
      <c r="R58" s="539">
        <v>0</v>
      </c>
      <c r="S58" s="539"/>
      <c r="T58" s="539"/>
      <c r="U58" s="539">
        <v>0</v>
      </c>
      <c r="V58" s="539"/>
      <c r="W58" s="539"/>
      <c r="X58" s="539">
        <v>0</v>
      </c>
      <c r="Y58" s="539"/>
      <c r="Z58" s="539"/>
      <c r="AA58" s="539">
        <v>0</v>
      </c>
      <c r="AB58" s="539"/>
      <c r="AC58" s="539"/>
      <c r="AD58" s="539">
        <v>0</v>
      </c>
      <c r="AE58" s="539"/>
      <c r="AF58" s="539"/>
      <c r="AG58" s="539">
        <v>0</v>
      </c>
      <c r="AH58" s="539"/>
      <c r="AI58" s="539"/>
      <c r="AJ58" s="539">
        <v>0</v>
      </c>
      <c r="AK58" s="539"/>
      <c r="AL58" s="539"/>
      <c r="AM58" s="539"/>
      <c r="AN58" s="539"/>
      <c r="AO58" s="539"/>
      <c r="AP58" s="539"/>
      <c r="AQ58" s="539"/>
      <c r="AR58" s="539"/>
      <c r="AS58" s="539">
        <v>0</v>
      </c>
      <c r="AT58" s="539"/>
      <c r="AU58" s="539"/>
      <c r="AV58" s="539">
        <v>0</v>
      </c>
      <c r="AW58" s="539"/>
      <c r="AX58" s="539"/>
      <c r="AY58" s="539"/>
      <c r="AZ58" s="539"/>
      <c r="BA58" s="539"/>
      <c r="BB58" s="539"/>
      <c r="BC58" s="539"/>
      <c r="BD58" s="539"/>
      <c r="BE58" s="539">
        <v>0</v>
      </c>
      <c r="BF58" s="539"/>
      <c r="BG58" s="539"/>
      <c r="BH58" s="539">
        <v>0</v>
      </c>
      <c r="BI58" s="539"/>
      <c r="BJ58" s="539"/>
      <c r="BK58" s="540">
        <v>38500000</v>
      </c>
      <c r="BL58" s="540">
        <v>21600000</v>
      </c>
      <c r="BM58" s="540">
        <v>6760000</v>
      </c>
      <c r="BN58" s="540"/>
      <c r="BO58" s="540"/>
      <c r="BP58" s="540"/>
      <c r="BQ58" s="539">
        <v>0</v>
      </c>
      <c r="BR58" s="541"/>
      <c r="BS58" s="541"/>
      <c r="BT58" s="541"/>
      <c r="BU58" s="541"/>
      <c r="BV58" s="541"/>
      <c r="BW58" s="541">
        <v>0</v>
      </c>
      <c r="BX58" s="541"/>
      <c r="BY58" s="541"/>
      <c r="BZ58" s="539">
        <f t="shared" si="39"/>
        <v>38500000</v>
      </c>
      <c r="CA58" s="539">
        <f t="shared" si="40"/>
        <v>21600000</v>
      </c>
      <c r="CB58" s="539">
        <f t="shared" si="41"/>
        <v>6760000</v>
      </c>
    </row>
    <row r="59" spans="1:80" s="11" customFormat="1" ht="105.75" customHeight="1" x14ac:dyDescent="0.2">
      <c r="A59" s="95"/>
      <c r="B59" s="64"/>
      <c r="C59" s="857"/>
      <c r="D59" s="854"/>
      <c r="E59" s="857"/>
      <c r="F59" s="857"/>
      <c r="G59" s="64"/>
      <c r="H59" s="57">
        <v>272</v>
      </c>
      <c r="I59" s="56" t="s">
        <v>113</v>
      </c>
      <c r="J59" s="59" t="s">
        <v>42</v>
      </c>
      <c r="K59" s="60">
        <v>12</v>
      </c>
      <c r="L59" s="60">
        <v>6</v>
      </c>
      <c r="M59" s="851"/>
      <c r="N59" s="874"/>
      <c r="O59" s="857"/>
      <c r="P59" s="854"/>
      <c r="Q59" s="134" t="s">
        <v>51</v>
      </c>
      <c r="R59" s="539">
        <v>0</v>
      </c>
      <c r="S59" s="539"/>
      <c r="T59" s="539"/>
      <c r="U59" s="539">
        <v>0</v>
      </c>
      <c r="V59" s="539"/>
      <c r="W59" s="539"/>
      <c r="X59" s="539">
        <v>0</v>
      </c>
      <c r="Y59" s="539"/>
      <c r="Z59" s="539"/>
      <c r="AA59" s="539">
        <v>0</v>
      </c>
      <c r="AB59" s="539"/>
      <c r="AC59" s="539"/>
      <c r="AD59" s="539">
        <v>0</v>
      </c>
      <c r="AE59" s="539"/>
      <c r="AF59" s="539"/>
      <c r="AG59" s="539">
        <v>0</v>
      </c>
      <c r="AH59" s="539"/>
      <c r="AI59" s="539"/>
      <c r="AJ59" s="539">
        <v>0</v>
      </c>
      <c r="AK59" s="539"/>
      <c r="AL59" s="539"/>
      <c r="AM59" s="539"/>
      <c r="AN59" s="539"/>
      <c r="AO59" s="539"/>
      <c r="AP59" s="539"/>
      <c r="AQ59" s="539"/>
      <c r="AR59" s="539"/>
      <c r="AS59" s="539">
        <v>0</v>
      </c>
      <c r="AT59" s="539"/>
      <c r="AU59" s="539"/>
      <c r="AV59" s="539">
        <v>0</v>
      </c>
      <c r="AW59" s="539"/>
      <c r="AX59" s="539"/>
      <c r="AY59" s="539"/>
      <c r="AZ59" s="539"/>
      <c r="BA59" s="539"/>
      <c r="BB59" s="539"/>
      <c r="BC59" s="539"/>
      <c r="BD59" s="539"/>
      <c r="BE59" s="539">
        <v>0</v>
      </c>
      <c r="BF59" s="539"/>
      <c r="BG59" s="539"/>
      <c r="BH59" s="539">
        <v>0</v>
      </c>
      <c r="BI59" s="539"/>
      <c r="BJ59" s="539"/>
      <c r="BK59" s="540">
        <v>38500000</v>
      </c>
      <c r="BL59" s="540">
        <v>21600000</v>
      </c>
      <c r="BM59" s="540">
        <v>6760000</v>
      </c>
      <c r="BN59" s="540"/>
      <c r="BO59" s="540"/>
      <c r="BP59" s="540"/>
      <c r="BQ59" s="539">
        <v>0</v>
      </c>
      <c r="BR59" s="541"/>
      <c r="BS59" s="541"/>
      <c r="BT59" s="541"/>
      <c r="BU59" s="541"/>
      <c r="BV59" s="541"/>
      <c r="BW59" s="541">
        <v>0</v>
      </c>
      <c r="BX59" s="541"/>
      <c r="BY59" s="541"/>
      <c r="BZ59" s="539">
        <f t="shared" si="39"/>
        <v>38500000</v>
      </c>
      <c r="CA59" s="539">
        <f t="shared" si="40"/>
        <v>21600000</v>
      </c>
      <c r="CB59" s="539">
        <f t="shared" si="41"/>
        <v>6760000</v>
      </c>
    </row>
    <row r="60" spans="1:80" s="11" customFormat="1" ht="128.25" customHeight="1" x14ac:dyDescent="0.2">
      <c r="A60" s="95"/>
      <c r="B60" s="64"/>
      <c r="C60" s="857"/>
      <c r="D60" s="854"/>
      <c r="E60" s="857"/>
      <c r="F60" s="857"/>
      <c r="G60" s="64"/>
      <c r="H60" s="57">
        <v>273</v>
      </c>
      <c r="I60" s="56" t="s">
        <v>114</v>
      </c>
      <c r="J60" s="59">
        <v>12</v>
      </c>
      <c r="K60" s="60">
        <v>12</v>
      </c>
      <c r="L60" s="60">
        <v>0</v>
      </c>
      <c r="M60" s="851"/>
      <c r="N60" s="874"/>
      <c r="O60" s="857"/>
      <c r="P60" s="854"/>
      <c r="Q60" s="134" t="s">
        <v>51</v>
      </c>
      <c r="R60" s="539">
        <v>0</v>
      </c>
      <c r="S60" s="539"/>
      <c r="T60" s="539"/>
      <c r="U60" s="539">
        <v>0</v>
      </c>
      <c r="V60" s="539"/>
      <c r="W60" s="539"/>
      <c r="X60" s="539">
        <v>0</v>
      </c>
      <c r="Y60" s="539"/>
      <c r="Z60" s="539"/>
      <c r="AA60" s="539">
        <v>0</v>
      </c>
      <c r="AB60" s="539"/>
      <c r="AC60" s="539"/>
      <c r="AD60" s="539">
        <v>0</v>
      </c>
      <c r="AE60" s="539"/>
      <c r="AF60" s="539"/>
      <c r="AG60" s="539">
        <v>0</v>
      </c>
      <c r="AH60" s="539"/>
      <c r="AI60" s="539"/>
      <c r="AJ60" s="539">
        <v>0</v>
      </c>
      <c r="AK60" s="539"/>
      <c r="AL60" s="539"/>
      <c r="AM60" s="539"/>
      <c r="AN60" s="539"/>
      <c r="AO60" s="539"/>
      <c r="AP60" s="539"/>
      <c r="AQ60" s="539"/>
      <c r="AR60" s="539"/>
      <c r="AS60" s="539">
        <v>0</v>
      </c>
      <c r="AT60" s="539"/>
      <c r="AU60" s="539"/>
      <c r="AV60" s="539">
        <v>0</v>
      </c>
      <c r="AW60" s="539"/>
      <c r="AX60" s="539"/>
      <c r="AY60" s="539"/>
      <c r="AZ60" s="539"/>
      <c r="BA60" s="539"/>
      <c r="BB60" s="539"/>
      <c r="BC60" s="539"/>
      <c r="BD60" s="539"/>
      <c r="BE60" s="539">
        <v>0</v>
      </c>
      <c r="BF60" s="539"/>
      <c r="BG60" s="539"/>
      <c r="BH60" s="539">
        <v>0</v>
      </c>
      <c r="BI60" s="539"/>
      <c r="BJ60" s="539"/>
      <c r="BK60" s="540">
        <v>2000000</v>
      </c>
      <c r="BL60" s="540">
        <v>2000000</v>
      </c>
      <c r="BM60" s="540"/>
      <c r="BN60" s="540"/>
      <c r="BO60" s="540"/>
      <c r="BP60" s="540"/>
      <c r="BQ60" s="539">
        <v>0</v>
      </c>
      <c r="BR60" s="541"/>
      <c r="BS60" s="541"/>
      <c r="BT60" s="541"/>
      <c r="BU60" s="541"/>
      <c r="BV60" s="541"/>
      <c r="BW60" s="541">
        <v>0</v>
      </c>
      <c r="BX60" s="541"/>
      <c r="BY60" s="541"/>
      <c r="BZ60" s="539">
        <f t="shared" si="39"/>
        <v>2000000</v>
      </c>
      <c r="CA60" s="539">
        <f t="shared" si="40"/>
        <v>2000000</v>
      </c>
      <c r="CB60" s="539">
        <f t="shared" si="41"/>
        <v>0</v>
      </c>
    </row>
    <row r="61" spans="1:80" s="11" customFormat="1" ht="89.25" customHeight="1" x14ac:dyDescent="0.2">
      <c r="A61" s="95"/>
      <c r="B61" s="64"/>
      <c r="C61" s="857"/>
      <c r="D61" s="854"/>
      <c r="E61" s="857"/>
      <c r="F61" s="857"/>
      <c r="G61" s="64"/>
      <c r="H61" s="57">
        <v>274</v>
      </c>
      <c r="I61" s="56" t="s">
        <v>115</v>
      </c>
      <c r="J61" s="59" t="s">
        <v>42</v>
      </c>
      <c r="K61" s="60">
        <v>12</v>
      </c>
      <c r="L61" s="60">
        <v>12</v>
      </c>
      <c r="M61" s="851"/>
      <c r="N61" s="874"/>
      <c r="O61" s="857"/>
      <c r="P61" s="854"/>
      <c r="Q61" s="134" t="s">
        <v>51</v>
      </c>
      <c r="R61" s="539">
        <v>0</v>
      </c>
      <c r="S61" s="539"/>
      <c r="T61" s="539"/>
      <c r="U61" s="539">
        <v>0</v>
      </c>
      <c r="V61" s="539"/>
      <c r="W61" s="539"/>
      <c r="X61" s="539">
        <v>0</v>
      </c>
      <c r="Y61" s="539"/>
      <c r="Z61" s="539"/>
      <c r="AA61" s="539">
        <v>0</v>
      </c>
      <c r="AB61" s="539"/>
      <c r="AC61" s="539"/>
      <c r="AD61" s="539">
        <v>0</v>
      </c>
      <c r="AE61" s="539"/>
      <c r="AF61" s="539"/>
      <c r="AG61" s="539">
        <v>0</v>
      </c>
      <c r="AH61" s="539"/>
      <c r="AI61" s="539"/>
      <c r="AJ61" s="539">
        <v>0</v>
      </c>
      <c r="AK61" s="539"/>
      <c r="AL61" s="539"/>
      <c r="AM61" s="539"/>
      <c r="AN61" s="539"/>
      <c r="AO61" s="539"/>
      <c r="AP61" s="539"/>
      <c r="AQ61" s="539"/>
      <c r="AR61" s="539"/>
      <c r="AS61" s="539">
        <v>0</v>
      </c>
      <c r="AT61" s="539"/>
      <c r="AU61" s="539"/>
      <c r="AV61" s="539">
        <v>0</v>
      </c>
      <c r="AW61" s="539"/>
      <c r="AX61" s="539"/>
      <c r="AY61" s="539"/>
      <c r="AZ61" s="539"/>
      <c r="BA61" s="539"/>
      <c r="BB61" s="539"/>
      <c r="BC61" s="539"/>
      <c r="BD61" s="539"/>
      <c r="BE61" s="539">
        <v>0</v>
      </c>
      <c r="BF61" s="539"/>
      <c r="BG61" s="539"/>
      <c r="BH61" s="539">
        <v>0</v>
      </c>
      <c r="BI61" s="539"/>
      <c r="BJ61" s="539"/>
      <c r="BK61" s="540">
        <f>21000000+9000000</f>
        <v>30000000</v>
      </c>
      <c r="BL61" s="540">
        <v>22200000</v>
      </c>
      <c r="BM61" s="540"/>
      <c r="BN61" s="540"/>
      <c r="BO61" s="540"/>
      <c r="BP61" s="540"/>
      <c r="BQ61" s="539">
        <v>0</v>
      </c>
      <c r="BR61" s="541"/>
      <c r="BS61" s="541"/>
      <c r="BT61" s="541"/>
      <c r="BU61" s="541"/>
      <c r="BV61" s="541"/>
      <c r="BW61" s="541">
        <v>0</v>
      </c>
      <c r="BX61" s="541"/>
      <c r="BY61" s="541"/>
      <c r="BZ61" s="539">
        <f t="shared" si="39"/>
        <v>30000000</v>
      </c>
      <c r="CA61" s="539">
        <f t="shared" si="40"/>
        <v>22200000</v>
      </c>
      <c r="CB61" s="539">
        <f t="shared" si="41"/>
        <v>0</v>
      </c>
    </row>
    <row r="62" spans="1:80" s="11" customFormat="1" ht="119.25" customHeight="1" x14ac:dyDescent="0.2">
      <c r="A62" s="95"/>
      <c r="B62" s="64"/>
      <c r="C62" s="857"/>
      <c r="D62" s="854"/>
      <c r="E62" s="857"/>
      <c r="F62" s="857"/>
      <c r="G62" s="139"/>
      <c r="H62" s="57">
        <v>260</v>
      </c>
      <c r="I62" s="56" t="s">
        <v>116</v>
      </c>
      <c r="J62" s="59">
        <v>12</v>
      </c>
      <c r="K62" s="60">
        <v>12</v>
      </c>
      <c r="L62" s="60">
        <v>0</v>
      </c>
      <c r="M62" s="852"/>
      <c r="N62" s="875"/>
      <c r="O62" s="858"/>
      <c r="P62" s="855"/>
      <c r="Q62" s="134" t="s">
        <v>51</v>
      </c>
      <c r="R62" s="539">
        <v>0</v>
      </c>
      <c r="S62" s="539"/>
      <c r="T62" s="539"/>
      <c r="U62" s="539">
        <v>0</v>
      </c>
      <c r="V62" s="539"/>
      <c r="W62" s="539"/>
      <c r="X62" s="539">
        <v>0</v>
      </c>
      <c r="Y62" s="539"/>
      <c r="Z62" s="539"/>
      <c r="AA62" s="539">
        <v>0</v>
      </c>
      <c r="AB62" s="539"/>
      <c r="AC62" s="539"/>
      <c r="AD62" s="539">
        <v>0</v>
      </c>
      <c r="AE62" s="539"/>
      <c r="AF62" s="539"/>
      <c r="AG62" s="539">
        <v>0</v>
      </c>
      <c r="AH62" s="539"/>
      <c r="AI62" s="539"/>
      <c r="AJ62" s="539">
        <v>0</v>
      </c>
      <c r="AK62" s="539"/>
      <c r="AL62" s="539"/>
      <c r="AM62" s="539"/>
      <c r="AN62" s="539"/>
      <c r="AO62" s="539"/>
      <c r="AP62" s="539"/>
      <c r="AQ62" s="539"/>
      <c r="AR62" s="539"/>
      <c r="AS62" s="539">
        <v>0</v>
      </c>
      <c r="AT62" s="539"/>
      <c r="AU62" s="539"/>
      <c r="AV62" s="539">
        <v>0</v>
      </c>
      <c r="AW62" s="539"/>
      <c r="AX62" s="539"/>
      <c r="AY62" s="539"/>
      <c r="AZ62" s="539"/>
      <c r="BA62" s="539"/>
      <c r="BB62" s="539"/>
      <c r="BC62" s="539"/>
      <c r="BD62" s="539"/>
      <c r="BE62" s="539">
        <v>0</v>
      </c>
      <c r="BF62" s="539"/>
      <c r="BG62" s="539"/>
      <c r="BH62" s="539">
        <v>0</v>
      </c>
      <c r="BI62" s="539"/>
      <c r="BJ62" s="539"/>
      <c r="BK62" s="540">
        <v>10000000</v>
      </c>
      <c r="BL62" s="540"/>
      <c r="BM62" s="540"/>
      <c r="BN62" s="540"/>
      <c r="BO62" s="540"/>
      <c r="BP62" s="540"/>
      <c r="BQ62" s="539">
        <v>0</v>
      </c>
      <c r="BR62" s="541"/>
      <c r="BS62" s="541"/>
      <c r="BT62" s="541"/>
      <c r="BU62" s="541"/>
      <c r="BV62" s="541"/>
      <c r="BW62" s="541">
        <v>0</v>
      </c>
      <c r="BX62" s="541"/>
      <c r="BY62" s="541"/>
      <c r="BZ62" s="539">
        <f t="shared" si="39"/>
        <v>10000000</v>
      </c>
      <c r="CA62" s="539">
        <f t="shared" si="40"/>
        <v>0</v>
      </c>
      <c r="CB62" s="539">
        <f t="shared" si="41"/>
        <v>0</v>
      </c>
    </row>
    <row r="63" spans="1:80" s="459" customFormat="1" ht="15.75" x14ac:dyDescent="0.2">
      <c r="A63" s="95"/>
      <c r="B63" s="139"/>
      <c r="C63" s="509"/>
      <c r="D63" s="517"/>
      <c r="E63" s="509"/>
      <c r="F63" s="509"/>
      <c r="G63" s="77"/>
      <c r="H63" s="78"/>
      <c r="I63" s="77"/>
      <c r="J63" s="79"/>
      <c r="K63" s="140"/>
      <c r="L63" s="140"/>
      <c r="M63" s="140"/>
      <c r="N63" s="79"/>
      <c r="O63" s="78"/>
      <c r="P63" s="77"/>
      <c r="Q63" s="78"/>
      <c r="R63" s="548">
        <f>SUM(R45:R62)</f>
        <v>0</v>
      </c>
      <c r="S63" s="548">
        <f t="shared" ref="S63:BJ63" si="42">SUM(S45:S62)</f>
        <v>0</v>
      </c>
      <c r="T63" s="548">
        <f t="shared" si="42"/>
        <v>0</v>
      </c>
      <c r="U63" s="548">
        <f t="shared" si="42"/>
        <v>0</v>
      </c>
      <c r="V63" s="548">
        <f t="shared" si="42"/>
        <v>0</v>
      </c>
      <c r="W63" s="548">
        <f t="shared" si="42"/>
        <v>0</v>
      </c>
      <c r="X63" s="548">
        <f t="shared" si="42"/>
        <v>0</v>
      </c>
      <c r="Y63" s="548">
        <f t="shared" si="42"/>
        <v>0</v>
      </c>
      <c r="Z63" s="548">
        <f t="shared" si="42"/>
        <v>0</v>
      </c>
      <c r="AA63" s="548">
        <f t="shared" si="42"/>
        <v>0</v>
      </c>
      <c r="AB63" s="548">
        <f t="shared" si="42"/>
        <v>0</v>
      </c>
      <c r="AC63" s="548">
        <f t="shared" si="42"/>
        <v>0</v>
      </c>
      <c r="AD63" s="548">
        <f t="shared" si="42"/>
        <v>0</v>
      </c>
      <c r="AE63" s="548">
        <f t="shared" si="42"/>
        <v>0</v>
      </c>
      <c r="AF63" s="548">
        <f t="shared" si="42"/>
        <v>0</v>
      </c>
      <c r="AG63" s="548">
        <f t="shared" si="42"/>
        <v>0</v>
      </c>
      <c r="AH63" s="548">
        <f t="shared" si="42"/>
        <v>0</v>
      </c>
      <c r="AI63" s="548">
        <f t="shared" si="42"/>
        <v>0</v>
      </c>
      <c r="AJ63" s="548">
        <f t="shared" si="42"/>
        <v>0</v>
      </c>
      <c r="AK63" s="548">
        <f t="shared" si="42"/>
        <v>0</v>
      </c>
      <c r="AL63" s="548">
        <f t="shared" si="42"/>
        <v>0</v>
      </c>
      <c r="AM63" s="548">
        <f t="shared" si="42"/>
        <v>0</v>
      </c>
      <c r="AN63" s="548">
        <f t="shared" si="42"/>
        <v>0</v>
      </c>
      <c r="AO63" s="548">
        <f t="shared" si="42"/>
        <v>0</v>
      </c>
      <c r="AP63" s="548">
        <f t="shared" si="42"/>
        <v>0</v>
      </c>
      <c r="AQ63" s="548">
        <f t="shared" si="42"/>
        <v>0</v>
      </c>
      <c r="AR63" s="548">
        <f t="shared" si="42"/>
        <v>0</v>
      </c>
      <c r="AS63" s="548">
        <f t="shared" si="42"/>
        <v>0</v>
      </c>
      <c r="AT63" s="548">
        <f t="shared" si="42"/>
        <v>0</v>
      </c>
      <c r="AU63" s="548">
        <f t="shared" si="42"/>
        <v>0</v>
      </c>
      <c r="AV63" s="548">
        <f t="shared" si="42"/>
        <v>0</v>
      </c>
      <c r="AW63" s="548">
        <f t="shared" si="42"/>
        <v>0</v>
      </c>
      <c r="AX63" s="548">
        <f t="shared" si="42"/>
        <v>0</v>
      </c>
      <c r="AY63" s="548">
        <f t="shared" si="42"/>
        <v>0</v>
      </c>
      <c r="AZ63" s="548">
        <f t="shared" si="42"/>
        <v>0</v>
      </c>
      <c r="BA63" s="548">
        <f t="shared" si="42"/>
        <v>0</v>
      </c>
      <c r="BB63" s="548">
        <f t="shared" si="42"/>
        <v>0</v>
      </c>
      <c r="BC63" s="548">
        <f t="shared" si="42"/>
        <v>0</v>
      </c>
      <c r="BD63" s="548">
        <f t="shared" si="42"/>
        <v>0</v>
      </c>
      <c r="BE63" s="548">
        <f t="shared" si="42"/>
        <v>0</v>
      </c>
      <c r="BF63" s="548">
        <f t="shared" si="42"/>
        <v>0</v>
      </c>
      <c r="BG63" s="548">
        <f t="shared" si="42"/>
        <v>0</v>
      </c>
      <c r="BH63" s="548">
        <f t="shared" si="42"/>
        <v>0</v>
      </c>
      <c r="BI63" s="548">
        <f t="shared" si="42"/>
        <v>0</v>
      </c>
      <c r="BJ63" s="548">
        <f t="shared" si="42"/>
        <v>0</v>
      </c>
      <c r="BK63" s="548">
        <f t="shared" ref="BK63:BZ63" si="43">SUM(BK45:BK62)</f>
        <v>1450000000</v>
      </c>
      <c r="BL63" s="548">
        <f t="shared" ref="BL63:BY63" si="44">SUM(BL45:BL62)</f>
        <v>478463329</v>
      </c>
      <c r="BM63" s="548">
        <f t="shared" si="44"/>
        <v>129333332</v>
      </c>
      <c r="BN63" s="548">
        <f t="shared" si="44"/>
        <v>0</v>
      </c>
      <c r="BO63" s="548">
        <f t="shared" si="44"/>
        <v>0</v>
      </c>
      <c r="BP63" s="548">
        <f t="shared" si="44"/>
        <v>0</v>
      </c>
      <c r="BQ63" s="548">
        <f t="shared" si="44"/>
        <v>0</v>
      </c>
      <c r="BR63" s="548">
        <f t="shared" si="44"/>
        <v>0</v>
      </c>
      <c r="BS63" s="548">
        <f t="shared" si="44"/>
        <v>0</v>
      </c>
      <c r="BT63" s="548">
        <f t="shared" si="44"/>
        <v>0</v>
      </c>
      <c r="BU63" s="548">
        <f t="shared" si="44"/>
        <v>0</v>
      </c>
      <c r="BV63" s="548">
        <f t="shared" si="44"/>
        <v>0</v>
      </c>
      <c r="BW63" s="548">
        <f t="shared" si="44"/>
        <v>0</v>
      </c>
      <c r="BX63" s="548">
        <f t="shared" si="44"/>
        <v>0</v>
      </c>
      <c r="BY63" s="548">
        <f t="shared" si="44"/>
        <v>0</v>
      </c>
      <c r="BZ63" s="548">
        <f t="shared" si="43"/>
        <v>1450000000</v>
      </c>
      <c r="CA63" s="548">
        <f t="shared" ref="CA63:CB63" si="45">SUM(CA45:CA62)</f>
        <v>478463329</v>
      </c>
      <c r="CB63" s="548">
        <f t="shared" si="45"/>
        <v>129333332</v>
      </c>
    </row>
    <row r="64" spans="1:80" s="459" customFormat="1" ht="15.75" x14ac:dyDescent="0.2">
      <c r="A64" s="95"/>
      <c r="B64" s="323"/>
      <c r="C64" s="798"/>
      <c r="D64" s="799"/>
      <c r="E64" s="798"/>
      <c r="F64" s="829"/>
      <c r="G64" s="81"/>
      <c r="H64" s="122"/>
      <c r="I64" s="121"/>
      <c r="J64" s="800"/>
      <c r="K64" s="435"/>
      <c r="L64" s="435"/>
      <c r="M64" s="435"/>
      <c r="N64" s="800"/>
      <c r="O64" s="122"/>
      <c r="P64" s="121"/>
      <c r="Q64" s="122"/>
      <c r="R64" s="615">
        <f t="shared" ref="R64:BZ64" si="46">R63</f>
        <v>0</v>
      </c>
      <c r="S64" s="615">
        <f t="shared" ref="S64:BJ64" si="47">S63</f>
        <v>0</v>
      </c>
      <c r="T64" s="615">
        <f t="shared" si="47"/>
        <v>0</v>
      </c>
      <c r="U64" s="615">
        <f t="shared" si="47"/>
        <v>0</v>
      </c>
      <c r="V64" s="615">
        <f t="shared" si="47"/>
        <v>0</v>
      </c>
      <c r="W64" s="615">
        <f t="shared" si="47"/>
        <v>0</v>
      </c>
      <c r="X64" s="615">
        <f t="shared" si="47"/>
        <v>0</v>
      </c>
      <c r="Y64" s="615">
        <f t="shared" si="47"/>
        <v>0</v>
      </c>
      <c r="Z64" s="615">
        <f t="shared" si="47"/>
        <v>0</v>
      </c>
      <c r="AA64" s="615">
        <f t="shared" si="47"/>
        <v>0</v>
      </c>
      <c r="AB64" s="615">
        <f t="shared" si="47"/>
        <v>0</v>
      </c>
      <c r="AC64" s="615">
        <f t="shared" si="47"/>
        <v>0</v>
      </c>
      <c r="AD64" s="615">
        <f t="shared" si="47"/>
        <v>0</v>
      </c>
      <c r="AE64" s="615">
        <f t="shared" si="47"/>
        <v>0</v>
      </c>
      <c r="AF64" s="615">
        <f t="shared" si="47"/>
        <v>0</v>
      </c>
      <c r="AG64" s="615">
        <f t="shared" si="47"/>
        <v>0</v>
      </c>
      <c r="AH64" s="615">
        <f t="shared" si="47"/>
        <v>0</v>
      </c>
      <c r="AI64" s="615">
        <f t="shared" si="47"/>
        <v>0</v>
      </c>
      <c r="AJ64" s="615">
        <f t="shared" si="47"/>
        <v>0</v>
      </c>
      <c r="AK64" s="615">
        <f t="shared" si="47"/>
        <v>0</v>
      </c>
      <c r="AL64" s="615">
        <f t="shared" si="47"/>
        <v>0</v>
      </c>
      <c r="AM64" s="615">
        <f t="shared" si="47"/>
        <v>0</v>
      </c>
      <c r="AN64" s="615">
        <f t="shared" si="47"/>
        <v>0</v>
      </c>
      <c r="AO64" s="615">
        <f t="shared" si="47"/>
        <v>0</v>
      </c>
      <c r="AP64" s="615">
        <f t="shared" si="47"/>
        <v>0</v>
      </c>
      <c r="AQ64" s="615">
        <f t="shared" si="47"/>
        <v>0</v>
      </c>
      <c r="AR64" s="615">
        <f t="shared" si="47"/>
        <v>0</v>
      </c>
      <c r="AS64" s="615">
        <f t="shared" si="47"/>
        <v>0</v>
      </c>
      <c r="AT64" s="615">
        <f t="shared" si="47"/>
        <v>0</v>
      </c>
      <c r="AU64" s="615">
        <f t="shared" si="47"/>
        <v>0</v>
      </c>
      <c r="AV64" s="615">
        <f t="shared" si="47"/>
        <v>0</v>
      </c>
      <c r="AW64" s="615">
        <f t="shared" si="47"/>
        <v>0</v>
      </c>
      <c r="AX64" s="615">
        <f t="shared" si="47"/>
        <v>0</v>
      </c>
      <c r="AY64" s="615">
        <f t="shared" si="47"/>
        <v>0</v>
      </c>
      <c r="AZ64" s="615">
        <f t="shared" si="47"/>
        <v>0</v>
      </c>
      <c r="BA64" s="615">
        <f t="shared" si="47"/>
        <v>0</v>
      </c>
      <c r="BB64" s="615">
        <f t="shared" si="47"/>
        <v>0</v>
      </c>
      <c r="BC64" s="615">
        <f t="shared" si="47"/>
        <v>0</v>
      </c>
      <c r="BD64" s="615">
        <f t="shared" si="47"/>
        <v>0</v>
      </c>
      <c r="BE64" s="615">
        <f t="shared" si="47"/>
        <v>0</v>
      </c>
      <c r="BF64" s="615">
        <f t="shared" si="47"/>
        <v>0</v>
      </c>
      <c r="BG64" s="615">
        <f t="shared" si="47"/>
        <v>0</v>
      </c>
      <c r="BH64" s="615">
        <f t="shared" si="47"/>
        <v>0</v>
      </c>
      <c r="BI64" s="615">
        <f t="shared" si="47"/>
        <v>0</v>
      </c>
      <c r="BJ64" s="615">
        <f t="shared" si="47"/>
        <v>0</v>
      </c>
      <c r="BK64" s="615">
        <f t="shared" si="46"/>
        <v>1450000000</v>
      </c>
      <c r="BL64" s="615">
        <f t="shared" ref="BL64:BY64" si="48">BL63</f>
        <v>478463329</v>
      </c>
      <c r="BM64" s="615">
        <f t="shared" si="48"/>
        <v>129333332</v>
      </c>
      <c r="BN64" s="615">
        <f t="shared" si="48"/>
        <v>0</v>
      </c>
      <c r="BO64" s="615">
        <f t="shared" si="48"/>
        <v>0</v>
      </c>
      <c r="BP64" s="615">
        <f t="shared" si="48"/>
        <v>0</v>
      </c>
      <c r="BQ64" s="615">
        <f t="shared" si="48"/>
        <v>0</v>
      </c>
      <c r="BR64" s="615">
        <f t="shared" si="48"/>
        <v>0</v>
      </c>
      <c r="BS64" s="615">
        <f t="shared" si="48"/>
        <v>0</v>
      </c>
      <c r="BT64" s="615">
        <f t="shared" si="48"/>
        <v>0</v>
      </c>
      <c r="BU64" s="615">
        <f t="shared" si="48"/>
        <v>0</v>
      </c>
      <c r="BV64" s="615">
        <f t="shared" si="48"/>
        <v>0</v>
      </c>
      <c r="BW64" s="615">
        <f t="shared" si="48"/>
        <v>0</v>
      </c>
      <c r="BX64" s="615">
        <f t="shared" si="48"/>
        <v>0</v>
      </c>
      <c r="BY64" s="615">
        <f t="shared" si="48"/>
        <v>0</v>
      </c>
      <c r="BZ64" s="615">
        <f t="shared" si="46"/>
        <v>1450000000</v>
      </c>
      <c r="CA64" s="615">
        <f t="shared" ref="CA64:CB64" si="49">CA63</f>
        <v>478463329</v>
      </c>
      <c r="CB64" s="615">
        <f t="shared" si="49"/>
        <v>129333332</v>
      </c>
    </row>
    <row r="65" spans="1:80" s="5" customFormat="1" ht="20.25" x14ac:dyDescent="0.25">
      <c r="A65" s="803"/>
      <c r="B65" s="803"/>
      <c r="C65" s="804"/>
      <c r="D65" s="803"/>
      <c r="E65" s="804"/>
      <c r="F65" s="804"/>
      <c r="G65" s="84"/>
      <c r="H65" s="85"/>
      <c r="I65" s="84"/>
      <c r="J65" s="86"/>
      <c r="K65" s="143"/>
      <c r="L65" s="143"/>
      <c r="M65" s="143"/>
      <c r="N65" s="86"/>
      <c r="O65" s="85"/>
      <c r="P65" s="84"/>
      <c r="Q65" s="85"/>
      <c r="R65" s="560">
        <f t="shared" ref="R65:BZ65" si="50">R35+R41+R64</f>
        <v>0</v>
      </c>
      <c r="S65" s="560">
        <f t="shared" ref="S65:BJ65" si="51">S35+S41+S64</f>
        <v>0</v>
      </c>
      <c r="T65" s="560">
        <f t="shared" si="51"/>
        <v>0</v>
      </c>
      <c r="U65" s="560">
        <f t="shared" si="51"/>
        <v>0</v>
      </c>
      <c r="V65" s="560">
        <f t="shared" si="51"/>
        <v>0</v>
      </c>
      <c r="W65" s="560">
        <f t="shared" si="51"/>
        <v>0</v>
      </c>
      <c r="X65" s="560">
        <f t="shared" si="51"/>
        <v>0</v>
      </c>
      <c r="Y65" s="560">
        <f t="shared" si="51"/>
        <v>0</v>
      </c>
      <c r="Z65" s="560">
        <f t="shared" si="51"/>
        <v>0</v>
      </c>
      <c r="AA65" s="560">
        <f t="shared" si="51"/>
        <v>0</v>
      </c>
      <c r="AB65" s="560">
        <f t="shared" si="51"/>
        <v>0</v>
      </c>
      <c r="AC65" s="560">
        <f t="shared" si="51"/>
        <v>0</v>
      </c>
      <c r="AD65" s="560">
        <f t="shared" si="51"/>
        <v>0</v>
      </c>
      <c r="AE65" s="560">
        <f t="shared" si="51"/>
        <v>0</v>
      </c>
      <c r="AF65" s="560">
        <f t="shared" si="51"/>
        <v>0</v>
      </c>
      <c r="AG65" s="560">
        <f t="shared" si="51"/>
        <v>0</v>
      </c>
      <c r="AH65" s="560">
        <f t="shared" si="51"/>
        <v>0</v>
      </c>
      <c r="AI65" s="560">
        <f t="shared" si="51"/>
        <v>0</v>
      </c>
      <c r="AJ65" s="560">
        <f t="shared" si="51"/>
        <v>0</v>
      </c>
      <c r="AK65" s="560">
        <f t="shared" si="51"/>
        <v>0</v>
      </c>
      <c r="AL65" s="560">
        <f t="shared" si="51"/>
        <v>0</v>
      </c>
      <c r="AM65" s="560">
        <f t="shared" si="51"/>
        <v>0</v>
      </c>
      <c r="AN65" s="560">
        <f t="shared" si="51"/>
        <v>0</v>
      </c>
      <c r="AO65" s="560">
        <f t="shared" si="51"/>
        <v>0</v>
      </c>
      <c r="AP65" s="560">
        <f t="shared" si="51"/>
        <v>0</v>
      </c>
      <c r="AQ65" s="560">
        <f t="shared" si="51"/>
        <v>0</v>
      </c>
      <c r="AR65" s="560">
        <f t="shared" si="51"/>
        <v>0</v>
      </c>
      <c r="AS65" s="560">
        <f t="shared" si="51"/>
        <v>0</v>
      </c>
      <c r="AT65" s="560">
        <f t="shared" si="51"/>
        <v>0</v>
      </c>
      <c r="AU65" s="560">
        <f t="shared" si="51"/>
        <v>0</v>
      </c>
      <c r="AV65" s="560">
        <f t="shared" si="51"/>
        <v>0</v>
      </c>
      <c r="AW65" s="560">
        <f t="shared" si="51"/>
        <v>0</v>
      </c>
      <c r="AX65" s="560">
        <f t="shared" si="51"/>
        <v>0</v>
      </c>
      <c r="AY65" s="560">
        <f t="shared" si="51"/>
        <v>0</v>
      </c>
      <c r="AZ65" s="560">
        <f t="shared" si="51"/>
        <v>0</v>
      </c>
      <c r="BA65" s="560">
        <f t="shared" si="51"/>
        <v>0</v>
      </c>
      <c r="BB65" s="560">
        <f t="shared" si="51"/>
        <v>0</v>
      </c>
      <c r="BC65" s="560">
        <f t="shared" si="51"/>
        <v>0</v>
      </c>
      <c r="BD65" s="560">
        <f t="shared" si="51"/>
        <v>0</v>
      </c>
      <c r="BE65" s="560">
        <f t="shared" si="51"/>
        <v>0</v>
      </c>
      <c r="BF65" s="560">
        <f t="shared" si="51"/>
        <v>0</v>
      </c>
      <c r="BG65" s="560">
        <f t="shared" si="51"/>
        <v>0</v>
      </c>
      <c r="BH65" s="560">
        <f t="shared" si="51"/>
        <v>0</v>
      </c>
      <c r="BI65" s="560">
        <f t="shared" si="51"/>
        <v>0</v>
      </c>
      <c r="BJ65" s="560">
        <f t="shared" si="51"/>
        <v>0</v>
      </c>
      <c r="BK65" s="560">
        <f t="shared" si="50"/>
        <v>1617000000</v>
      </c>
      <c r="BL65" s="560">
        <f t="shared" ref="BL65:BY65" si="52">BL35+BL41+BL64</f>
        <v>494303329</v>
      </c>
      <c r="BM65" s="560">
        <f t="shared" si="52"/>
        <v>134613332</v>
      </c>
      <c r="BN65" s="560">
        <f t="shared" si="52"/>
        <v>0</v>
      </c>
      <c r="BO65" s="560">
        <f t="shared" si="52"/>
        <v>0</v>
      </c>
      <c r="BP65" s="560">
        <f t="shared" si="52"/>
        <v>0</v>
      </c>
      <c r="BQ65" s="560">
        <f t="shared" si="52"/>
        <v>0</v>
      </c>
      <c r="BR65" s="560">
        <f t="shared" si="52"/>
        <v>0</v>
      </c>
      <c r="BS65" s="560">
        <f t="shared" si="52"/>
        <v>0</v>
      </c>
      <c r="BT65" s="560">
        <f t="shared" si="52"/>
        <v>0</v>
      </c>
      <c r="BU65" s="560">
        <f t="shared" si="52"/>
        <v>0</v>
      </c>
      <c r="BV65" s="560">
        <f t="shared" si="52"/>
        <v>0</v>
      </c>
      <c r="BW65" s="560">
        <f t="shared" si="52"/>
        <v>0</v>
      </c>
      <c r="BX65" s="560">
        <f t="shared" si="52"/>
        <v>0</v>
      </c>
      <c r="BY65" s="560">
        <f t="shared" si="52"/>
        <v>0</v>
      </c>
      <c r="BZ65" s="560">
        <f t="shared" si="50"/>
        <v>1617000000</v>
      </c>
      <c r="CA65" s="560">
        <f t="shared" ref="CA65:CB65" si="53">CA35+CA41+CA64</f>
        <v>494303329</v>
      </c>
      <c r="CB65" s="560">
        <f t="shared" si="53"/>
        <v>134613332</v>
      </c>
    </row>
    <row r="66" spans="1:80" s="5" customFormat="1" ht="20.25" x14ac:dyDescent="0.25">
      <c r="A66" s="805"/>
      <c r="B66" s="805"/>
      <c r="C66" s="806"/>
      <c r="D66" s="805"/>
      <c r="E66" s="806"/>
      <c r="F66" s="806"/>
      <c r="G66" s="87"/>
      <c r="H66" s="88"/>
      <c r="I66" s="87"/>
      <c r="J66" s="89"/>
      <c r="K66" s="144"/>
      <c r="L66" s="144"/>
      <c r="M66" s="144"/>
      <c r="N66" s="89"/>
      <c r="O66" s="88"/>
      <c r="P66" s="87"/>
      <c r="Q66" s="88"/>
      <c r="R66" s="561">
        <f t="shared" ref="R66:BZ66" si="54">R65</f>
        <v>0</v>
      </c>
      <c r="S66" s="561">
        <f t="shared" ref="S66:BJ66" si="55">S65</f>
        <v>0</v>
      </c>
      <c r="T66" s="561">
        <f t="shared" si="55"/>
        <v>0</v>
      </c>
      <c r="U66" s="561">
        <f t="shared" si="55"/>
        <v>0</v>
      </c>
      <c r="V66" s="561">
        <f t="shared" si="55"/>
        <v>0</v>
      </c>
      <c r="W66" s="561">
        <f t="shared" si="55"/>
        <v>0</v>
      </c>
      <c r="X66" s="561">
        <f t="shared" si="55"/>
        <v>0</v>
      </c>
      <c r="Y66" s="561">
        <f t="shared" si="55"/>
        <v>0</v>
      </c>
      <c r="Z66" s="561">
        <f t="shared" si="55"/>
        <v>0</v>
      </c>
      <c r="AA66" s="561">
        <f t="shared" si="55"/>
        <v>0</v>
      </c>
      <c r="AB66" s="561">
        <f t="shared" si="55"/>
        <v>0</v>
      </c>
      <c r="AC66" s="561">
        <f t="shared" si="55"/>
        <v>0</v>
      </c>
      <c r="AD66" s="561">
        <f t="shared" si="55"/>
        <v>0</v>
      </c>
      <c r="AE66" s="561">
        <f t="shared" si="55"/>
        <v>0</v>
      </c>
      <c r="AF66" s="561">
        <f t="shared" si="55"/>
        <v>0</v>
      </c>
      <c r="AG66" s="561">
        <f t="shared" si="55"/>
        <v>0</v>
      </c>
      <c r="AH66" s="561">
        <f t="shared" si="55"/>
        <v>0</v>
      </c>
      <c r="AI66" s="561">
        <f t="shared" si="55"/>
        <v>0</v>
      </c>
      <c r="AJ66" s="561">
        <f t="shared" si="55"/>
        <v>0</v>
      </c>
      <c r="AK66" s="561">
        <f t="shared" si="55"/>
        <v>0</v>
      </c>
      <c r="AL66" s="561">
        <f t="shared" si="55"/>
        <v>0</v>
      </c>
      <c r="AM66" s="561">
        <f t="shared" si="55"/>
        <v>0</v>
      </c>
      <c r="AN66" s="561">
        <f t="shared" si="55"/>
        <v>0</v>
      </c>
      <c r="AO66" s="561">
        <f t="shared" si="55"/>
        <v>0</v>
      </c>
      <c r="AP66" s="561">
        <f t="shared" si="55"/>
        <v>0</v>
      </c>
      <c r="AQ66" s="561">
        <f t="shared" si="55"/>
        <v>0</v>
      </c>
      <c r="AR66" s="561">
        <f t="shared" si="55"/>
        <v>0</v>
      </c>
      <c r="AS66" s="561">
        <f t="shared" si="55"/>
        <v>0</v>
      </c>
      <c r="AT66" s="561">
        <f t="shared" si="55"/>
        <v>0</v>
      </c>
      <c r="AU66" s="561">
        <f t="shared" si="55"/>
        <v>0</v>
      </c>
      <c r="AV66" s="561">
        <f t="shared" si="55"/>
        <v>0</v>
      </c>
      <c r="AW66" s="561">
        <f t="shared" si="55"/>
        <v>0</v>
      </c>
      <c r="AX66" s="561">
        <f t="shared" si="55"/>
        <v>0</v>
      </c>
      <c r="AY66" s="561">
        <f t="shared" si="55"/>
        <v>0</v>
      </c>
      <c r="AZ66" s="561">
        <f t="shared" si="55"/>
        <v>0</v>
      </c>
      <c r="BA66" s="561">
        <f t="shared" si="55"/>
        <v>0</v>
      </c>
      <c r="BB66" s="561">
        <f t="shared" si="55"/>
        <v>0</v>
      </c>
      <c r="BC66" s="561">
        <f t="shared" si="55"/>
        <v>0</v>
      </c>
      <c r="BD66" s="561">
        <f t="shared" si="55"/>
        <v>0</v>
      </c>
      <c r="BE66" s="561">
        <f t="shared" si="55"/>
        <v>0</v>
      </c>
      <c r="BF66" s="561">
        <f t="shared" si="55"/>
        <v>0</v>
      </c>
      <c r="BG66" s="561">
        <f t="shared" si="55"/>
        <v>0</v>
      </c>
      <c r="BH66" s="561">
        <f t="shared" si="55"/>
        <v>0</v>
      </c>
      <c r="BI66" s="561">
        <f t="shared" si="55"/>
        <v>0</v>
      </c>
      <c r="BJ66" s="561">
        <f t="shared" si="55"/>
        <v>0</v>
      </c>
      <c r="BK66" s="561">
        <f t="shared" si="54"/>
        <v>1617000000</v>
      </c>
      <c r="BL66" s="561">
        <f t="shared" ref="BL66:BY66" si="56">BL65</f>
        <v>494303329</v>
      </c>
      <c r="BM66" s="561">
        <f t="shared" si="56"/>
        <v>134613332</v>
      </c>
      <c r="BN66" s="561">
        <f t="shared" si="56"/>
        <v>0</v>
      </c>
      <c r="BO66" s="561">
        <f t="shared" si="56"/>
        <v>0</v>
      </c>
      <c r="BP66" s="561">
        <f t="shared" si="56"/>
        <v>0</v>
      </c>
      <c r="BQ66" s="561">
        <f t="shared" si="56"/>
        <v>0</v>
      </c>
      <c r="BR66" s="561">
        <f t="shared" si="56"/>
        <v>0</v>
      </c>
      <c r="BS66" s="561">
        <f t="shared" si="56"/>
        <v>0</v>
      </c>
      <c r="BT66" s="561">
        <f t="shared" si="56"/>
        <v>0</v>
      </c>
      <c r="BU66" s="561">
        <f t="shared" si="56"/>
        <v>0</v>
      </c>
      <c r="BV66" s="561">
        <f t="shared" si="56"/>
        <v>0</v>
      </c>
      <c r="BW66" s="561">
        <f t="shared" si="56"/>
        <v>0</v>
      </c>
      <c r="BX66" s="561">
        <f t="shared" si="56"/>
        <v>0</v>
      </c>
      <c r="BY66" s="561">
        <f t="shared" si="56"/>
        <v>0</v>
      </c>
      <c r="BZ66" s="561">
        <f t="shared" si="54"/>
        <v>1617000000</v>
      </c>
      <c r="CA66" s="561">
        <f t="shared" ref="CA66:CB66" si="57">CA65</f>
        <v>494303329</v>
      </c>
      <c r="CB66" s="561">
        <f t="shared" si="57"/>
        <v>134613332</v>
      </c>
    </row>
    <row r="67" spans="1:80" s="2" customFormat="1" ht="20.25" x14ac:dyDescent="0.25">
      <c r="A67" s="801"/>
      <c r="B67" s="360"/>
      <c r="C67" s="395"/>
      <c r="D67" s="360"/>
      <c r="E67" s="395"/>
      <c r="F67" s="395"/>
      <c r="G67" s="360"/>
      <c r="H67" s="395"/>
      <c r="I67" s="360"/>
      <c r="J67" s="791"/>
      <c r="K67" s="802"/>
      <c r="L67" s="802"/>
      <c r="M67" s="802"/>
      <c r="N67" s="791"/>
      <c r="O67" s="395"/>
      <c r="P67" s="360"/>
      <c r="Q67" s="241"/>
      <c r="R67" s="570"/>
      <c r="S67" s="570"/>
      <c r="T67" s="570"/>
      <c r="U67" s="571"/>
      <c r="V67" s="571"/>
      <c r="W67" s="571"/>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1"/>
      <c r="AZ67" s="571"/>
      <c r="BA67" s="571"/>
      <c r="BB67" s="571"/>
      <c r="BC67" s="571"/>
      <c r="BD67" s="571"/>
      <c r="BE67" s="570"/>
      <c r="BF67" s="570"/>
      <c r="BG67" s="570"/>
      <c r="BH67" s="570"/>
      <c r="BI67" s="570"/>
      <c r="BJ67" s="570"/>
      <c r="BK67" s="591" t="s">
        <v>62</v>
      </c>
      <c r="BL67" s="591"/>
      <c r="BM67" s="591"/>
      <c r="BN67" s="570"/>
      <c r="BO67" s="570"/>
      <c r="BP67" s="570"/>
      <c r="BQ67" s="570"/>
      <c r="BR67" s="570"/>
      <c r="BS67" s="570"/>
      <c r="BT67" s="570"/>
      <c r="BU67" s="570"/>
      <c r="BV67" s="570"/>
      <c r="BW67" s="571"/>
      <c r="BX67" s="571"/>
      <c r="BY67" s="571"/>
      <c r="BZ67" s="570"/>
      <c r="CA67" s="570"/>
      <c r="CB67" s="570"/>
    </row>
    <row r="68" spans="1:80" s="459" customFormat="1" ht="15.75" x14ac:dyDescent="0.2">
      <c r="A68" s="147" t="s">
        <v>117</v>
      </c>
      <c r="B68" s="148"/>
      <c r="C68" s="149"/>
      <c r="D68" s="148"/>
      <c r="E68" s="148"/>
      <c r="F68" s="148"/>
      <c r="G68" s="148"/>
      <c r="H68" s="149"/>
      <c r="I68" s="148"/>
      <c r="J68" s="148"/>
      <c r="K68" s="150"/>
      <c r="L68" s="150"/>
      <c r="M68" s="150"/>
      <c r="N68" s="148"/>
      <c r="O68" s="149"/>
      <c r="P68" s="148"/>
      <c r="Q68" s="43"/>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0"/>
      <c r="BA68" s="830"/>
      <c r="BB68" s="830"/>
      <c r="BC68" s="830"/>
      <c r="BD68" s="830"/>
      <c r="BE68" s="830"/>
      <c r="BF68" s="830"/>
      <c r="BG68" s="830"/>
      <c r="BH68" s="830"/>
      <c r="BI68" s="830"/>
      <c r="BJ68" s="830"/>
      <c r="BK68" s="831"/>
      <c r="BL68" s="831"/>
      <c r="BM68" s="831"/>
      <c r="BN68" s="832"/>
      <c r="BO68" s="832"/>
      <c r="BP68" s="832"/>
      <c r="BQ68" s="830"/>
      <c r="BR68" s="830"/>
      <c r="BS68" s="830"/>
      <c r="BT68" s="830"/>
      <c r="BU68" s="830"/>
      <c r="BV68" s="830"/>
      <c r="BW68" s="830"/>
      <c r="BX68" s="830"/>
      <c r="BY68" s="830"/>
      <c r="BZ68" s="830"/>
      <c r="CA68" s="830"/>
      <c r="CB68" s="833"/>
    </row>
    <row r="69" spans="1:80" s="459" customFormat="1" ht="15.75" x14ac:dyDescent="0.2">
      <c r="A69" s="44">
        <v>5</v>
      </c>
      <c r="B69" s="45" t="s">
        <v>38</v>
      </c>
      <c r="C69" s="46"/>
      <c r="D69" s="45"/>
      <c r="E69" s="45"/>
      <c r="F69" s="45"/>
      <c r="G69" s="45"/>
      <c r="H69" s="46"/>
      <c r="I69" s="45"/>
      <c r="J69" s="45"/>
      <c r="K69" s="151"/>
      <c r="L69" s="151"/>
      <c r="M69" s="151"/>
      <c r="N69" s="45"/>
      <c r="O69" s="46"/>
      <c r="P69" s="45"/>
      <c r="Q69" s="45"/>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c r="AX69" s="572"/>
      <c r="AY69" s="572"/>
      <c r="AZ69" s="572"/>
      <c r="BA69" s="572"/>
      <c r="BB69" s="572"/>
      <c r="BC69" s="572"/>
      <c r="BD69" s="572"/>
      <c r="BE69" s="572"/>
      <c r="BF69" s="572"/>
      <c r="BG69" s="572"/>
      <c r="BH69" s="572"/>
      <c r="BI69" s="572"/>
      <c r="BJ69" s="572"/>
      <c r="BK69" s="573"/>
      <c r="BL69" s="573"/>
      <c r="BM69" s="573"/>
      <c r="BN69" s="572"/>
      <c r="BO69" s="572"/>
      <c r="BP69" s="572"/>
      <c r="BQ69" s="572"/>
      <c r="BR69" s="572"/>
      <c r="BS69" s="572"/>
      <c r="BT69" s="572"/>
      <c r="BU69" s="572"/>
      <c r="BV69" s="572"/>
      <c r="BW69" s="572"/>
      <c r="BX69" s="572"/>
      <c r="BY69" s="572"/>
      <c r="BZ69" s="572"/>
      <c r="CA69" s="572"/>
      <c r="CB69" s="574"/>
    </row>
    <row r="70" spans="1:80" s="459" customFormat="1" ht="15.75" x14ac:dyDescent="0.2">
      <c r="A70" s="94"/>
      <c r="B70" s="152">
        <v>28</v>
      </c>
      <c r="C70" s="51" t="s">
        <v>39</v>
      </c>
      <c r="D70" s="50"/>
      <c r="E70" s="50"/>
      <c r="F70" s="50"/>
      <c r="G70" s="50"/>
      <c r="H70" s="51"/>
      <c r="I70" s="50"/>
      <c r="J70" s="50"/>
      <c r="K70" s="153"/>
      <c r="L70" s="153"/>
      <c r="M70" s="153"/>
      <c r="N70" s="50"/>
      <c r="O70" s="51"/>
      <c r="P70" s="50"/>
      <c r="Q70" s="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c r="BI70" s="550"/>
      <c r="BJ70" s="550"/>
      <c r="BK70" s="551"/>
      <c r="BL70" s="551"/>
      <c r="BM70" s="551"/>
      <c r="BN70" s="550"/>
      <c r="BO70" s="550"/>
      <c r="BP70" s="550"/>
      <c r="BQ70" s="550"/>
      <c r="BR70" s="550"/>
      <c r="BS70" s="550"/>
      <c r="BT70" s="550"/>
      <c r="BU70" s="550"/>
      <c r="BV70" s="550"/>
      <c r="BW70" s="550"/>
      <c r="BX70" s="550"/>
      <c r="BY70" s="550"/>
      <c r="BZ70" s="550"/>
      <c r="CA70" s="550"/>
      <c r="CB70" s="555"/>
    </row>
    <row r="71" spans="1:80" s="459" customFormat="1" ht="15.75" x14ac:dyDescent="0.2">
      <c r="A71" s="95"/>
      <c r="B71" s="94"/>
      <c r="C71" s="36"/>
      <c r="D71" s="96"/>
      <c r="E71" s="96"/>
      <c r="F71" s="96"/>
      <c r="G71" s="98">
        <v>88</v>
      </c>
      <c r="H71" s="99" t="s">
        <v>118</v>
      </c>
      <c r="I71" s="100"/>
      <c r="J71" s="100"/>
      <c r="K71" s="155"/>
      <c r="L71" s="155"/>
      <c r="M71" s="155"/>
      <c r="N71" s="100"/>
      <c r="O71" s="212"/>
      <c r="P71" s="100"/>
      <c r="Q71" s="100"/>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552"/>
      <c r="BL71" s="552"/>
      <c r="BM71" s="552"/>
      <c r="BN71" s="336"/>
      <c r="BO71" s="336"/>
      <c r="BP71" s="336"/>
      <c r="BQ71" s="336"/>
      <c r="BR71" s="336"/>
      <c r="BS71" s="336"/>
      <c r="BT71" s="336"/>
      <c r="BU71" s="336"/>
      <c r="BV71" s="336"/>
      <c r="BW71" s="336"/>
      <c r="BX71" s="336"/>
      <c r="BY71" s="336"/>
      <c r="BZ71" s="336"/>
      <c r="CA71" s="336"/>
      <c r="CB71" s="338"/>
    </row>
    <row r="72" spans="1:80" s="11" customFormat="1" ht="66.75" customHeight="1" x14ac:dyDescent="0.2">
      <c r="A72" s="95"/>
      <c r="B72" s="95"/>
      <c r="C72" s="857">
        <v>38</v>
      </c>
      <c r="D72" s="854" t="s">
        <v>52</v>
      </c>
      <c r="E72" s="857">
        <v>0</v>
      </c>
      <c r="F72" s="857">
        <v>2</v>
      </c>
      <c r="G72" s="58"/>
      <c r="H72" s="29">
        <v>275</v>
      </c>
      <c r="I72" s="71" t="s">
        <v>119</v>
      </c>
      <c r="J72" s="156" t="s">
        <v>42</v>
      </c>
      <c r="K72" s="73">
        <v>4</v>
      </c>
      <c r="L72" s="60">
        <v>1</v>
      </c>
      <c r="M72" s="850">
        <v>2017003630028</v>
      </c>
      <c r="N72" s="874" t="s">
        <v>43</v>
      </c>
      <c r="O72" s="856" t="s">
        <v>120</v>
      </c>
      <c r="P72" s="853" t="s">
        <v>121</v>
      </c>
      <c r="Q72" s="29" t="s">
        <v>51</v>
      </c>
      <c r="R72" s="562"/>
      <c r="S72" s="562"/>
      <c r="T72" s="562"/>
      <c r="U72" s="562"/>
      <c r="V72" s="562"/>
      <c r="W72" s="562"/>
      <c r="X72" s="562"/>
      <c r="Y72" s="562"/>
      <c r="Z72" s="562"/>
      <c r="AA72" s="562"/>
      <c r="AB72" s="563"/>
      <c r="AC72" s="563"/>
      <c r="AD72" s="564">
        <v>0</v>
      </c>
      <c r="AE72" s="564"/>
      <c r="AF72" s="564"/>
      <c r="AG72" s="564">
        <v>0</v>
      </c>
      <c r="AH72" s="564"/>
      <c r="AI72" s="564"/>
      <c r="AJ72" s="562"/>
      <c r="AK72" s="562"/>
      <c r="AL72" s="562"/>
      <c r="AM72" s="562"/>
      <c r="AN72" s="562"/>
      <c r="AO72" s="562"/>
      <c r="AP72" s="562"/>
      <c r="AQ72" s="562"/>
      <c r="AR72" s="562"/>
      <c r="AS72" s="562"/>
      <c r="AT72" s="562"/>
      <c r="AU72" s="562"/>
      <c r="AV72" s="562"/>
      <c r="AW72" s="562"/>
      <c r="AX72" s="562"/>
      <c r="AY72" s="562"/>
      <c r="AZ72" s="562"/>
      <c r="BA72" s="562"/>
      <c r="BB72" s="562"/>
      <c r="BC72" s="562"/>
      <c r="BD72" s="562"/>
      <c r="BE72" s="562"/>
      <c r="BF72" s="562"/>
      <c r="BG72" s="562"/>
      <c r="BH72" s="562"/>
      <c r="BI72" s="562"/>
      <c r="BJ72" s="562"/>
      <c r="BK72" s="540">
        <f>900000000+387010000+75000000+115000000</f>
        <v>1477010000</v>
      </c>
      <c r="BL72" s="540">
        <v>609499463</v>
      </c>
      <c r="BM72" s="540">
        <v>54260000</v>
      </c>
      <c r="BN72" s="540"/>
      <c r="BO72" s="540"/>
      <c r="BP72" s="540"/>
      <c r="BQ72" s="562"/>
      <c r="BR72" s="562"/>
      <c r="BS72" s="562"/>
      <c r="BT72" s="562"/>
      <c r="BU72" s="562"/>
      <c r="BV72" s="562"/>
      <c r="BW72" s="562"/>
      <c r="BX72" s="562"/>
      <c r="BY72" s="562"/>
      <c r="BZ72" s="539">
        <f t="shared" ref="BZ72:BZ76" si="58">R72+U72+X72+AA72+AD72+AG72+AJ72+AM72+AP72+AS72+AV72+AY72+BB72+BE72+BH72+BK72+BN72+BQ72+BT72+BW72</f>
        <v>1477010000</v>
      </c>
      <c r="CA72" s="539">
        <f t="shared" ref="CA72:CA76" si="59">S72+V72+Y72+AB72+AE72+AH72+AK72+AN72+AQ72+AT72+AW72+AZ72+BC72+BF72+BI72+BL72+BO72+BR72+BU72+BX72</f>
        <v>609499463</v>
      </c>
      <c r="CB72" s="539">
        <f t="shared" ref="CB72:CB76" si="60">T72+W72+Z72+AC72+AF72+AI72+AL72+AO72+AR72+AU72+AX72+BA72+BD72+BG72+BJ72+BM72+BP72+BS72+BV72+BY72</f>
        <v>54260000</v>
      </c>
    </row>
    <row r="73" spans="1:80" s="11" customFormat="1" ht="63" customHeight="1" x14ac:dyDescent="0.2">
      <c r="A73" s="95"/>
      <c r="B73" s="95"/>
      <c r="C73" s="857"/>
      <c r="D73" s="854"/>
      <c r="E73" s="857"/>
      <c r="F73" s="857"/>
      <c r="G73" s="64"/>
      <c r="H73" s="29">
        <v>276</v>
      </c>
      <c r="I73" s="56" t="s">
        <v>122</v>
      </c>
      <c r="J73" s="59">
        <v>1</v>
      </c>
      <c r="K73" s="60">
        <v>1</v>
      </c>
      <c r="L73" s="135">
        <v>0.25</v>
      </c>
      <c r="M73" s="851"/>
      <c r="N73" s="874"/>
      <c r="O73" s="857"/>
      <c r="P73" s="854"/>
      <c r="Q73" s="57" t="s">
        <v>51</v>
      </c>
      <c r="R73" s="562"/>
      <c r="S73" s="562"/>
      <c r="T73" s="562"/>
      <c r="U73" s="562"/>
      <c r="V73" s="562"/>
      <c r="W73" s="562"/>
      <c r="X73" s="562"/>
      <c r="Y73" s="562"/>
      <c r="Z73" s="562"/>
      <c r="AA73" s="562"/>
      <c r="AB73" s="565"/>
      <c r="AC73" s="565"/>
      <c r="AD73" s="542">
        <f>41200000-41200000</f>
        <v>0</v>
      </c>
      <c r="AE73" s="542"/>
      <c r="AF73" s="542"/>
      <c r="AG73" s="562"/>
      <c r="AH73" s="562"/>
      <c r="AI73" s="562"/>
      <c r="AJ73" s="562"/>
      <c r="AK73" s="562"/>
      <c r="AL73" s="562"/>
      <c r="AM73" s="562"/>
      <c r="AN73" s="562"/>
      <c r="AO73" s="562"/>
      <c r="AP73" s="562"/>
      <c r="AQ73" s="562"/>
      <c r="AR73" s="562"/>
      <c r="AS73" s="562"/>
      <c r="AT73" s="562"/>
      <c r="AU73" s="562"/>
      <c r="AV73" s="562"/>
      <c r="AW73" s="562"/>
      <c r="AX73" s="562"/>
      <c r="AY73" s="562"/>
      <c r="AZ73" s="562"/>
      <c r="BA73" s="562"/>
      <c r="BB73" s="562"/>
      <c r="BC73" s="562"/>
      <c r="BD73" s="562"/>
      <c r="BE73" s="562"/>
      <c r="BF73" s="562"/>
      <c r="BG73" s="562"/>
      <c r="BH73" s="562"/>
      <c r="BI73" s="562"/>
      <c r="BJ73" s="562"/>
      <c r="BK73" s="540">
        <f>300000000+40990000-75000000+67201457</f>
        <v>333191457</v>
      </c>
      <c r="BL73" s="540">
        <v>210630000</v>
      </c>
      <c r="BM73" s="540">
        <v>52260000</v>
      </c>
      <c r="BN73" s="540"/>
      <c r="BO73" s="540"/>
      <c r="BP73" s="540"/>
      <c r="BQ73" s="562"/>
      <c r="BR73" s="562"/>
      <c r="BS73" s="562"/>
      <c r="BT73" s="562"/>
      <c r="BU73" s="562"/>
      <c r="BV73" s="562"/>
      <c r="BW73" s="562"/>
      <c r="BX73" s="562"/>
      <c r="BY73" s="562"/>
      <c r="BZ73" s="539">
        <f t="shared" si="58"/>
        <v>333191457</v>
      </c>
      <c r="CA73" s="539">
        <f t="shared" si="59"/>
        <v>210630000</v>
      </c>
      <c r="CB73" s="539">
        <f t="shared" si="60"/>
        <v>52260000</v>
      </c>
    </row>
    <row r="74" spans="1:80" s="2" customFormat="1" ht="63" customHeight="1" x14ac:dyDescent="0.25">
      <c r="A74" s="95"/>
      <c r="B74" s="95"/>
      <c r="C74" s="858"/>
      <c r="D74" s="855"/>
      <c r="E74" s="858"/>
      <c r="F74" s="858"/>
      <c r="G74" s="64"/>
      <c r="H74" s="29">
        <v>277</v>
      </c>
      <c r="I74" s="56" t="s">
        <v>123</v>
      </c>
      <c r="J74" s="59">
        <v>1</v>
      </c>
      <c r="K74" s="60">
        <v>1</v>
      </c>
      <c r="L74" s="135">
        <v>0.25</v>
      </c>
      <c r="M74" s="852"/>
      <c r="N74" s="875"/>
      <c r="O74" s="858"/>
      <c r="P74" s="855"/>
      <c r="Q74" s="57" t="s">
        <v>51</v>
      </c>
      <c r="R74" s="562"/>
      <c r="S74" s="562"/>
      <c r="T74" s="562"/>
      <c r="U74" s="562"/>
      <c r="V74" s="562"/>
      <c r="W74" s="562"/>
      <c r="X74" s="562"/>
      <c r="Y74" s="562"/>
      <c r="Z74" s="562"/>
      <c r="AA74" s="562"/>
      <c r="AB74" s="563"/>
      <c r="AC74" s="563"/>
      <c r="AD74" s="564">
        <f>250000000+43558736</f>
        <v>293558736</v>
      </c>
      <c r="AE74" s="564">
        <v>119490000</v>
      </c>
      <c r="AF74" s="564">
        <v>34140000</v>
      </c>
      <c r="AG74" s="562"/>
      <c r="AH74" s="562"/>
      <c r="AI74" s="562"/>
      <c r="AJ74" s="562"/>
      <c r="AK74" s="562"/>
      <c r="AL74" s="562"/>
      <c r="AM74" s="562"/>
      <c r="AN74" s="562"/>
      <c r="AO74" s="562"/>
      <c r="AP74" s="562"/>
      <c r="AQ74" s="562"/>
      <c r="AR74" s="562"/>
      <c r="AS74" s="562"/>
      <c r="AT74" s="562"/>
      <c r="AU74" s="562"/>
      <c r="AV74" s="562"/>
      <c r="AW74" s="562"/>
      <c r="AX74" s="562"/>
      <c r="AY74" s="562"/>
      <c r="AZ74" s="562"/>
      <c r="BA74" s="562"/>
      <c r="BB74" s="562"/>
      <c r="BC74" s="562"/>
      <c r="BD74" s="562"/>
      <c r="BE74" s="562"/>
      <c r="BF74" s="562"/>
      <c r="BG74" s="562"/>
      <c r="BH74" s="562"/>
      <c r="BI74" s="562"/>
      <c r="BJ74" s="562"/>
      <c r="BK74" s="540">
        <v>81181264</v>
      </c>
      <c r="BL74" s="540"/>
      <c r="BM74" s="540"/>
      <c r="BN74" s="540"/>
      <c r="BO74" s="540"/>
      <c r="BP74" s="540"/>
      <c r="BQ74" s="539"/>
      <c r="BR74" s="541"/>
      <c r="BS74" s="541"/>
      <c r="BT74" s="541"/>
      <c r="BU74" s="541"/>
      <c r="BV74" s="541"/>
      <c r="BW74" s="542"/>
      <c r="BX74" s="542"/>
      <c r="BY74" s="542"/>
      <c r="BZ74" s="539">
        <f t="shared" si="58"/>
        <v>374740000</v>
      </c>
      <c r="CA74" s="539">
        <f t="shared" si="59"/>
        <v>119490000</v>
      </c>
      <c r="CB74" s="539">
        <f t="shared" si="60"/>
        <v>34140000</v>
      </c>
    </row>
    <row r="75" spans="1:80" s="11" customFormat="1" ht="66" customHeight="1" x14ac:dyDescent="0.2">
      <c r="A75" s="95"/>
      <c r="B75" s="95"/>
      <c r="C75" s="856">
        <v>38</v>
      </c>
      <c r="D75" s="853" t="s">
        <v>52</v>
      </c>
      <c r="E75" s="856">
        <v>0</v>
      </c>
      <c r="F75" s="856">
        <v>2</v>
      </c>
      <c r="G75" s="64"/>
      <c r="H75" s="29">
        <v>278</v>
      </c>
      <c r="I75" s="56" t="s">
        <v>124</v>
      </c>
      <c r="J75" s="59" t="s">
        <v>42</v>
      </c>
      <c r="K75" s="60">
        <v>1</v>
      </c>
      <c r="L75" s="60">
        <v>0</v>
      </c>
      <c r="M75" s="879">
        <f>[2]ANDRES!$G$5</f>
        <v>2017003630029</v>
      </c>
      <c r="N75" s="873" t="s">
        <v>43</v>
      </c>
      <c r="O75" s="856" t="s">
        <v>125</v>
      </c>
      <c r="P75" s="853" t="s">
        <v>126</v>
      </c>
      <c r="Q75" s="57" t="s">
        <v>51</v>
      </c>
      <c r="R75" s="539">
        <v>0</v>
      </c>
      <c r="S75" s="539"/>
      <c r="T75" s="539"/>
      <c r="U75" s="539">
        <v>0</v>
      </c>
      <c r="V75" s="539"/>
      <c r="W75" s="539"/>
      <c r="X75" s="539">
        <v>0</v>
      </c>
      <c r="Y75" s="539"/>
      <c r="Z75" s="539"/>
      <c r="AA75" s="539">
        <v>0</v>
      </c>
      <c r="AB75" s="539"/>
      <c r="AC75" s="539"/>
      <c r="AD75" s="539">
        <v>0</v>
      </c>
      <c r="AE75" s="539"/>
      <c r="AF75" s="539"/>
      <c r="AG75" s="539">
        <v>0</v>
      </c>
      <c r="AH75" s="539"/>
      <c r="AI75" s="539"/>
      <c r="AJ75" s="539">
        <v>0</v>
      </c>
      <c r="AK75" s="539"/>
      <c r="AL75" s="539"/>
      <c r="AM75" s="539"/>
      <c r="AN75" s="539"/>
      <c r="AO75" s="539"/>
      <c r="AP75" s="539"/>
      <c r="AQ75" s="539"/>
      <c r="AR75" s="539"/>
      <c r="AS75" s="539">
        <v>0</v>
      </c>
      <c r="AT75" s="539"/>
      <c r="AU75" s="539"/>
      <c r="AV75" s="539">
        <v>0</v>
      </c>
      <c r="AW75" s="539"/>
      <c r="AX75" s="539"/>
      <c r="AY75" s="539"/>
      <c r="AZ75" s="539"/>
      <c r="BA75" s="539"/>
      <c r="BB75" s="539"/>
      <c r="BC75" s="539"/>
      <c r="BD75" s="539"/>
      <c r="BE75" s="539">
        <v>0</v>
      </c>
      <c r="BF75" s="539"/>
      <c r="BG75" s="539"/>
      <c r="BH75" s="539">
        <v>0</v>
      </c>
      <c r="BI75" s="539"/>
      <c r="BJ75" s="539"/>
      <c r="BK75" s="540">
        <f>18000000</f>
        <v>18000000</v>
      </c>
      <c r="BL75" s="540"/>
      <c r="BM75" s="540"/>
      <c r="BN75" s="540"/>
      <c r="BO75" s="540"/>
      <c r="BP75" s="540"/>
      <c r="BQ75" s="539">
        <v>0</v>
      </c>
      <c r="BR75" s="541"/>
      <c r="BS75" s="541"/>
      <c r="BT75" s="541"/>
      <c r="BU75" s="541"/>
      <c r="BV75" s="541"/>
      <c r="BW75" s="541">
        <v>0</v>
      </c>
      <c r="BX75" s="541"/>
      <c r="BY75" s="541"/>
      <c r="BZ75" s="539">
        <f t="shared" si="58"/>
        <v>18000000</v>
      </c>
      <c r="CA75" s="539">
        <f t="shared" si="59"/>
        <v>0</v>
      </c>
      <c r="CB75" s="539">
        <f t="shared" si="60"/>
        <v>0</v>
      </c>
    </row>
    <row r="76" spans="1:80" s="11" customFormat="1" ht="82.5" customHeight="1" x14ac:dyDescent="0.2">
      <c r="A76" s="95"/>
      <c r="B76" s="95"/>
      <c r="C76" s="857"/>
      <c r="D76" s="854"/>
      <c r="E76" s="857"/>
      <c r="F76" s="857"/>
      <c r="G76" s="139"/>
      <c r="H76" s="29">
        <v>279</v>
      </c>
      <c r="I76" s="56" t="s">
        <v>127</v>
      </c>
      <c r="J76" s="59" t="s">
        <v>42</v>
      </c>
      <c r="K76" s="60">
        <v>1</v>
      </c>
      <c r="L76" s="135">
        <v>0.25</v>
      </c>
      <c r="M76" s="858"/>
      <c r="N76" s="875"/>
      <c r="O76" s="858"/>
      <c r="P76" s="855"/>
      <c r="Q76" s="57" t="s">
        <v>51</v>
      </c>
      <c r="R76" s="539">
        <v>0</v>
      </c>
      <c r="S76" s="539"/>
      <c r="T76" s="539"/>
      <c r="U76" s="539">
        <v>0</v>
      </c>
      <c r="V76" s="539"/>
      <c r="W76" s="539"/>
      <c r="X76" s="539">
        <v>0</v>
      </c>
      <c r="Y76" s="539"/>
      <c r="Z76" s="539"/>
      <c r="AA76" s="539">
        <v>0</v>
      </c>
      <c r="AB76" s="539"/>
      <c r="AC76" s="539"/>
      <c r="AD76" s="539">
        <v>0</v>
      </c>
      <c r="AE76" s="539"/>
      <c r="AF76" s="539"/>
      <c r="AG76" s="539"/>
      <c r="AH76" s="539"/>
      <c r="AI76" s="539"/>
      <c r="AJ76" s="539">
        <v>0</v>
      </c>
      <c r="AK76" s="539"/>
      <c r="AL76" s="539"/>
      <c r="AM76" s="539"/>
      <c r="AN76" s="539"/>
      <c r="AO76" s="539"/>
      <c r="AP76" s="539"/>
      <c r="AQ76" s="539"/>
      <c r="AR76" s="539"/>
      <c r="AS76" s="539">
        <v>0</v>
      </c>
      <c r="AT76" s="539"/>
      <c r="AU76" s="539"/>
      <c r="AV76" s="539">
        <v>0</v>
      </c>
      <c r="AW76" s="539"/>
      <c r="AX76" s="539"/>
      <c r="AY76" s="539"/>
      <c r="AZ76" s="539"/>
      <c r="BA76" s="539"/>
      <c r="BB76" s="539"/>
      <c r="BC76" s="539"/>
      <c r="BD76" s="539"/>
      <c r="BE76" s="539">
        <v>0</v>
      </c>
      <c r="BF76" s="539"/>
      <c r="BG76" s="539"/>
      <c r="BH76" s="539">
        <v>0</v>
      </c>
      <c r="BI76" s="539"/>
      <c r="BJ76" s="539"/>
      <c r="BK76" s="540">
        <f>300000000+72000000</f>
        <v>372000000</v>
      </c>
      <c r="BL76" s="540">
        <v>260750000</v>
      </c>
      <c r="BM76" s="540">
        <v>64960000</v>
      </c>
      <c r="BN76" s="540"/>
      <c r="BO76" s="540"/>
      <c r="BP76" s="540"/>
      <c r="BQ76" s="539"/>
      <c r="BR76" s="541"/>
      <c r="BS76" s="541"/>
      <c r="BT76" s="541"/>
      <c r="BU76" s="541"/>
      <c r="BV76" s="541"/>
      <c r="BW76" s="541">
        <v>0</v>
      </c>
      <c r="BX76" s="541"/>
      <c r="BY76" s="541"/>
      <c r="BZ76" s="539">
        <f t="shared" si="58"/>
        <v>372000000</v>
      </c>
      <c r="CA76" s="539">
        <f t="shared" si="59"/>
        <v>260750000</v>
      </c>
      <c r="CB76" s="539">
        <f t="shared" si="60"/>
        <v>64960000</v>
      </c>
    </row>
    <row r="77" spans="1:80" s="11" customFormat="1" ht="15.75" x14ac:dyDescent="0.2">
      <c r="A77" s="95"/>
      <c r="B77" s="141"/>
      <c r="C77" s="510"/>
      <c r="D77" s="518"/>
      <c r="E77" s="510"/>
      <c r="F77" s="510"/>
      <c r="G77" s="77"/>
      <c r="H77" s="78"/>
      <c r="I77" s="77"/>
      <c r="J77" s="79"/>
      <c r="K77" s="105"/>
      <c r="L77" s="105"/>
      <c r="M77" s="105"/>
      <c r="N77" s="79"/>
      <c r="O77" s="78"/>
      <c r="P77" s="77"/>
      <c r="Q77" s="78"/>
      <c r="R77" s="548">
        <f t="shared" ref="R77:BY77" si="61">SUM(R72:R76)</f>
        <v>0</v>
      </c>
      <c r="S77" s="548">
        <f t="shared" si="61"/>
        <v>0</v>
      </c>
      <c r="T77" s="548">
        <f t="shared" si="61"/>
        <v>0</v>
      </c>
      <c r="U77" s="548">
        <f t="shared" si="61"/>
        <v>0</v>
      </c>
      <c r="V77" s="548">
        <f t="shared" si="61"/>
        <v>0</v>
      </c>
      <c r="W77" s="548">
        <f t="shared" si="61"/>
        <v>0</v>
      </c>
      <c r="X77" s="548">
        <f t="shared" si="61"/>
        <v>0</v>
      </c>
      <c r="Y77" s="548">
        <f t="shared" si="61"/>
        <v>0</v>
      </c>
      <c r="Z77" s="548">
        <f t="shared" si="61"/>
        <v>0</v>
      </c>
      <c r="AA77" s="548">
        <f t="shared" si="61"/>
        <v>0</v>
      </c>
      <c r="AB77" s="548">
        <f t="shared" si="61"/>
        <v>0</v>
      </c>
      <c r="AC77" s="548">
        <f t="shared" si="61"/>
        <v>0</v>
      </c>
      <c r="AD77" s="548">
        <f t="shared" si="61"/>
        <v>293558736</v>
      </c>
      <c r="AE77" s="548">
        <f t="shared" si="61"/>
        <v>119490000</v>
      </c>
      <c r="AF77" s="548">
        <f t="shared" si="61"/>
        <v>34140000</v>
      </c>
      <c r="AG77" s="548">
        <f t="shared" si="61"/>
        <v>0</v>
      </c>
      <c r="AH77" s="548">
        <f t="shared" si="61"/>
        <v>0</v>
      </c>
      <c r="AI77" s="548">
        <f t="shared" si="61"/>
        <v>0</v>
      </c>
      <c r="AJ77" s="548">
        <f t="shared" si="61"/>
        <v>0</v>
      </c>
      <c r="AK77" s="548">
        <f t="shared" si="61"/>
        <v>0</v>
      </c>
      <c r="AL77" s="548">
        <f t="shared" si="61"/>
        <v>0</v>
      </c>
      <c r="AM77" s="548">
        <f t="shared" si="61"/>
        <v>0</v>
      </c>
      <c r="AN77" s="548">
        <f t="shared" si="61"/>
        <v>0</v>
      </c>
      <c r="AO77" s="548">
        <f t="shared" si="61"/>
        <v>0</v>
      </c>
      <c r="AP77" s="548">
        <f t="shared" si="61"/>
        <v>0</v>
      </c>
      <c r="AQ77" s="548">
        <f t="shared" si="61"/>
        <v>0</v>
      </c>
      <c r="AR77" s="548">
        <f t="shared" si="61"/>
        <v>0</v>
      </c>
      <c r="AS77" s="548">
        <f t="shared" si="61"/>
        <v>0</v>
      </c>
      <c r="AT77" s="548">
        <f t="shared" si="61"/>
        <v>0</v>
      </c>
      <c r="AU77" s="548">
        <f t="shared" si="61"/>
        <v>0</v>
      </c>
      <c r="AV77" s="548">
        <f t="shared" si="61"/>
        <v>0</v>
      </c>
      <c r="AW77" s="548">
        <f t="shared" si="61"/>
        <v>0</v>
      </c>
      <c r="AX77" s="548">
        <f t="shared" si="61"/>
        <v>0</v>
      </c>
      <c r="AY77" s="548">
        <f t="shared" si="61"/>
        <v>0</v>
      </c>
      <c r="AZ77" s="548">
        <f t="shared" si="61"/>
        <v>0</v>
      </c>
      <c r="BA77" s="548">
        <f t="shared" si="61"/>
        <v>0</v>
      </c>
      <c r="BB77" s="548">
        <f t="shared" si="61"/>
        <v>0</v>
      </c>
      <c r="BC77" s="548">
        <f t="shared" si="61"/>
        <v>0</v>
      </c>
      <c r="BD77" s="548">
        <f t="shared" si="61"/>
        <v>0</v>
      </c>
      <c r="BE77" s="548">
        <f t="shared" si="61"/>
        <v>0</v>
      </c>
      <c r="BF77" s="548">
        <f t="shared" si="61"/>
        <v>0</v>
      </c>
      <c r="BG77" s="548">
        <f t="shared" si="61"/>
        <v>0</v>
      </c>
      <c r="BH77" s="548">
        <f t="shared" si="61"/>
        <v>0</v>
      </c>
      <c r="BI77" s="548">
        <f t="shared" si="61"/>
        <v>0</v>
      </c>
      <c r="BJ77" s="548">
        <f t="shared" si="61"/>
        <v>0</v>
      </c>
      <c r="BK77" s="548">
        <f t="shared" si="61"/>
        <v>2281382721</v>
      </c>
      <c r="BL77" s="548">
        <f t="shared" si="61"/>
        <v>1080879463</v>
      </c>
      <c r="BM77" s="548">
        <f t="shared" si="61"/>
        <v>171480000</v>
      </c>
      <c r="BN77" s="548">
        <f t="shared" si="61"/>
        <v>0</v>
      </c>
      <c r="BO77" s="548">
        <f t="shared" si="61"/>
        <v>0</v>
      </c>
      <c r="BP77" s="548">
        <f t="shared" si="61"/>
        <v>0</v>
      </c>
      <c r="BQ77" s="548">
        <f t="shared" si="61"/>
        <v>0</v>
      </c>
      <c r="BR77" s="548">
        <f t="shared" si="61"/>
        <v>0</v>
      </c>
      <c r="BS77" s="548">
        <f t="shared" si="61"/>
        <v>0</v>
      </c>
      <c r="BT77" s="548">
        <f t="shared" si="61"/>
        <v>0</v>
      </c>
      <c r="BU77" s="548">
        <f t="shared" si="61"/>
        <v>0</v>
      </c>
      <c r="BV77" s="548">
        <f t="shared" si="61"/>
        <v>0</v>
      </c>
      <c r="BW77" s="548">
        <f t="shared" si="61"/>
        <v>0</v>
      </c>
      <c r="BX77" s="548">
        <f t="shared" si="61"/>
        <v>0</v>
      </c>
      <c r="BY77" s="548">
        <f t="shared" si="61"/>
        <v>0</v>
      </c>
      <c r="BZ77" s="548">
        <f>SUM(BZ72:BZ76)</f>
        <v>2574941457</v>
      </c>
      <c r="CA77" s="548">
        <f t="shared" ref="CA77:CB77" si="62">SUM(CA72:CA76)</f>
        <v>1200369463</v>
      </c>
      <c r="CB77" s="548">
        <f t="shared" si="62"/>
        <v>205620000</v>
      </c>
    </row>
    <row r="78" spans="1:80" s="11" customFormat="1" ht="15.75" x14ac:dyDescent="0.2">
      <c r="A78" s="141"/>
      <c r="B78" s="118"/>
      <c r="C78" s="82"/>
      <c r="D78" s="81"/>
      <c r="E78" s="82"/>
      <c r="F78" s="82"/>
      <c r="G78" s="81"/>
      <c r="H78" s="82"/>
      <c r="I78" s="81"/>
      <c r="J78" s="83"/>
      <c r="K78" s="123"/>
      <c r="L78" s="123"/>
      <c r="M78" s="123"/>
      <c r="N78" s="83"/>
      <c r="O78" s="82"/>
      <c r="P78" s="81"/>
      <c r="Q78" s="82"/>
      <c r="R78" s="554">
        <f t="shared" ref="R78:BY78" si="63">R77</f>
        <v>0</v>
      </c>
      <c r="S78" s="554">
        <f t="shared" si="63"/>
        <v>0</v>
      </c>
      <c r="T78" s="554">
        <f t="shared" si="63"/>
        <v>0</v>
      </c>
      <c r="U78" s="554">
        <f t="shared" si="63"/>
        <v>0</v>
      </c>
      <c r="V78" s="554">
        <f t="shared" si="63"/>
        <v>0</v>
      </c>
      <c r="W78" s="554">
        <f t="shared" si="63"/>
        <v>0</v>
      </c>
      <c r="X78" s="554">
        <f t="shared" si="63"/>
        <v>0</v>
      </c>
      <c r="Y78" s="554">
        <f t="shared" si="63"/>
        <v>0</v>
      </c>
      <c r="Z78" s="554">
        <f t="shared" si="63"/>
        <v>0</v>
      </c>
      <c r="AA78" s="554">
        <f t="shared" si="63"/>
        <v>0</v>
      </c>
      <c r="AB78" s="554">
        <f t="shared" si="63"/>
        <v>0</v>
      </c>
      <c r="AC78" s="554">
        <f t="shared" si="63"/>
        <v>0</v>
      </c>
      <c r="AD78" s="554">
        <f t="shared" si="63"/>
        <v>293558736</v>
      </c>
      <c r="AE78" s="554">
        <f t="shared" si="63"/>
        <v>119490000</v>
      </c>
      <c r="AF78" s="554">
        <f t="shared" si="63"/>
        <v>34140000</v>
      </c>
      <c r="AG78" s="554">
        <f t="shared" si="63"/>
        <v>0</v>
      </c>
      <c r="AH78" s="554">
        <f t="shared" si="63"/>
        <v>0</v>
      </c>
      <c r="AI78" s="554">
        <f t="shared" si="63"/>
        <v>0</v>
      </c>
      <c r="AJ78" s="554">
        <f t="shared" si="63"/>
        <v>0</v>
      </c>
      <c r="AK78" s="554">
        <f t="shared" si="63"/>
        <v>0</v>
      </c>
      <c r="AL78" s="554">
        <f t="shared" si="63"/>
        <v>0</v>
      </c>
      <c r="AM78" s="554">
        <f t="shared" si="63"/>
        <v>0</v>
      </c>
      <c r="AN78" s="554">
        <f t="shared" si="63"/>
        <v>0</v>
      </c>
      <c r="AO78" s="554">
        <f t="shared" si="63"/>
        <v>0</v>
      </c>
      <c r="AP78" s="554">
        <f t="shared" si="63"/>
        <v>0</v>
      </c>
      <c r="AQ78" s="554">
        <f t="shared" si="63"/>
        <v>0</v>
      </c>
      <c r="AR78" s="554">
        <f t="shared" si="63"/>
        <v>0</v>
      </c>
      <c r="AS78" s="554">
        <f t="shared" si="63"/>
        <v>0</v>
      </c>
      <c r="AT78" s="554">
        <f t="shared" si="63"/>
        <v>0</v>
      </c>
      <c r="AU78" s="554">
        <f t="shared" si="63"/>
        <v>0</v>
      </c>
      <c r="AV78" s="554">
        <f t="shared" si="63"/>
        <v>0</v>
      </c>
      <c r="AW78" s="554">
        <f t="shared" si="63"/>
        <v>0</v>
      </c>
      <c r="AX78" s="554">
        <f t="shared" si="63"/>
        <v>0</v>
      </c>
      <c r="AY78" s="554">
        <f t="shared" si="63"/>
        <v>0</v>
      </c>
      <c r="AZ78" s="554">
        <f t="shared" si="63"/>
        <v>0</v>
      </c>
      <c r="BA78" s="554">
        <f t="shared" si="63"/>
        <v>0</v>
      </c>
      <c r="BB78" s="554">
        <f t="shared" si="63"/>
        <v>0</v>
      </c>
      <c r="BC78" s="554">
        <f t="shared" si="63"/>
        <v>0</v>
      </c>
      <c r="BD78" s="554">
        <f t="shared" si="63"/>
        <v>0</v>
      </c>
      <c r="BE78" s="554">
        <f t="shared" si="63"/>
        <v>0</v>
      </c>
      <c r="BF78" s="554">
        <f t="shared" si="63"/>
        <v>0</v>
      </c>
      <c r="BG78" s="554">
        <f t="shared" si="63"/>
        <v>0</v>
      </c>
      <c r="BH78" s="554">
        <f t="shared" si="63"/>
        <v>0</v>
      </c>
      <c r="BI78" s="554">
        <f t="shared" si="63"/>
        <v>0</v>
      </c>
      <c r="BJ78" s="554">
        <f t="shared" si="63"/>
        <v>0</v>
      </c>
      <c r="BK78" s="554">
        <f t="shared" si="63"/>
        <v>2281382721</v>
      </c>
      <c r="BL78" s="554">
        <f t="shared" si="63"/>
        <v>1080879463</v>
      </c>
      <c r="BM78" s="554">
        <f t="shared" si="63"/>
        <v>171480000</v>
      </c>
      <c r="BN78" s="554">
        <f t="shared" si="63"/>
        <v>0</v>
      </c>
      <c r="BO78" s="554">
        <f t="shared" si="63"/>
        <v>0</v>
      </c>
      <c r="BP78" s="554">
        <f t="shared" si="63"/>
        <v>0</v>
      </c>
      <c r="BQ78" s="554">
        <f t="shared" si="63"/>
        <v>0</v>
      </c>
      <c r="BR78" s="554">
        <f t="shared" si="63"/>
        <v>0</v>
      </c>
      <c r="BS78" s="554">
        <f t="shared" si="63"/>
        <v>0</v>
      </c>
      <c r="BT78" s="554">
        <f t="shared" si="63"/>
        <v>0</v>
      </c>
      <c r="BU78" s="554">
        <f t="shared" si="63"/>
        <v>0</v>
      </c>
      <c r="BV78" s="554">
        <f t="shared" si="63"/>
        <v>0</v>
      </c>
      <c r="BW78" s="554">
        <f t="shared" si="63"/>
        <v>0</v>
      </c>
      <c r="BX78" s="554">
        <f t="shared" si="63"/>
        <v>0</v>
      </c>
      <c r="BY78" s="554">
        <f t="shared" si="63"/>
        <v>0</v>
      </c>
      <c r="BZ78" s="554">
        <f t="shared" ref="BZ78:BZ80" si="64">BZ77</f>
        <v>2574941457</v>
      </c>
      <c r="CA78" s="554">
        <f t="shared" ref="CA78:CB78" si="65">CA77</f>
        <v>1200369463</v>
      </c>
      <c r="CB78" s="554">
        <f t="shared" si="65"/>
        <v>205620000</v>
      </c>
    </row>
    <row r="79" spans="1:80" s="11" customFormat="1" x14ac:dyDescent="0.2">
      <c r="A79" s="84"/>
      <c r="B79" s="84"/>
      <c r="C79" s="85"/>
      <c r="D79" s="84"/>
      <c r="E79" s="85"/>
      <c r="F79" s="85"/>
      <c r="G79" s="84"/>
      <c r="H79" s="85"/>
      <c r="I79" s="84"/>
      <c r="J79" s="86"/>
      <c r="K79" s="157"/>
      <c r="L79" s="157"/>
      <c r="M79" s="157"/>
      <c r="N79" s="86"/>
      <c r="O79" s="85"/>
      <c r="P79" s="84"/>
      <c r="Q79" s="85"/>
      <c r="R79" s="560">
        <f t="shared" ref="R79:BY79" si="66">R78</f>
        <v>0</v>
      </c>
      <c r="S79" s="560">
        <f t="shared" si="66"/>
        <v>0</v>
      </c>
      <c r="T79" s="560">
        <f t="shared" si="66"/>
        <v>0</v>
      </c>
      <c r="U79" s="560">
        <f t="shared" si="66"/>
        <v>0</v>
      </c>
      <c r="V79" s="560">
        <f t="shared" si="66"/>
        <v>0</v>
      </c>
      <c r="W79" s="560">
        <f t="shared" si="66"/>
        <v>0</v>
      </c>
      <c r="X79" s="560">
        <f t="shared" si="66"/>
        <v>0</v>
      </c>
      <c r="Y79" s="560">
        <f t="shared" si="66"/>
        <v>0</v>
      </c>
      <c r="Z79" s="560">
        <f t="shared" si="66"/>
        <v>0</v>
      </c>
      <c r="AA79" s="560">
        <f t="shared" si="66"/>
        <v>0</v>
      </c>
      <c r="AB79" s="560">
        <f t="shared" si="66"/>
        <v>0</v>
      </c>
      <c r="AC79" s="560">
        <f t="shared" si="66"/>
        <v>0</v>
      </c>
      <c r="AD79" s="560">
        <f t="shared" si="66"/>
        <v>293558736</v>
      </c>
      <c r="AE79" s="560">
        <f t="shared" si="66"/>
        <v>119490000</v>
      </c>
      <c r="AF79" s="560">
        <f t="shared" si="66"/>
        <v>34140000</v>
      </c>
      <c r="AG79" s="560">
        <f t="shared" si="66"/>
        <v>0</v>
      </c>
      <c r="AH79" s="560">
        <f t="shared" si="66"/>
        <v>0</v>
      </c>
      <c r="AI79" s="560">
        <f t="shared" si="66"/>
        <v>0</v>
      </c>
      <c r="AJ79" s="560">
        <f t="shared" si="66"/>
        <v>0</v>
      </c>
      <c r="AK79" s="560">
        <f t="shared" si="66"/>
        <v>0</v>
      </c>
      <c r="AL79" s="560">
        <f t="shared" si="66"/>
        <v>0</v>
      </c>
      <c r="AM79" s="560">
        <f t="shared" si="66"/>
        <v>0</v>
      </c>
      <c r="AN79" s="560">
        <f t="shared" si="66"/>
        <v>0</v>
      </c>
      <c r="AO79" s="560">
        <f t="shared" si="66"/>
        <v>0</v>
      </c>
      <c r="AP79" s="560">
        <f t="shared" si="66"/>
        <v>0</v>
      </c>
      <c r="AQ79" s="560">
        <f t="shared" si="66"/>
        <v>0</v>
      </c>
      <c r="AR79" s="560">
        <f t="shared" si="66"/>
        <v>0</v>
      </c>
      <c r="AS79" s="560">
        <f t="shared" si="66"/>
        <v>0</v>
      </c>
      <c r="AT79" s="560">
        <f t="shared" si="66"/>
        <v>0</v>
      </c>
      <c r="AU79" s="560">
        <f t="shared" si="66"/>
        <v>0</v>
      </c>
      <c r="AV79" s="560">
        <f t="shared" si="66"/>
        <v>0</v>
      </c>
      <c r="AW79" s="560">
        <f t="shared" si="66"/>
        <v>0</v>
      </c>
      <c r="AX79" s="560">
        <f t="shared" si="66"/>
        <v>0</v>
      </c>
      <c r="AY79" s="560">
        <f t="shared" si="66"/>
        <v>0</v>
      </c>
      <c r="AZ79" s="560">
        <f t="shared" si="66"/>
        <v>0</v>
      </c>
      <c r="BA79" s="560">
        <f t="shared" si="66"/>
        <v>0</v>
      </c>
      <c r="BB79" s="560">
        <f t="shared" si="66"/>
        <v>0</v>
      </c>
      <c r="BC79" s="560">
        <f t="shared" si="66"/>
        <v>0</v>
      </c>
      <c r="BD79" s="560">
        <f t="shared" si="66"/>
        <v>0</v>
      </c>
      <c r="BE79" s="560">
        <f t="shared" si="66"/>
        <v>0</v>
      </c>
      <c r="BF79" s="560">
        <f t="shared" si="66"/>
        <v>0</v>
      </c>
      <c r="BG79" s="560">
        <f t="shared" si="66"/>
        <v>0</v>
      </c>
      <c r="BH79" s="560">
        <f t="shared" si="66"/>
        <v>0</v>
      </c>
      <c r="BI79" s="560">
        <f t="shared" si="66"/>
        <v>0</v>
      </c>
      <c r="BJ79" s="560">
        <f t="shared" si="66"/>
        <v>0</v>
      </c>
      <c r="BK79" s="560">
        <f t="shared" si="66"/>
        <v>2281382721</v>
      </c>
      <c r="BL79" s="560">
        <f t="shared" si="66"/>
        <v>1080879463</v>
      </c>
      <c r="BM79" s="560">
        <f t="shared" si="66"/>
        <v>171480000</v>
      </c>
      <c r="BN79" s="560">
        <f t="shared" si="66"/>
        <v>0</v>
      </c>
      <c r="BO79" s="560">
        <f t="shared" si="66"/>
        <v>0</v>
      </c>
      <c r="BP79" s="560">
        <f t="shared" si="66"/>
        <v>0</v>
      </c>
      <c r="BQ79" s="560">
        <f t="shared" si="66"/>
        <v>0</v>
      </c>
      <c r="BR79" s="560">
        <f t="shared" si="66"/>
        <v>0</v>
      </c>
      <c r="BS79" s="560">
        <f t="shared" si="66"/>
        <v>0</v>
      </c>
      <c r="BT79" s="560">
        <f t="shared" si="66"/>
        <v>0</v>
      </c>
      <c r="BU79" s="560">
        <f t="shared" si="66"/>
        <v>0</v>
      </c>
      <c r="BV79" s="560">
        <f t="shared" si="66"/>
        <v>0</v>
      </c>
      <c r="BW79" s="560">
        <f t="shared" si="66"/>
        <v>0</v>
      </c>
      <c r="BX79" s="560">
        <f t="shared" si="66"/>
        <v>0</v>
      </c>
      <c r="BY79" s="560">
        <f t="shared" si="66"/>
        <v>0</v>
      </c>
      <c r="BZ79" s="560">
        <f t="shared" si="64"/>
        <v>2574941457</v>
      </c>
      <c r="CA79" s="560">
        <f t="shared" ref="CA79:CB79" si="67">CA78</f>
        <v>1200369463</v>
      </c>
      <c r="CB79" s="560">
        <f t="shared" si="67"/>
        <v>205620000</v>
      </c>
    </row>
    <row r="80" spans="1:80" s="11" customFormat="1" x14ac:dyDescent="0.2">
      <c r="A80" s="87"/>
      <c r="B80" s="87"/>
      <c r="C80" s="88"/>
      <c r="D80" s="87"/>
      <c r="E80" s="88"/>
      <c r="F80" s="88"/>
      <c r="G80" s="87"/>
      <c r="H80" s="88"/>
      <c r="I80" s="87"/>
      <c r="J80" s="89"/>
      <c r="K80" s="158"/>
      <c r="L80" s="158"/>
      <c r="M80" s="158"/>
      <c r="N80" s="89"/>
      <c r="O80" s="88"/>
      <c r="P80" s="87"/>
      <c r="Q80" s="88"/>
      <c r="R80" s="561">
        <f t="shared" ref="R80:BY80" si="68">R79</f>
        <v>0</v>
      </c>
      <c r="S80" s="561">
        <f t="shared" si="68"/>
        <v>0</v>
      </c>
      <c r="T80" s="561">
        <f t="shared" si="68"/>
        <v>0</v>
      </c>
      <c r="U80" s="561">
        <f t="shared" si="68"/>
        <v>0</v>
      </c>
      <c r="V80" s="561">
        <f t="shared" si="68"/>
        <v>0</v>
      </c>
      <c r="W80" s="561">
        <f t="shared" si="68"/>
        <v>0</v>
      </c>
      <c r="X80" s="561">
        <f t="shared" si="68"/>
        <v>0</v>
      </c>
      <c r="Y80" s="561">
        <f t="shared" si="68"/>
        <v>0</v>
      </c>
      <c r="Z80" s="561">
        <f t="shared" si="68"/>
        <v>0</v>
      </c>
      <c r="AA80" s="561">
        <f t="shared" si="68"/>
        <v>0</v>
      </c>
      <c r="AB80" s="561">
        <f t="shared" si="68"/>
        <v>0</v>
      </c>
      <c r="AC80" s="561">
        <f t="shared" si="68"/>
        <v>0</v>
      </c>
      <c r="AD80" s="561">
        <f t="shared" si="68"/>
        <v>293558736</v>
      </c>
      <c r="AE80" s="561">
        <f t="shared" si="68"/>
        <v>119490000</v>
      </c>
      <c r="AF80" s="561">
        <f t="shared" si="68"/>
        <v>34140000</v>
      </c>
      <c r="AG80" s="561">
        <f t="shared" si="68"/>
        <v>0</v>
      </c>
      <c r="AH80" s="561">
        <f t="shared" si="68"/>
        <v>0</v>
      </c>
      <c r="AI80" s="561">
        <f t="shared" si="68"/>
        <v>0</v>
      </c>
      <c r="AJ80" s="561">
        <f t="shared" si="68"/>
        <v>0</v>
      </c>
      <c r="AK80" s="561">
        <f t="shared" si="68"/>
        <v>0</v>
      </c>
      <c r="AL80" s="561">
        <f t="shared" si="68"/>
        <v>0</v>
      </c>
      <c r="AM80" s="561">
        <f t="shared" si="68"/>
        <v>0</v>
      </c>
      <c r="AN80" s="561">
        <f t="shared" si="68"/>
        <v>0</v>
      </c>
      <c r="AO80" s="561">
        <f t="shared" si="68"/>
        <v>0</v>
      </c>
      <c r="AP80" s="561">
        <f t="shared" si="68"/>
        <v>0</v>
      </c>
      <c r="AQ80" s="561">
        <f t="shared" si="68"/>
        <v>0</v>
      </c>
      <c r="AR80" s="561">
        <f t="shared" si="68"/>
        <v>0</v>
      </c>
      <c r="AS80" s="561">
        <f t="shared" si="68"/>
        <v>0</v>
      </c>
      <c r="AT80" s="561">
        <f t="shared" si="68"/>
        <v>0</v>
      </c>
      <c r="AU80" s="561">
        <f t="shared" si="68"/>
        <v>0</v>
      </c>
      <c r="AV80" s="561">
        <f t="shared" si="68"/>
        <v>0</v>
      </c>
      <c r="AW80" s="561">
        <f t="shared" si="68"/>
        <v>0</v>
      </c>
      <c r="AX80" s="561">
        <f t="shared" si="68"/>
        <v>0</v>
      </c>
      <c r="AY80" s="561">
        <f t="shared" si="68"/>
        <v>0</v>
      </c>
      <c r="AZ80" s="561">
        <f t="shared" si="68"/>
        <v>0</v>
      </c>
      <c r="BA80" s="561">
        <f t="shared" si="68"/>
        <v>0</v>
      </c>
      <c r="BB80" s="561">
        <f t="shared" si="68"/>
        <v>0</v>
      </c>
      <c r="BC80" s="561">
        <f t="shared" si="68"/>
        <v>0</v>
      </c>
      <c r="BD80" s="561">
        <f t="shared" si="68"/>
        <v>0</v>
      </c>
      <c r="BE80" s="561">
        <f t="shared" si="68"/>
        <v>0</v>
      </c>
      <c r="BF80" s="561">
        <f t="shared" si="68"/>
        <v>0</v>
      </c>
      <c r="BG80" s="561">
        <f t="shared" si="68"/>
        <v>0</v>
      </c>
      <c r="BH80" s="561">
        <f t="shared" si="68"/>
        <v>0</v>
      </c>
      <c r="BI80" s="561">
        <f t="shared" si="68"/>
        <v>0</v>
      </c>
      <c r="BJ80" s="561">
        <f t="shared" si="68"/>
        <v>0</v>
      </c>
      <c r="BK80" s="561">
        <f t="shared" si="68"/>
        <v>2281382721</v>
      </c>
      <c r="BL80" s="561">
        <f t="shared" si="68"/>
        <v>1080879463</v>
      </c>
      <c r="BM80" s="561">
        <f t="shared" si="68"/>
        <v>171480000</v>
      </c>
      <c r="BN80" s="561">
        <f t="shared" si="68"/>
        <v>0</v>
      </c>
      <c r="BO80" s="561">
        <f t="shared" si="68"/>
        <v>0</v>
      </c>
      <c r="BP80" s="561">
        <f t="shared" si="68"/>
        <v>0</v>
      </c>
      <c r="BQ80" s="561">
        <f t="shared" si="68"/>
        <v>0</v>
      </c>
      <c r="BR80" s="561">
        <f t="shared" si="68"/>
        <v>0</v>
      </c>
      <c r="BS80" s="561">
        <f t="shared" si="68"/>
        <v>0</v>
      </c>
      <c r="BT80" s="561">
        <f t="shared" si="68"/>
        <v>0</v>
      </c>
      <c r="BU80" s="561">
        <f t="shared" si="68"/>
        <v>0</v>
      </c>
      <c r="BV80" s="561">
        <f t="shared" si="68"/>
        <v>0</v>
      </c>
      <c r="BW80" s="561">
        <f t="shared" si="68"/>
        <v>0</v>
      </c>
      <c r="BX80" s="561">
        <f t="shared" si="68"/>
        <v>0</v>
      </c>
      <c r="BY80" s="561">
        <f t="shared" si="68"/>
        <v>0</v>
      </c>
      <c r="BZ80" s="561">
        <f t="shared" si="64"/>
        <v>2574941457</v>
      </c>
      <c r="CA80" s="561">
        <f t="shared" ref="CA80:CB80" si="69">CA79</f>
        <v>1200369463</v>
      </c>
      <c r="CB80" s="561">
        <f t="shared" si="69"/>
        <v>205620000</v>
      </c>
    </row>
    <row r="81" spans="1:80" s="11" customFormat="1" x14ac:dyDescent="0.2">
      <c r="A81" s="90"/>
      <c r="B81" s="91"/>
      <c r="C81" s="92"/>
      <c r="D81" s="91"/>
      <c r="E81" s="92"/>
      <c r="F81" s="92"/>
      <c r="G81" s="91"/>
      <c r="H81" s="92"/>
      <c r="I81" s="91"/>
      <c r="J81" s="93"/>
      <c r="K81" s="104"/>
      <c r="L81" s="104"/>
      <c r="M81" s="104"/>
      <c r="N81" s="93"/>
      <c r="O81" s="500"/>
      <c r="P81" s="91"/>
      <c r="Q81" s="92"/>
      <c r="R81" s="543"/>
      <c r="S81" s="543"/>
      <c r="T81" s="543"/>
      <c r="U81" s="544"/>
      <c r="V81" s="544"/>
      <c r="W81" s="544"/>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4"/>
      <c r="AZ81" s="544"/>
      <c r="BA81" s="544"/>
      <c r="BB81" s="544"/>
      <c r="BC81" s="544"/>
      <c r="BD81" s="544"/>
      <c r="BE81" s="543"/>
      <c r="BF81" s="543"/>
      <c r="BG81" s="543"/>
      <c r="BH81" s="543"/>
      <c r="BI81" s="543"/>
      <c r="BJ81" s="543"/>
      <c r="BK81" s="545"/>
      <c r="BL81" s="545"/>
      <c r="BM81" s="545"/>
      <c r="BN81" s="546"/>
      <c r="BO81" s="546"/>
      <c r="BP81" s="546"/>
      <c r="BQ81" s="543"/>
      <c r="BR81" s="543"/>
      <c r="BS81" s="543"/>
      <c r="BT81" s="543"/>
      <c r="BU81" s="543"/>
      <c r="BV81" s="543"/>
      <c r="BW81" s="544"/>
      <c r="BX81" s="544"/>
      <c r="BY81" s="544"/>
      <c r="BZ81" s="543"/>
      <c r="CA81" s="543"/>
      <c r="CB81" s="543"/>
    </row>
    <row r="82" spans="1:80" s="11" customFormat="1" ht="15.75" x14ac:dyDescent="0.2">
      <c r="A82" s="41" t="s">
        <v>128</v>
      </c>
      <c r="B82" s="42"/>
      <c r="C82" s="43"/>
      <c r="D82" s="42"/>
      <c r="E82" s="42"/>
      <c r="F82" s="42"/>
      <c r="G82" s="42"/>
      <c r="H82" s="43"/>
      <c r="I82" s="42"/>
      <c r="J82" s="42"/>
      <c r="K82" s="159"/>
      <c r="L82" s="159"/>
      <c r="M82" s="159"/>
      <c r="N82" s="42"/>
      <c r="O82" s="43"/>
      <c r="P82" s="42"/>
      <c r="Q82" s="43"/>
      <c r="R82" s="617"/>
      <c r="S82" s="617"/>
      <c r="T82" s="617"/>
      <c r="U82" s="617"/>
      <c r="V82" s="617"/>
      <c r="W82" s="617"/>
      <c r="X82" s="617"/>
      <c r="Y82" s="617"/>
      <c r="Z82" s="617"/>
      <c r="AA82" s="617"/>
      <c r="AB82" s="617"/>
      <c r="AC82" s="617"/>
      <c r="AD82" s="617"/>
      <c r="AE82" s="617"/>
      <c r="AF82" s="617"/>
      <c r="AG82" s="617"/>
      <c r="AH82" s="617"/>
      <c r="AI82" s="617"/>
      <c r="AJ82" s="617"/>
      <c r="AK82" s="617"/>
      <c r="AL82" s="617"/>
      <c r="AM82" s="617"/>
      <c r="AN82" s="617"/>
      <c r="AO82" s="617"/>
      <c r="AP82" s="617"/>
      <c r="AQ82" s="617"/>
      <c r="AR82" s="617"/>
      <c r="AS82" s="617"/>
      <c r="AT82" s="617"/>
      <c r="AU82" s="617"/>
      <c r="AV82" s="617"/>
      <c r="AW82" s="617"/>
      <c r="AX82" s="617"/>
      <c r="AY82" s="617"/>
      <c r="AZ82" s="617"/>
      <c r="BA82" s="617"/>
      <c r="BB82" s="617"/>
      <c r="BC82" s="617"/>
      <c r="BD82" s="617"/>
      <c r="BE82" s="617"/>
      <c r="BF82" s="617"/>
      <c r="BG82" s="617"/>
      <c r="BH82" s="617"/>
      <c r="BI82" s="617"/>
      <c r="BJ82" s="617"/>
      <c r="BK82" s="618"/>
      <c r="BL82" s="618"/>
      <c r="BM82" s="618"/>
      <c r="BN82" s="619"/>
      <c r="BO82" s="619"/>
      <c r="BP82" s="619"/>
      <c r="BQ82" s="617"/>
      <c r="BR82" s="617"/>
      <c r="BS82" s="617"/>
      <c r="BT82" s="617"/>
      <c r="BU82" s="617"/>
      <c r="BV82" s="617"/>
      <c r="BW82" s="617"/>
      <c r="BX82" s="617"/>
      <c r="BY82" s="617"/>
      <c r="BZ82" s="617"/>
      <c r="CA82" s="617"/>
      <c r="CB82" s="617"/>
    </row>
    <row r="83" spans="1:80" s="11" customFormat="1" ht="23.25" customHeight="1" x14ac:dyDescent="0.2">
      <c r="A83" s="44">
        <v>2</v>
      </c>
      <c r="B83" s="45" t="s">
        <v>129</v>
      </c>
      <c r="C83" s="46"/>
      <c r="D83" s="45"/>
      <c r="E83" s="45"/>
      <c r="F83" s="45"/>
      <c r="G83" s="45"/>
      <c r="H83" s="46"/>
      <c r="I83" s="45"/>
      <c r="J83" s="45"/>
      <c r="K83" s="160"/>
      <c r="L83" s="160"/>
      <c r="M83" s="160"/>
      <c r="N83" s="45"/>
      <c r="O83" s="46"/>
      <c r="P83" s="45"/>
      <c r="Q83" s="45"/>
      <c r="R83" s="572"/>
      <c r="S83" s="572"/>
      <c r="T83" s="572"/>
      <c r="U83" s="572"/>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2"/>
      <c r="AY83" s="572"/>
      <c r="AZ83" s="572"/>
      <c r="BA83" s="572"/>
      <c r="BB83" s="572"/>
      <c r="BC83" s="572"/>
      <c r="BD83" s="572"/>
      <c r="BE83" s="572"/>
      <c r="BF83" s="572"/>
      <c r="BG83" s="572"/>
      <c r="BH83" s="572"/>
      <c r="BI83" s="572"/>
      <c r="BJ83" s="572"/>
      <c r="BK83" s="573"/>
      <c r="BL83" s="573"/>
      <c r="BM83" s="573"/>
      <c r="BN83" s="572"/>
      <c r="BO83" s="572"/>
      <c r="BP83" s="572"/>
      <c r="BQ83" s="572"/>
      <c r="BR83" s="572"/>
      <c r="BS83" s="572"/>
      <c r="BT83" s="572"/>
      <c r="BU83" s="572"/>
      <c r="BV83" s="572"/>
      <c r="BW83" s="572"/>
      <c r="BX83" s="572"/>
      <c r="BY83" s="572"/>
      <c r="BZ83" s="574"/>
      <c r="CA83" s="574"/>
      <c r="CB83" s="574"/>
    </row>
    <row r="84" spans="1:80" s="11" customFormat="1" ht="15.75" x14ac:dyDescent="0.2">
      <c r="A84" s="47"/>
      <c r="B84" s="161">
        <v>4</v>
      </c>
      <c r="C84" s="49" t="s">
        <v>130</v>
      </c>
      <c r="D84" s="50"/>
      <c r="E84" s="50"/>
      <c r="F84" s="50"/>
      <c r="G84" s="50"/>
      <c r="H84" s="51"/>
      <c r="I84" s="50"/>
      <c r="J84" s="50"/>
      <c r="K84" s="112"/>
      <c r="L84" s="112"/>
      <c r="M84" s="112"/>
      <c r="N84" s="50"/>
      <c r="O84" s="51"/>
      <c r="P84" s="50"/>
      <c r="Q84" s="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0"/>
      <c r="BF84" s="550"/>
      <c r="BG84" s="550"/>
      <c r="BH84" s="550"/>
      <c r="BI84" s="550"/>
      <c r="BJ84" s="550"/>
      <c r="BK84" s="551"/>
      <c r="BL84" s="551"/>
      <c r="BM84" s="551"/>
      <c r="BN84" s="550"/>
      <c r="BO84" s="550"/>
      <c r="BP84" s="550"/>
      <c r="BQ84" s="550"/>
      <c r="BR84" s="550"/>
      <c r="BS84" s="550"/>
      <c r="BT84" s="550"/>
      <c r="BU84" s="550"/>
      <c r="BV84" s="550"/>
      <c r="BW84" s="550"/>
      <c r="BX84" s="550"/>
      <c r="BY84" s="550"/>
      <c r="BZ84" s="550"/>
      <c r="CA84" s="550"/>
      <c r="CB84" s="550"/>
    </row>
    <row r="85" spans="1:80" s="11" customFormat="1" ht="15.75" x14ac:dyDescent="0.2">
      <c r="A85" s="52"/>
      <c r="B85" s="47"/>
      <c r="C85" s="508"/>
      <c r="D85" s="516"/>
      <c r="E85" s="508"/>
      <c r="F85" s="508"/>
      <c r="G85" s="98">
        <v>14</v>
      </c>
      <c r="H85" s="100" t="s">
        <v>131</v>
      </c>
      <c r="I85" s="100"/>
      <c r="J85" s="100"/>
      <c r="K85" s="114"/>
      <c r="L85" s="114"/>
      <c r="M85" s="114"/>
      <c r="N85" s="100"/>
      <c r="O85" s="212"/>
      <c r="P85" s="100"/>
      <c r="Q85" s="100"/>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552"/>
      <c r="BL85" s="552"/>
      <c r="BM85" s="552"/>
      <c r="BN85" s="336"/>
      <c r="BO85" s="336"/>
      <c r="BP85" s="336"/>
      <c r="BQ85" s="336"/>
      <c r="BR85" s="336"/>
      <c r="BS85" s="336"/>
      <c r="BT85" s="336"/>
      <c r="BU85" s="336"/>
      <c r="BV85" s="336"/>
      <c r="BW85" s="336"/>
      <c r="BX85" s="336"/>
      <c r="BY85" s="336"/>
      <c r="BZ85" s="338"/>
      <c r="CA85" s="338"/>
      <c r="CB85" s="338"/>
    </row>
    <row r="86" spans="1:80" s="11" customFormat="1" ht="78" customHeight="1" x14ac:dyDescent="0.2">
      <c r="A86" s="52"/>
      <c r="B86" s="52"/>
      <c r="C86" s="857">
        <v>9</v>
      </c>
      <c r="D86" s="854" t="s">
        <v>132</v>
      </c>
      <c r="E86" s="857">
        <v>59</v>
      </c>
      <c r="F86" s="857">
        <v>87</v>
      </c>
      <c r="G86" s="64"/>
      <c r="H86" s="162">
        <v>54</v>
      </c>
      <c r="I86" s="56" t="s">
        <v>133</v>
      </c>
      <c r="J86" s="131">
        <v>129.85</v>
      </c>
      <c r="K86" s="132">
        <v>130</v>
      </c>
      <c r="L86" s="132">
        <v>61</v>
      </c>
      <c r="M86" s="879">
        <f>[2]ANDRES!$G$7</f>
        <v>2017003630030</v>
      </c>
      <c r="N86" s="876" t="s">
        <v>134</v>
      </c>
      <c r="O86" s="856" t="s">
        <v>135</v>
      </c>
      <c r="P86" s="853" t="s">
        <v>136</v>
      </c>
      <c r="Q86" s="57" t="s">
        <v>51</v>
      </c>
      <c r="R86" s="539"/>
      <c r="S86" s="539"/>
      <c r="T86" s="539"/>
      <c r="U86" s="539"/>
      <c r="V86" s="539"/>
      <c r="W86" s="539"/>
      <c r="X86" s="539"/>
      <c r="Y86" s="539"/>
      <c r="Z86" s="539"/>
      <c r="AA86" s="539"/>
      <c r="AB86" s="539"/>
      <c r="AC86" s="539"/>
      <c r="AD86" s="539"/>
      <c r="AE86" s="539"/>
      <c r="AF86" s="539"/>
      <c r="AG86" s="163">
        <f>248486462+22454001</f>
        <v>270940463</v>
      </c>
      <c r="AH86" s="163">
        <f>'[3]Metas y Proyectos'!$P$15+'[3]Metas y Proyectos'!$P$16</f>
        <v>122893637</v>
      </c>
      <c r="AI86" s="163">
        <f>'[3]Metas y Proyectos'!$Q$15</f>
        <v>32893500</v>
      </c>
      <c r="AJ86" s="539"/>
      <c r="AK86" s="539"/>
      <c r="AL86" s="539"/>
      <c r="AM86" s="539"/>
      <c r="AN86" s="539"/>
      <c r="AO86" s="539"/>
      <c r="AP86" s="539"/>
      <c r="AQ86" s="539"/>
      <c r="AR86" s="539"/>
      <c r="AS86" s="539"/>
      <c r="AT86" s="539"/>
      <c r="AU86" s="539"/>
      <c r="AV86" s="539"/>
      <c r="AW86" s="539"/>
      <c r="AX86" s="539"/>
      <c r="AY86" s="539"/>
      <c r="AZ86" s="539"/>
      <c r="BA86" s="539"/>
      <c r="BB86" s="539"/>
      <c r="BC86" s="539"/>
      <c r="BD86" s="539"/>
      <c r="BE86" s="539"/>
      <c r="BF86" s="539"/>
      <c r="BG86" s="539"/>
      <c r="BH86" s="539"/>
      <c r="BI86" s="539"/>
      <c r="BJ86" s="539"/>
      <c r="BK86" s="540">
        <f>49839592+655093538</f>
        <v>704933130</v>
      </c>
      <c r="BL86" s="540">
        <v>49839592</v>
      </c>
      <c r="BM86" s="540"/>
      <c r="BN86" s="553"/>
      <c r="BO86" s="553"/>
      <c r="BP86" s="553"/>
      <c r="BQ86" s="539"/>
      <c r="BR86" s="541"/>
      <c r="BS86" s="541"/>
      <c r="BT86" s="541">
        <v>3020000000</v>
      </c>
      <c r="BU86" s="541"/>
      <c r="BV86" s="541"/>
      <c r="BW86" s="541"/>
      <c r="BX86" s="541"/>
      <c r="BY86" s="541"/>
      <c r="BZ86" s="539">
        <f t="shared" ref="BZ86:BZ88" si="70">R86+U86+X86+AA86+AD86+AG86+AJ86+AM86+AP86+AS86+AV86+AY86+BB86+BE86+BH86+BK86+BN86+BQ86+BT86+BW86</f>
        <v>3995873593</v>
      </c>
      <c r="CA86" s="539">
        <f t="shared" ref="CA86:CA88" si="71">S86+V86+Y86+AB86+AE86+AH86+AK86+AN86+AQ86+AT86+AW86+AZ86+BC86+BF86+BI86+BL86+BO86+BR86+BU86+BX86</f>
        <v>172733229</v>
      </c>
      <c r="CB86" s="539">
        <f t="shared" ref="CB86:CB88" si="72">T86+W86+Z86+AC86+AF86+AI86+AL86+AO86+AR86+AU86+AX86+BA86+BD86+BG86+BJ86+BM86+BP86+BS86+BV86+BY86</f>
        <v>32893500</v>
      </c>
    </row>
    <row r="87" spans="1:80" s="11" customFormat="1" ht="62.25" customHeight="1" x14ac:dyDescent="0.2">
      <c r="A87" s="52"/>
      <c r="B87" s="52"/>
      <c r="C87" s="857"/>
      <c r="D87" s="854"/>
      <c r="E87" s="857"/>
      <c r="F87" s="857"/>
      <c r="G87" s="64"/>
      <c r="H87" s="57">
        <v>55</v>
      </c>
      <c r="I87" s="56" t="s">
        <v>137</v>
      </c>
      <c r="J87" s="131">
        <v>12</v>
      </c>
      <c r="K87" s="132">
        <v>12</v>
      </c>
      <c r="L87" s="132">
        <v>5</v>
      </c>
      <c r="M87" s="880"/>
      <c r="N87" s="877"/>
      <c r="O87" s="857"/>
      <c r="P87" s="854"/>
      <c r="Q87" s="57" t="s">
        <v>51</v>
      </c>
      <c r="R87" s="539"/>
      <c r="S87" s="539"/>
      <c r="T87" s="539"/>
      <c r="U87" s="539"/>
      <c r="V87" s="539"/>
      <c r="W87" s="539"/>
      <c r="X87" s="539"/>
      <c r="Y87" s="539"/>
      <c r="Z87" s="539"/>
      <c r="AA87" s="539"/>
      <c r="AB87" s="539"/>
      <c r="AC87" s="539"/>
      <c r="AD87" s="539"/>
      <c r="AE87" s="539"/>
      <c r="AF87" s="539"/>
      <c r="AG87" s="163">
        <f>431000000</f>
        <v>431000000</v>
      </c>
      <c r="AH87" s="163">
        <v>353647538</v>
      </c>
      <c r="AI87" s="163">
        <v>135863038</v>
      </c>
      <c r="AJ87" s="539"/>
      <c r="AK87" s="539"/>
      <c r="AL87" s="539"/>
      <c r="AM87" s="539"/>
      <c r="AN87" s="539"/>
      <c r="AO87" s="539"/>
      <c r="AP87" s="539"/>
      <c r="AQ87" s="539"/>
      <c r="AR87" s="539"/>
      <c r="AS87" s="539"/>
      <c r="AT87" s="539"/>
      <c r="AU87" s="539"/>
      <c r="AV87" s="539"/>
      <c r="AW87" s="539"/>
      <c r="AX87" s="539"/>
      <c r="AY87" s="539"/>
      <c r="AZ87" s="539"/>
      <c r="BA87" s="539"/>
      <c r="BB87" s="539"/>
      <c r="BC87" s="539"/>
      <c r="BD87" s="539"/>
      <c r="BE87" s="539"/>
      <c r="BF87" s="539"/>
      <c r="BG87" s="539"/>
      <c r="BH87" s="539"/>
      <c r="BI87" s="539"/>
      <c r="BJ87" s="539"/>
      <c r="BK87" s="540">
        <v>324906462</v>
      </c>
      <c r="BL87" s="540"/>
      <c r="BM87" s="540"/>
      <c r="BN87" s="553"/>
      <c r="BO87" s="553"/>
      <c r="BP87" s="553"/>
      <c r="BQ87" s="539"/>
      <c r="BR87" s="541"/>
      <c r="BS87" s="541"/>
      <c r="BT87" s="541">
        <v>1080000000</v>
      </c>
      <c r="BU87" s="541"/>
      <c r="BV87" s="541"/>
      <c r="BW87" s="541"/>
      <c r="BX87" s="541"/>
      <c r="BY87" s="541"/>
      <c r="BZ87" s="539">
        <f t="shared" si="70"/>
        <v>1835906462</v>
      </c>
      <c r="CA87" s="539">
        <f t="shared" si="71"/>
        <v>353647538</v>
      </c>
      <c r="CB87" s="539">
        <f t="shared" si="72"/>
        <v>135863038</v>
      </c>
    </row>
    <row r="88" spans="1:80" s="11" customFormat="1" ht="105" x14ac:dyDescent="0.2">
      <c r="A88" s="52"/>
      <c r="B88" s="52"/>
      <c r="C88" s="857"/>
      <c r="D88" s="854"/>
      <c r="E88" s="857"/>
      <c r="F88" s="857"/>
      <c r="G88" s="139"/>
      <c r="H88" s="57">
        <v>56</v>
      </c>
      <c r="I88" s="56" t="s">
        <v>138</v>
      </c>
      <c r="J88" s="131">
        <v>9</v>
      </c>
      <c r="K88" s="132">
        <v>2</v>
      </c>
      <c r="L88" s="132">
        <v>1</v>
      </c>
      <c r="M88" s="881"/>
      <c r="N88" s="878"/>
      <c r="O88" s="858"/>
      <c r="P88" s="855"/>
      <c r="Q88" s="57" t="s">
        <v>67</v>
      </c>
      <c r="R88" s="539">
        <v>0</v>
      </c>
      <c r="S88" s="539"/>
      <c r="T88" s="539"/>
      <c r="U88" s="539">
        <v>0</v>
      </c>
      <c r="V88" s="539"/>
      <c r="W88" s="539"/>
      <c r="X88" s="539">
        <v>0</v>
      </c>
      <c r="Y88" s="539"/>
      <c r="Z88" s="539"/>
      <c r="AA88" s="539">
        <v>0</v>
      </c>
      <c r="AB88" s="539"/>
      <c r="AC88" s="539"/>
      <c r="AD88" s="539">
        <v>0</v>
      </c>
      <c r="AE88" s="539"/>
      <c r="AF88" s="539"/>
      <c r="AG88" s="163">
        <f>120000000+72000000</f>
        <v>192000000</v>
      </c>
      <c r="AH88" s="163">
        <v>71820437</v>
      </c>
      <c r="AI88" s="163"/>
      <c r="AJ88" s="539">
        <v>0</v>
      </c>
      <c r="AK88" s="539"/>
      <c r="AL88" s="539"/>
      <c r="AM88" s="539"/>
      <c r="AN88" s="539"/>
      <c r="AO88" s="539"/>
      <c r="AP88" s="539"/>
      <c r="AQ88" s="539"/>
      <c r="AR88" s="539"/>
      <c r="AS88" s="539">
        <v>0</v>
      </c>
      <c r="AT88" s="539"/>
      <c r="AU88" s="539"/>
      <c r="AV88" s="539">
        <v>0</v>
      </c>
      <c r="AW88" s="539"/>
      <c r="AX88" s="539"/>
      <c r="AY88" s="539"/>
      <c r="AZ88" s="539"/>
      <c r="BA88" s="539"/>
      <c r="BB88" s="539"/>
      <c r="BC88" s="539"/>
      <c r="BD88" s="539"/>
      <c r="BE88" s="539">
        <v>0</v>
      </c>
      <c r="BF88" s="539"/>
      <c r="BG88" s="539"/>
      <c r="BH88" s="539">
        <v>0</v>
      </c>
      <c r="BI88" s="539"/>
      <c r="BJ88" s="539"/>
      <c r="BK88" s="540"/>
      <c r="BL88" s="540"/>
      <c r="BM88" s="540"/>
      <c r="BN88" s="553"/>
      <c r="BO88" s="553"/>
      <c r="BP88" s="553"/>
      <c r="BQ88" s="539">
        <v>0</v>
      </c>
      <c r="BR88" s="541"/>
      <c r="BS88" s="541"/>
      <c r="BT88" s="541">
        <v>780000000</v>
      </c>
      <c r="BU88" s="541"/>
      <c r="BV88" s="541"/>
      <c r="BW88" s="541">
        <v>0</v>
      </c>
      <c r="BX88" s="541"/>
      <c r="BY88" s="541"/>
      <c r="BZ88" s="539">
        <f t="shared" si="70"/>
        <v>972000000</v>
      </c>
      <c r="CA88" s="539">
        <f t="shared" si="71"/>
        <v>71820437</v>
      </c>
      <c r="CB88" s="539">
        <f t="shared" si="72"/>
        <v>0</v>
      </c>
    </row>
    <row r="89" spans="1:80" s="11" customFormat="1" ht="15.75" x14ac:dyDescent="0.2">
      <c r="A89" s="52"/>
      <c r="B89" s="52"/>
      <c r="C89" s="510"/>
      <c r="D89" s="518"/>
      <c r="E89" s="510"/>
      <c r="F89" s="510"/>
      <c r="G89" s="77"/>
      <c r="H89" s="78"/>
      <c r="I89" s="77"/>
      <c r="J89" s="164"/>
      <c r="K89" s="165"/>
      <c r="L89" s="165"/>
      <c r="M89" s="165"/>
      <c r="N89" s="164"/>
      <c r="O89" s="78"/>
      <c r="P89" s="77"/>
      <c r="Q89" s="78"/>
      <c r="R89" s="548">
        <f t="shared" ref="R89:BY89" si="73">SUM(R86:R88)</f>
        <v>0</v>
      </c>
      <c r="S89" s="548">
        <f t="shared" si="73"/>
        <v>0</v>
      </c>
      <c r="T89" s="548">
        <f t="shared" si="73"/>
        <v>0</v>
      </c>
      <c r="U89" s="548">
        <f t="shared" si="73"/>
        <v>0</v>
      </c>
      <c r="V89" s="548">
        <f t="shared" si="73"/>
        <v>0</v>
      </c>
      <c r="W89" s="548">
        <f t="shared" si="73"/>
        <v>0</v>
      </c>
      <c r="X89" s="548">
        <f t="shared" si="73"/>
        <v>0</v>
      </c>
      <c r="Y89" s="548">
        <f t="shared" si="73"/>
        <v>0</v>
      </c>
      <c r="Z89" s="548">
        <f t="shared" si="73"/>
        <v>0</v>
      </c>
      <c r="AA89" s="548">
        <f t="shared" si="73"/>
        <v>0</v>
      </c>
      <c r="AB89" s="548">
        <f t="shared" si="73"/>
        <v>0</v>
      </c>
      <c r="AC89" s="548">
        <f t="shared" si="73"/>
        <v>0</v>
      </c>
      <c r="AD89" s="548">
        <f t="shared" si="73"/>
        <v>0</v>
      </c>
      <c r="AE89" s="548">
        <f t="shared" si="73"/>
        <v>0</v>
      </c>
      <c r="AF89" s="548">
        <f t="shared" si="73"/>
        <v>0</v>
      </c>
      <c r="AG89" s="548">
        <f t="shared" si="73"/>
        <v>893940463</v>
      </c>
      <c r="AH89" s="548">
        <f t="shared" si="73"/>
        <v>548361612</v>
      </c>
      <c r="AI89" s="548">
        <f t="shared" si="73"/>
        <v>168756538</v>
      </c>
      <c r="AJ89" s="548">
        <f t="shared" si="73"/>
        <v>0</v>
      </c>
      <c r="AK89" s="548">
        <f t="shared" si="73"/>
        <v>0</v>
      </c>
      <c r="AL89" s="548">
        <f t="shared" si="73"/>
        <v>0</v>
      </c>
      <c r="AM89" s="548">
        <f t="shared" si="73"/>
        <v>0</v>
      </c>
      <c r="AN89" s="548">
        <f t="shared" si="73"/>
        <v>0</v>
      </c>
      <c r="AO89" s="548">
        <f t="shared" si="73"/>
        <v>0</v>
      </c>
      <c r="AP89" s="548">
        <f t="shared" si="73"/>
        <v>0</v>
      </c>
      <c r="AQ89" s="548">
        <f t="shared" si="73"/>
        <v>0</v>
      </c>
      <c r="AR89" s="548">
        <f t="shared" si="73"/>
        <v>0</v>
      </c>
      <c r="AS89" s="548">
        <f t="shared" si="73"/>
        <v>0</v>
      </c>
      <c r="AT89" s="548">
        <f t="shared" si="73"/>
        <v>0</v>
      </c>
      <c r="AU89" s="548">
        <f t="shared" si="73"/>
        <v>0</v>
      </c>
      <c r="AV89" s="548">
        <f t="shared" si="73"/>
        <v>0</v>
      </c>
      <c r="AW89" s="548">
        <f t="shared" si="73"/>
        <v>0</v>
      </c>
      <c r="AX89" s="548">
        <f t="shared" si="73"/>
        <v>0</v>
      </c>
      <c r="AY89" s="548">
        <f t="shared" si="73"/>
        <v>0</v>
      </c>
      <c r="AZ89" s="548">
        <f t="shared" si="73"/>
        <v>0</v>
      </c>
      <c r="BA89" s="548">
        <f t="shared" si="73"/>
        <v>0</v>
      </c>
      <c r="BB89" s="548">
        <f t="shared" si="73"/>
        <v>0</v>
      </c>
      <c r="BC89" s="548">
        <f t="shared" si="73"/>
        <v>0</v>
      </c>
      <c r="BD89" s="548">
        <f t="shared" si="73"/>
        <v>0</v>
      </c>
      <c r="BE89" s="548">
        <f t="shared" si="73"/>
        <v>0</v>
      </c>
      <c r="BF89" s="548">
        <f t="shared" si="73"/>
        <v>0</v>
      </c>
      <c r="BG89" s="548">
        <f t="shared" si="73"/>
        <v>0</v>
      </c>
      <c r="BH89" s="548">
        <f t="shared" si="73"/>
        <v>0</v>
      </c>
      <c r="BI89" s="548">
        <f t="shared" si="73"/>
        <v>0</v>
      </c>
      <c r="BJ89" s="548">
        <f t="shared" si="73"/>
        <v>0</v>
      </c>
      <c r="BK89" s="548">
        <f t="shared" si="73"/>
        <v>1029839592</v>
      </c>
      <c r="BL89" s="548">
        <f t="shared" si="73"/>
        <v>49839592</v>
      </c>
      <c r="BM89" s="548">
        <f t="shared" si="73"/>
        <v>0</v>
      </c>
      <c r="BN89" s="548">
        <f t="shared" si="73"/>
        <v>0</v>
      </c>
      <c r="BO89" s="548">
        <f t="shared" si="73"/>
        <v>0</v>
      </c>
      <c r="BP89" s="548">
        <f t="shared" si="73"/>
        <v>0</v>
      </c>
      <c r="BQ89" s="548">
        <f t="shared" si="73"/>
        <v>0</v>
      </c>
      <c r="BR89" s="548">
        <f t="shared" si="73"/>
        <v>0</v>
      </c>
      <c r="BS89" s="548">
        <f t="shared" si="73"/>
        <v>0</v>
      </c>
      <c r="BT89" s="548">
        <f t="shared" si="73"/>
        <v>4880000000</v>
      </c>
      <c r="BU89" s="548">
        <f t="shared" si="73"/>
        <v>0</v>
      </c>
      <c r="BV89" s="548">
        <f t="shared" si="73"/>
        <v>0</v>
      </c>
      <c r="BW89" s="548">
        <f t="shared" si="73"/>
        <v>0</v>
      </c>
      <c r="BX89" s="548">
        <f t="shared" si="73"/>
        <v>0</v>
      </c>
      <c r="BY89" s="548">
        <f t="shared" si="73"/>
        <v>0</v>
      </c>
      <c r="BZ89" s="548">
        <f>SUM(BZ86:BZ88)</f>
        <v>6803780055</v>
      </c>
      <c r="CA89" s="548">
        <f t="shared" ref="CA89:CB89" si="74">SUM(CA86:CA88)</f>
        <v>598201204</v>
      </c>
      <c r="CB89" s="548">
        <f t="shared" si="74"/>
        <v>168756538</v>
      </c>
    </row>
    <row r="90" spans="1:80" s="11" customFormat="1" ht="15.75" x14ac:dyDescent="0.2">
      <c r="A90" s="52"/>
      <c r="B90" s="52"/>
      <c r="C90" s="166"/>
      <c r="D90" s="91"/>
      <c r="E90" s="532"/>
      <c r="F90" s="532"/>
      <c r="G90" s="91"/>
      <c r="H90" s="532"/>
      <c r="I90" s="91"/>
      <c r="J90" s="183"/>
      <c r="K90" s="184"/>
      <c r="L90" s="184"/>
      <c r="M90" s="184"/>
      <c r="N90" s="183"/>
      <c r="O90" s="532"/>
      <c r="P90" s="91"/>
      <c r="Q90" s="532"/>
      <c r="R90" s="543"/>
      <c r="S90" s="543"/>
      <c r="T90" s="543"/>
      <c r="U90" s="544"/>
      <c r="V90" s="544"/>
      <c r="W90" s="544"/>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4"/>
      <c r="AZ90" s="544"/>
      <c r="BA90" s="544"/>
      <c r="BB90" s="544"/>
      <c r="BC90" s="544"/>
      <c r="BD90" s="544"/>
      <c r="BE90" s="543"/>
      <c r="BF90" s="543"/>
      <c r="BG90" s="543"/>
      <c r="BH90" s="543"/>
      <c r="BI90" s="543"/>
      <c r="BJ90" s="543"/>
      <c r="BK90" s="545"/>
      <c r="BL90" s="545"/>
      <c r="BM90" s="545"/>
      <c r="BN90" s="546"/>
      <c r="BO90" s="546"/>
      <c r="BP90" s="546"/>
      <c r="BQ90" s="543"/>
      <c r="BR90" s="543"/>
      <c r="BS90" s="543"/>
      <c r="BT90" s="543"/>
      <c r="BU90" s="543"/>
      <c r="BV90" s="543"/>
      <c r="BW90" s="544"/>
      <c r="BX90" s="544"/>
      <c r="BY90" s="544"/>
      <c r="BZ90" s="543"/>
      <c r="CA90" s="543"/>
      <c r="CB90" s="547"/>
    </row>
    <row r="91" spans="1:80" s="11" customFormat="1" ht="15.75" x14ac:dyDescent="0.2">
      <c r="A91" s="52"/>
      <c r="B91" s="52"/>
      <c r="C91" s="166"/>
      <c r="D91" s="167"/>
      <c r="E91" s="167"/>
      <c r="F91" s="168"/>
      <c r="G91" s="169">
        <v>15</v>
      </c>
      <c r="H91" s="170" t="s">
        <v>139</v>
      </c>
      <c r="I91" s="100"/>
      <c r="J91" s="100"/>
      <c r="K91" s="155"/>
      <c r="L91" s="155"/>
      <c r="M91" s="155"/>
      <c r="N91" s="100"/>
      <c r="O91" s="212"/>
      <c r="P91" s="100"/>
      <c r="Q91" s="100"/>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c r="AR91" s="336"/>
      <c r="AS91" s="336"/>
      <c r="AT91" s="336"/>
      <c r="AU91" s="336"/>
      <c r="AV91" s="336"/>
      <c r="AW91" s="336"/>
      <c r="AX91" s="336"/>
      <c r="AY91" s="336"/>
      <c r="AZ91" s="336"/>
      <c r="BA91" s="336"/>
      <c r="BB91" s="336"/>
      <c r="BC91" s="336"/>
      <c r="BD91" s="336"/>
      <c r="BE91" s="336"/>
      <c r="BF91" s="336"/>
      <c r="BG91" s="336"/>
      <c r="BH91" s="336"/>
      <c r="BI91" s="336"/>
      <c r="BJ91" s="336"/>
      <c r="BK91" s="552"/>
      <c r="BL91" s="552"/>
      <c r="BM91" s="552"/>
      <c r="BN91" s="336"/>
      <c r="BO91" s="336"/>
      <c r="BP91" s="336"/>
      <c r="BQ91" s="336"/>
      <c r="BR91" s="336"/>
      <c r="BS91" s="336"/>
      <c r="BT91" s="336"/>
      <c r="BU91" s="336"/>
      <c r="BV91" s="336"/>
      <c r="BW91" s="336"/>
      <c r="BX91" s="336"/>
      <c r="BY91" s="336"/>
      <c r="BZ91" s="338"/>
      <c r="CA91" s="338"/>
      <c r="CB91" s="338"/>
    </row>
    <row r="92" spans="1:80" s="11" customFormat="1" ht="77.25" customHeight="1" x14ac:dyDescent="0.2">
      <c r="A92" s="52"/>
      <c r="B92" s="52"/>
      <c r="C92" s="856">
        <v>7</v>
      </c>
      <c r="D92" s="853" t="s">
        <v>140</v>
      </c>
      <c r="E92" s="882">
        <v>0.317</v>
      </c>
      <c r="F92" s="884">
        <v>0.27</v>
      </c>
      <c r="G92" s="58"/>
      <c r="H92" s="57">
        <v>57</v>
      </c>
      <c r="I92" s="56" t="s">
        <v>141</v>
      </c>
      <c r="J92" s="131">
        <v>103</v>
      </c>
      <c r="K92" s="132">
        <v>12</v>
      </c>
      <c r="L92" s="132">
        <v>15</v>
      </c>
      <c r="M92" s="879">
        <f>[2]ANDRES!$G$8</f>
        <v>2017003630044</v>
      </c>
      <c r="N92" s="171" t="s">
        <v>142</v>
      </c>
      <c r="O92" s="856" t="s">
        <v>143</v>
      </c>
      <c r="P92" s="853" t="s">
        <v>144</v>
      </c>
      <c r="Q92" s="57" t="s">
        <v>67</v>
      </c>
      <c r="R92" s="539"/>
      <c r="S92" s="539"/>
      <c r="T92" s="539"/>
      <c r="U92" s="539"/>
      <c r="V92" s="539"/>
      <c r="W92" s="539"/>
      <c r="X92" s="163">
        <f>4150000000+2390695347</f>
        <v>6540695347</v>
      </c>
      <c r="Y92" s="163">
        <f>'[3]Metas y Proyectos'!$P$26+'[3]Metas y Proyectos'!$P$27</f>
        <v>2233253425.5799999</v>
      </c>
      <c r="Z92" s="163">
        <f>'[3]Metas y Proyectos'!$Q$26+'[3]Metas y Proyectos'!$Q$27</f>
        <v>173918821.78999999</v>
      </c>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40"/>
      <c r="BL92" s="540"/>
      <c r="BM92" s="540"/>
      <c r="BN92" s="553"/>
      <c r="BO92" s="553"/>
      <c r="BP92" s="553"/>
      <c r="BQ92" s="539">
        <v>0</v>
      </c>
      <c r="BR92" s="541"/>
      <c r="BS92" s="541"/>
      <c r="BT92" s="541"/>
      <c r="BU92" s="541"/>
      <c r="BV92" s="541"/>
      <c r="BW92" s="567"/>
      <c r="BX92" s="567"/>
      <c r="BY92" s="567"/>
      <c r="BZ92" s="539">
        <f t="shared" ref="BZ92:BZ100" si="75">R92+U92+X92+AA92+AD92+AG92+AJ92+AM92+AP92+AS92+AV92+AY92+BB92+BE92+BH92+BK92+BN92+BQ92+BT92+BW92</f>
        <v>6540695347</v>
      </c>
      <c r="CA92" s="539">
        <f t="shared" ref="CA92:CA100" si="76">S92+V92+Y92+AB92+AE92+AH92+AK92+AN92+AQ92+AT92+AW92+AZ92+BC92+BF92+BI92+BL92+BO92+BR92+BU92+BX92</f>
        <v>2233253425.5799999</v>
      </c>
      <c r="CB92" s="539">
        <f t="shared" ref="CB92:CB100" si="77">T92+W92+Z92+AC92+AF92+AI92+AL92+AO92+AR92+AU92+AX92+BA92+BD92+BG92+BJ92+BM92+BP92+BS92+BV92+BY92</f>
        <v>173918821.78999999</v>
      </c>
    </row>
    <row r="93" spans="1:80" s="11" customFormat="1" ht="73.5" customHeight="1" x14ac:dyDescent="0.2">
      <c r="A93" s="52"/>
      <c r="B93" s="52"/>
      <c r="C93" s="857"/>
      <c r="D93" s="854"/>
      <c r="E93" s="883"/>
      <c r="F93" s="885"/>
      <c r="G93" s="64"/>
      <c r="H93" s="57">
        <v>58</v>
      </c>
      <c r="I93" s="56" t="s">
        <v>145</v>
      </c>
      <c r="J93" s="131">
        <v>6</v>
      </c>
      <c r="K93" s="132">
        <v>2</v>
      </c>
      <c r="L93" s="132">
        <v>0</v>
      </c>
      <c r="M93" s="880"/>
      <c r="N93" s="171" t="s">
        <v>146</v>
      </c>
      <c r="O93" s="857"/>
      <c r="P93" s="854"/>
      <c r="Q93" s="57" t="s">
        <v>67</v>
      </c>
      <c r="R93" s="539">
        <v>0</v>
      </c>
      <c r="S93" s="539"/>
      <c r="T93" s="539"/>
      <c r="U93" s="539">
        <v>0</v>
      </c>
      <c r="V93" s="539"/>
      <c r="W93" s="539"/>
      <c r="X93" s="163"/>
      <c r="Y93" s="163"/>
      <c r="Z93" s="163"/>
      <c r="AA93" s="539">
        <v>0</v>
      </c>
      <c r="AB93" s="539"/>
      <c r="AC93" s="539"/>
      <c r="AD93" s="539">
        <v>0</v>
      </c>
      <c r="AE93" s="539"/>
      <c r="AF93" s="539"/>
      <c r="AG93" s="539">
        <v>0</v>
      </c>
      <c r="AH93" s="539"/>
      <c r="AI93" s="539"/>
      <c r="AJ93" s="539">
        <v>0</v>
      </c>
      <c r="AK93" s="539"/>
      <c r="AL93" s="539"/>
      <c r="AM93" s="539"/>
      <c r="AN93" s="539"/>
      <c r="AO93" s="539"/>
      <c r="AP93" s="539"/>
      <c r="AQ93" s="539"/>
      <c r="AR93" s="539"/>
      <c r="AS93" s="539">
        <v>0</v>
      </c>
      <c r="AT93" s="539"/>
      <c r="AU93" s="539"/>
      <c r="AV93" s="539">
        <v>0</v>
      </c>
      <c r="AW93" s="539"/>
      <c r="AX93" s="539"/>
      <c r="AY93" s="539"/>
      <c r="AZ93" s="539"/>
      <c r="BA93" s="539"/>
      <c r="BB93" s="539"/>
      <c r="BC93" s="539"/>
      <c r="BD93" s="539"/>
      <c r="BE93" s="539">
        <v>0</v>
      </c>
      <c r="BF93" s="539"/>
      <c r="BG93" s="539"/>
      <c r="BH93" s="539">
        <v>0</v>
      </c>
      <c r="BI93" s="539"/>
      <c r="BJ93" s="539"/>
      <c r="BK93" s="540"/>
      <c r="BL93" s="540"/>
      <c r="BM93" s="540"/>
      <c r="BN93" s="553"/>
      <c r="BO93" s="553"/>
      <c r="BP93" s="553"/>
      <c r="BQ93" s="539">
        <v>0</v>
      </c>
      <c r="BR93" s="539"/>
      <c r="BS93" s="539"/>
      <c r="BT93" s="163">
        <v>5400000000</v>
      </c>
      <c r="BU93" s="172"/>
      <c r="BV93" s="172"/>
      <c r="BW93" s="541">
        <v>0</v>
      </c>
      <c r="BX93" s="541"/>
      <c r="BY93" s="541"/>
      <c r="BZ93" s="539">
        <f t="shared" si="75"/>
        <v>5400000000</v>
      </c>
      <c r="CA93" s="539">
        <f t="shared" si="76"/>
        <v>0</v>
      </c>
      <c r="CB93" s="539">
        <f t="shared" si="77"/>
        <v>0</v>
      </c>
    </row>
    <row r="94" spans="1:80" s="11" customFormat="1" ht="90.75" customHeight="1" x14ac:dyDescent="0.2">
      <c r="A94" s="52"/>
      <c r="B94" s="52"/>
      <c r="C94" s="857"/>
      <c r="D94" s="854"/>
      <c r="E94" s="883"/>
      <c r="F94" s="885"/>
      <c r="G94" s="64"/>
      <c r="H94" s="57">
        <v>59</v>
      </c>
      <c r="I94" s="56" t="s">
        <v>147</v>
      </c>
      <c r="J94" s="131">
        <v>82</v>
      </c>
      <c r="K94" s="132">
        <v>12</v>
      </c>
      <c r="L94" s="132">
        <v>0</v>
      </c>
      <c r="M94" s="880"/>
      <c r="N94" s="171" t="s">
        <v>146</v>
      </c>
      <c r="O94" s="857"/>
      <c r="P94" s="854"/>
      <c r="Q94" s="57" t="s">
        <v>67</v>
      </c>
      <c r="R94" s="539">
        <v>0</v>
      </c>
      <c r="S94" s="539"/>
      <c r="T94" s="539"/>
      <c r="U94" s="539">
        <v>0</v>
      </c>
      <c r="V94" s="539"/>
      <c r="W94" s="539"/>
      <c r="X94" s="163">
        <f>2000000000+1110062514</f>
        <v>3110062514</v>
      </c>
      <c r="Y94" s="163">
        <f>'[3]Metas y Proyectos'!$P$29</f>
        <v>228542681</v>
      </c>
      <c r="Z94" s="163">
        <f>'[3]Metas y Proyectos'!$Q$29</f>
        <v>71292500</v>
      </c>
      <c r="AA94" s="539">
        <v>0</v>
      </c>
      <c r="AB94" s="539"/>
      <c r="AC94" s="539"/>
      <c r="AD94" s="539">
        <v>0</v>
      </c>
      <c r="AE94" s="539"/>
      <c r="AF94" s="539"/>
      <c r="AG94" s="539">
        <v>0</v>
      </c>
      <c r="AH94" s="539"/>
      <c r="AI94" s="539"/>
      <c r="AJ94" s="539">
        <v>0</v>
      </c>
      <c r="AK94" s="539"/>
      <c r="AL94" s="539"/>
      <c r="AM94" s="539"/>
      <c r="AN94" s="539"/>
      <c r="AO94" s="539"/>
      <c r="AP94" s="539"/>
      <c r="AQ94" s="539"/>
      <c r="AR94" s="539"/>
      <c r="AS94" s="539">
        <v>0</v>
      </c>
      <c r="AT94" s="539"/>
      <c r="AU94" s="539"/>
      <c r="AV94" s="539">
        <v>0</v>
      </c>
      <c r="AW94" s="539"/>
      <c r="AX94" s="539"/>
      <c r="AY94" s="539"/>
      <c r="AZ94" s="539"/>
      <c r="BA94" s="539"/>
      <c r="BB94" s="539"/>
      <c r="BC94" s="539"/>
      <c r="BD94" s="539"/>
      <c r="BE94" s="539">
        <v>0</v>
      </c>
      <c r="BF94" s="539"/>
      <c r="BG94" s="539"/>
      <c r="BH94" s="539">
        <v>0</v>
      </c>
      <c r="BI94" s="539"/>
      <c r="BJ94" s="539"/>
      <c r="BK94" s="540">
        <v>0</v>
      </c>
      <c r="BL94" s="540"/>
      <c r="BM94" s="540"/>
      <c r="BN94" s="553"/>
      <c r="BO94" s="553"/>
      <c r="BP94" s="553"/>
      <c r="BQ94" s="539">
        <v>0</v>
      </c>
      <c r="BR94" s="541"/>
      <c r="BS94" s="541"/>
      <c r="BT94" s="541">
        <f>280000000+120000000</f>
        <v>400000000</v>
      </c>
      <c r="BU94" s="541"/>
      <c r="BV94" s="541"/>
      <c r="BW94" s="541"/>
      <c r="BX94" s="541"/>
      <c r="BY94" s="541"/>
      <c r="BZ94" s="539">
        <f t="shared" si="75"/>
        <v>3510062514</v>
      </c>
      <c r="CA94" s="539">
        <f t="shared" si="76"/>
        <v>228542681</v>
      </c>
      <c r="CB94" s="539">
        <f t="shared" si="77"/>
        <v>71292500</v>
      </c>
    </row>
    <row r="95" spans="1:80" s="11" customFormat="1" ht="105" x14ac:dyDescent="0.2">
      <c r="A95" s="52"/>
      <c r="B95" s="52"/>
      <c r="C95" s="857"/>
      <c r="D95" s="854"/>
      <c r="E95" s="883"/>
      <c r="F95" s="885"/>
      <c r="G95" s="64"/>
      <c r="H95" s="57">
        <v>60</v>
      </c>
      <c r="I95" s="56" t="s">
        <v>148</v>
      </c>
      <c r="J95" s="131">
        <v>9</v>
      </c>
      <c r="K95" s="132">
        <v>12</v>
      </c>
      <c r="L95" s="132">
        <v>0</v>
      </c>
      <c r="M95" s="880"/>
      <c r="N95" s="171" t="s">
        <v>146</v>
      </c>
      <c r="O95" s="857"/>
      <c r="P95" s="854"/>
      <c r="Q95" s="57" t="s">
        <v>67</v>
      </c>
      <c r="R95" s="539">
        <v>0</v>
      </c>
      <c r="S95" s="539"/>
      <c r="T95" s="539"/>
      <c r="U95" s="539">
        <v>0</v>
      </c>
      <c r="V95" s="539"/>
      <c r="W95" s="539"/>
      <c r="X95" s="568"/>
      <c r="Y95" s="568"/>
      <c r="Z95" s="568"/>
      <c r="AA95" s="539">
        <v>0</v>
      </c>
      <c r="AB95" s="539"/>
      <c r="AC95" s="539"/>
      <c r="AD95" s="539">
        <v>0</v>
      </c>
      <c r="AE95" s="539"/>
      <c r="AF95" s="539"/>
      <c r="AG95" s="539">
        <v>0</v>
      </c>
      <c r="AH95" s="539"/>
      <c r="AI95" s="539"/>
      <c r="AJ95" s="539">
        <v>0</v>
      </c>
      <c r="AK95" s="539"/>
      <c r="AL95" s="539"/>
      <c r="AM95" s="539"/>
      <c r="AN95" s="539"/>
      <c r="AO95" s="539"/>
      <c r="AP95" s="539"/>
      <c r="AQ95" s="539"/>
      <c r="AR95" s="539"/>
      <c r="AS95" s="539">
        <v>0</v>
      </c>
      <c r="AT95" s="539"/>
      <c r="AU95" s="539"/>
      <c r="AV95" s="539">
        <v>0</v>
      </c>
      <c r="AW95" s="539"/>
      <c r="AX95" s="539"/>
      <c r="AY95" s="539"/>
      <c r="AZ95" s="539"/>
      <c r="BA95" s="539"/>
      <c r="BB95" s="539"/>
      <c r="BC95" s="539"/>
      <c r="BD95" s="539"/>
      <c r="BE95" s="539">
        <v>0</v>
      </c>
      <c r="BF95" s="539"/>
      <c r="BG95" s="539"/>
      <c r="BH95" s="539">
        <v>0</v>
      </c>
      <c r="BI95" s="539"/>
      <c r="BJ95" s="539"/>
      <c r="BK95" s="163">
        <v>226000000</v>
      </c>
      <c r="BL95" s="163"/>
      <c r="BM95" s="163"/>
      <c r="BN95" s="553"/>
      <c r="BO95" s="553"/>
      <c r="BP95" s="553"/>
      <c r="BQ95" s="539">
        <v>0</v>
      </c>
      <c r="BR95" s="541"/>
      <c r="BS95" s="541"/>
      <c r="BT95" s="541">
        <f>3400000000-900000000</f>
        <v>2500000000</v>
      </c>
      <c r="BU95" s="541"/>
      <c r="BV95" s="541"/>
      <c r="BW95" s="541">
        <v>0</v>
      </c>
      <c r="BX95" s="541"/>
      <c r="BY95" s="541"/>
      <c r="BZ95" s="539">
        <f t="shared" si="75"/>
        <v>2726000000</v>
      </c>
      <c r="CA95" s="539">
        <f t="shared" si="76"/>
        <v>0</v>
      </c>
      <c r="CB95" s="539">
        <f t="shared" si="77"/>
        <v>0</v>
      </c>
    </row>
    <row r="96" spans="1:80" s="11" customFormat="1" ht="114.75" customHeight="1" x14ac:dyDescent="0.2">
      <c r="A96" s="52"/>
      <c r="B96" s="52"/>
      <c r="C96" s="857"/>
      <c r="D96" s="854"/>
      <c r="E96" s="883"/>
      <c r="F96" s="885"/>
      <c r="G96" s="64"/>
      <c r="H96" s="57">
        <v>61</v>
      </c>
      <c r="I96" s="56" t="s">
        <v>149</v>
      </c>
      <c r="J96" s="131">
        <v>2</v>
      </c>
      <c r="K96" s="132">
        <v>1</v>
      </c>
      <c r="L96" s="132">
        <v>1</v>
      </c>
      <c r="M96" s="880"/>
      <c r="N96" s="171" t="s">
        <v>146</v>
      </c>
      <c r="O96" s="857"/>
      <c r="P96" s="854"/>
      <c r="Q96" s="57" t="s">
        <v>67</v>
      </c>
      <c r="R96" s="539">
        <v>0</v>
      </c>
      <c r="S96" s="539"/>
      <c r="T96" s="539"/>
      <c r="U96" s="539">
        <v>0</v>
      </c>
      <c r="V96" s="539"/>
      <c r="W96" s="539"/>
      <c r="X96" s="568"/>
      <c r="Y96" s="568"/>
      <c r="Z96" s="568"/>
      <c r="AA96" s="539">
        <v>0</v>
      </c>
      <c r="AB96" s="539"/>
      <c r="AC96" s="539"/>
      <c r="AD96" s="539">
        <v>0</v>
      </c>
      <c r="AE96" s="539"/>
      <c r="AF96" s="539"/>
      <c r="AG96" s="539">
        <v>0</v>
      </c>
      <c r="AH96" s="539"/>
      <c r="AI96" s="539"/>
      <c r="AJ96" s="539">
        <v>0</v>
      </c>
      <c r="AK96" s="539"/>
      <c r="AL96" s="539"/>
      <c r="AM96" s="539"/>
      <c r="AN96" s="539"/>
      <c r="AO96" s="539"/>
      <c r="AP96" s="539"/>
      <c r="AQ96" s="539"/>
      <c r="AR96" s="539"/>
      <c r="AS96" s="539">
        <v>0</v>
      </c>
      <c r="AT96" s="539"/>
      <c r="AU96" s="539"/>
      <c r="AV96" s="539">
        <v>0</v>
      </c>
      <c r="AW96" s="539"/>
      <c r="AX96" s="539"/>
      <c r="AY96" s="539"/>
      <c r="AZ96" s="539"/>
      <c r="BA96" s="539"/>
      <c r="BB96" s="539"/>
      <c r="BC96" s="539"/>
      <c r="BD96" s="539"/>
      <c r="BE96" s="539">
        <v>0</v>
      </c>
      <c r="BF96" s="539"/>
      <c r="BG96" s="539"/>
      <c r="BH96" s="539">
        <v>0</v>
      </c>
      <c r="BI96" s="539"/>
      <c r="BJ96" s="539"/>
      <c r="BK96" s="540">
        <v>120000000</v>
      </c>
      <c r="BL96" s="540">
        <f>'[3]Metas y Proyectos'!$P$36</f>
        <v>119415183</v>
      </c>
      <c r="BM96" s="540">
        <f>'[3]Metas y Proyectos'!$Q$36</f>
        <v>35824555</v>
      </c>
      <c r="BN96" s="553"/>
      <c r="BO96" s="553"/>
      <c r="BP96" s="553"/>
      <c r="BQ96" s="539">
        <v>0</v>
      </c>
      <c r="BR96" s="539"/>
      <c r="BS96" s="539"/>
      <c r="BT96" s="163">
        <f>1340000000+280000000</f>
        <v>1620000000</v>
      </c>
      <c r="BU96" s="172"/>
      <c r="BV96" s="172"/>
      <c r="BW96" s="541">
        <v>0</v>
      </c>
      <c r="BX96" s="541"/>
      <c r="BY96" s="541"/>
      <c r="BZ96" s="539">
        <f t="shared" si="75"/>
        <v>1740000000</v>
      </c>
      <c r="CA96" s="539">
        <f t="shared" si="76"/>
        <v>119415183</v>
      </c>
      <c r="CB96" s="539">
        <f t="shared" si="77"/>
        <v>35824555</v>
      </c>
    </row>
    <row r="97" spans="1:80" s="11" customFormat="1" ht="103.5" customHeight="1" x14ac:dyDescent="0.2">
      <c r="A97" s="52"/>
      <c r="B97" s="52"/>
      <c r="C97" s="857"/>
      <c r="D97" s="854"/>
      <c r="E97" s="883"/>
      <c r="F97" s="885"/>
      <c r="G97" s="64"/>
      <c r="H97" s="57">
        <v>62</v>
      </c>
      <c r="I97" s="56" t="s">
        <v>875</v>
      </c>
      <c r="J97" s="131">
        <v>1</v>
      </c>
      <c r="K97" s="132">
        <v>2</v>
      </c>
      <c r="L97" s="132">
        <v>0</v>
      </c>
      <c r="M97" s="880"/>
      <c r="N97" s="174" t="s">
        <v>146</v>
      </c>
      <c r="O97" s="857"/>
      <c r="P97" s="854"/>
      <c r="Q97" s="57" t="s">
        <v>51</v>
      </c>
      <c r="R97" s="539">
        <v>0</v>
      </c>
      <c r="S97" s="539"/>
      <c r="T97" s="539"/>
      <c r="U97" s="539">
        <v>0</v>
      </c>
      <c r="V97" s="539"/>
      <c r="W97" s="539"/>
      <c r="X97" s="568"/>
      <c r="Y97" s="568"/>
      <c r="Z97" s="568"/>
      <c r="AA97" s="539">
        <v>0</v>
      </c>
      <c r="AB97" s="539"/>
      <c r="AC97" s="539"/>
      <c r="AD97" s="539">
        <v>0</v>
      </c>
      <c r="AE97" s="539"/>
      <c r="AF97" s="539"/>
      <c r="AG97" s="539">
        <v>0</v>
      </c>
      <c r="AH97" s="539"/>
      <c r="AI97" s="539"/>
      <c r="AJ97" s="539">
        <v>0</v>
      </c>
      <c r="AK97" s="539"/>
      <c r="AL97" s="539"/>
      <c r="AM97" s="539"/>
      <c r="AN97" s="539"/>
      <c r="AO97" s="539"/>
      <c r="AP97" s="539"/>
      <c r="AQ97" s="539"/>
      <c r="AR97" s="539"/>
      <c r="AS97" s="539">
        <v>0</v>
      </c>
      <c r="AT97" s="539"/>
      <c r="AU97" s="539"/>
      <c r="AV97" s="539">
        <v>0</v>
      </c>
      <c r="AW97" s="539"/>
      <c r="AX97" s="539"/>
      <c r="AY97" s="539"/>
      <c r="AZ97" s="539"/>
      <c r="BA97" s="539"/>
      <c r="BB97" s="539"/>
      <c r="BC97" s="539"/>
      <c r="BD97" s="539"/>
      <c r="BE97" s="539">
        <v>0</v>
      </c>
      <c r="BF97" s="539"/>
      <c r="BG97" s="539"/>
      <c r="BH97" s="539">
        <v>0</v>
      </c>
      <c r="BI97" s="539"/>
      <c r="BJ97" s="539"/>
      <c r="BK97" s="540">
        <v>0</v>
      </c>
      <c r="BL97" s="540"/>
      <c r="BM97" s="540"/>
      <c r="BN97" s="553"/>
      <c r="BO97" s="553"/>
      <c r="BP97" s="553"/>
      <c r="BQ97" s="539">
        <v>0</v>
      </c>
      <c r="BR97" s="539"/>
      <c r="BS97" s="539"/>
      <c r="BT97" s="163">
        <v>1500000000</v>
      </c>
      <c r="BU97" s="172"/>
      <c r="BV97" s="172"/>
      <c r="BW97" s="541">
        <v>0</v>
      </c>
      <c r="BX97" s="541"/>
      <c r="BY97" s="541"/>
      <c r="BZ97" s="539">
        <f t="shared" si="75"/>
        <v>1500000000</v>
      </c>
      <c r="CA97" s="539">
        <f t="shared" si="76"/>
        <v>0</v>
      </c>
      <c r="CB97" s="539">
        <f t="shared" si="77"/>
        <v>0</v>
      </c>
    </row>
    <row r="98" spans="1:80" s="11" customFormat="1" ht="100.5" customHeight="1" x14ac:dyDescent="0.2">
      <c r="A98" s="52"/>
      <c r="B98" s="52"/>
      <c r="C98" s="857"/>
      <c r="D98" s="854"/>
      <c r="E98" s="883"/>
      <c r="F98" s="885"/>
      <c r="G98" s="64"/>
      <c r="H98" s="57">
        <v>63</v>
      </c>
      <c r="I98" s="56" t="s">
        <v>150</v>
      </c>
      <c r="J98" s="131" t="s">
        <v>42</v>
      </c>
      <c r="K98" s="132">
        <v>250</v>
      </c>
      <c r="L98" s="132">
        <v>0</v>
      </c>
      <c r="M98" s="880"/>
      <c r="N98" s="174" t="s">
        <v>151</v>
      </c>
      <c r="O98" s="857"/>
      <c r="P98" s="854"/>
      <c r="Q98" s="57" t="s">
        <v>67</v>
      </c>
      <c r="R98" s="539"/>
      <c r="S98" s="539"/>
      <c r="T98" s="539"/>
      <c r="U98" s="539"/>
      <c r="V98" s="539"/>
      <c r="W98" s="539"/>
      <c r="X98" s="568"/>
      <c r="Y98" s="568"/>
      <c r="Z98" s="568"/>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41"/>
      <c r="BJ98" s="541"/>
      <c r="BK98" s="542">
        <v>0</v>
      </c>
      <c r="BL98" s="542"/>
      <c r="BM98" s="542"/>
      <c r="BN98" s="569"/>
      <c r="BO98" s="569"/>
      <c r="BP98" s="569"/>
      <c r="BQ98" s="539"/>
      <c r="BR98" s="539"/>
      <c r="BS98" s="539"/>
      <c r="BT98" s="163">
        <f>2200000000+500000000</f>
        <v>2700000000</v>
      </c>
      <c r="BU98" s="172"/>
      <c r="BV98" s="172"/>
      <c r="BW98" s="541"/>
      <c r="BX98" s="541"/>
      <c r="BY98" s="541"/>
      <c r="BZ98" s="539">
        <f t="shared" si="75"/>
        <v>2700000000</v>
      </c>
      <c r="CA98" s="539">
        <f t="shared" si="76"/>
        <v>0</v>
      </c>
      <c r="CB98" s="539">
        <f t="shared" si="77"/>
        <v>0</v>
      </c>
    </row>
    <row r="99" spans="1:80" s="11" customFormat="1" ht="93.75" customHeight="1" x14ac:dyDescent="0.2">
      <c r="A99" s="52"/>
      <c r="B99" s="52"/>
      <c r="C99" s="857"/>
      <c r="D99" s="854"/>
      <c r="E99" s="883"/>
      <c r="F99" s="885"/>
      <c r="G99" s="64"/>
      <c r="H99" s="57">
        <v>64</v>
      </c>
      <c r="I99" s="56" t="s">
        <v>152</v>
      </c>
      <c r="J99" s="131">
        <v>0</v>
      </c>
      <c r="K99" s="132">
        <v>1</v>
      </c>
      <c r="L99" s="132">
        <v>0</v>
      </c>
      <c r="M99" s="881"/>
      <c r="N99" s="171" t="s">
        <v>146</v>
      </c>
      <c r="O99" s="858"/>
      <c r="P99" s="855"/>
      <c r="Q99" s="57" t="s">
        <v>67</v>
      </c>
      <c r="R99" s="539">
        <v>0</v>
      </c>
      <c r="S99" s="539"/>
      <c r="T99" s="539"/>
      <c r="U99" s="539">
        <v>0</v>
      </c>
      <c r="V99" s="539"/>
      <c r="W99" s="539"/>
      <c r="X99" s="163"/>
      <c r="Y99" s="163"/>
      <c r="Z99" s="163"/>
      <c r="AA99" s="539">
        <v>0</v>
      </c>
      <c r="AB99" s="539"/>
      <c r="AC99" s="539"/>
      <c r="AD99" s="539">
        <v>0</v>
      </c>
      <c r="AE99" s="539"/>
      <c r="AF99" s="539"/>
      <c r="AG99" s="539">
        <v>0</v>
      </c>
      <c r="AH99" s="539"/>
      <c r="AI99" s="539"/>
      <c r="AJ99" s="539">
        <v>0</v>
      </c>
      <c r="AK99" s="539"/>
      <c r="AL99" s="539"/>
      <c r="AM99" s="539"/>
      <c r="AN99" s="539"/>
      <c r="AO99" s="539"/>
      <c r="AP99" s="539"/>
      <c r="AQ99" s="539"/>
      <c r="AR99" s="539"/>
      <c r="AS99" s="539">
        <v>0</v>
      </c>
      <c r="AT99" s="539"/>
      <c r="AU99" s="539"/>
      <c r="AV99" s="539">
        <v>0</v>
      </c>
      <c r="AW99" s="539"/>
      <c r="AX99" s="539"/>
      <c r="AY99" s="539"/>
      <c r="AZ99" s="539"/>
      <c r="BA99" s="539"/>
      <c r="BB99" s="539"/>
      <c r="BC99" s="539"/>
      <c r="BD99" s="539"/>
      <c r="BE99" s="539">
        <v>0</v>
      </c>
      <c r="BF99" s="539"/>
      <c r="BG99" s="539"/>
      <c r="BH99" s="539">
        <v>0</v>
      </c>
      <c r="BI99" s="541"/>
      <c r="BJ99" s="541"/>
      <c r="BK99" s="542">
        <v>30000000</v>
      </c>
      <c r="BL99" s="542"/>
      <c r="BM99" s="542"/>
      <c r="BN99" s="542"/>
      <c r="BO99" s="542"/>
      <c r="BP99" s="542"/>
      <c r="BQ99" s="539">
        <v>0</v>
      </c>
      <c r="BR99" s="541"/>
      <c r="BS99" s="541"/>
      <c r="BT99" s="541"/>
      <c r="BU99" s="541"/>
      <c r="BV99" s="541"/>
      <c r="BW99" s="541">
        <v>0</v>
      </c>
      <c r="BX99" s="541"/>
      <c r="BY99" s="541"/>
      <c r="BZ99" s="539">
        <f t="shared" si="75"/>
        <v>30000000</v>
      </c>
      <c r="CA99" s="539">
        <f t="shared" si="76"/>
        <v>0</v>
      </c>
      <c r="CB99" s="539">
        <f t="shared" si="77"/>
        <v>0</v>
      </c>
    </row>
    <row r="100" spans="1:80" s="11" customFormat="1" ht="101.25" customHeight="1" x14ac:dyDescent="0.2">
      <c r="A100" s="52"/>
      <c r="B100" s="52"/>
      <c r="C100" s="509"/>
      <c r="D100" s="517"/>
      <c r="E100" s="526"/>
      <c r="F100" s="523"/>
      <c r="G100" s="139"/>
      <c r="H100" s="57">
        <v>59</v>
      </c>
      <c r="I100" s="56" t="s">
        <v>876</v>
      </c>
      <c r="J100" s="131" t="s">
        <v>42</v>
      </c>
      <c r="K100" s="57" t="s">
        <v>877</v>
      </c>
      <c r="L100" s="57">
        <v>0</v>
      </c>
      <c r="M100" s="57">
        <v>0</v>
      </c>
      <c r="N100" s="175" t="s">
        <v>146</v>
      </c>
      <c r="O100" s="497" t="s">
        <v>878</v>
      </c>
      <c r="P100" s="71" t="s">
        <v>879</v>
      </c>
      <c r="Q100" s="57"/>
      <c r="R100" s="539"/>
      <c r="S100" s="539"/>
      <c r="T100" s="539"/>
      <c r="U100" s="539"/>
      <c r="V100" s="539"/>
      <c r="W100" s="539"/>
      <c r="X100" s="163"/>
      <c r="Y100" s="163"/>
      <c r="Z100" s="163"/>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41"/>
      <c r="BJ100" s="541"/>
      <c r="BK100" s="542"/>
      <c r="BL100" s="542"/>
      <c r="BM100" s="542"/>
      <c r="BN100" s="542"/>
      <c r="BO100" s="542"/>
      <c r="BP100" s="542"/>
      <c r="BQ100" s="539"/>
      <c r="BR100" s="541"/>
      <c r="BS100" s="541"/>
      <c r="BT100" s="541"/>
      <c r="BU100" s="541"/>
      <c r="BV100" s="541"/>
      <c r="BW100" s="541">
        <v>611890318</v>
      </c>
      <c r="BX100" s="541"/>
      <c r="BY100" s="541"/>
      <c r="BZ100" s="539">
        <f t="shared" si="75"/>
        <v>611890318</v>
      </c>
      <c r="CA100" s="539">
        <f t="shared" si="76"/>
        <v>0</v>
      </c>
      <c r="CB100" s="539">
        <f t="shared" si="77"/>
        <v>0</v>
      </c>
    </row>
    <row r="101" spans="1:80" s="459" customFormat="1" ht="15.75" x14ac:dyDescent="0.2">
      <c r="A101" s="52"/>
      <c r="B101" s="80"/>
      <c r="C101" s="510"/>
      <c r="D101" s="518"/>
      <c r="E101" s="510"/>
      <c r="F101" s="510"/>
      <c r="G101" s="77"/>
      <c r="H101" s="78"/>
      <c r="I101" s="176"/>
      <c r="J101" s="164"/>
      <c r="K101" s="165"/>
      <c r="L101" s="165"/>
      <c r="M101" s="165"/>
      <c r="N101" s="177"/>
      <c r="O101" s="78"/>
      <c r="P101" s="176"/>
      <c r="Q101" s="78"/>
      <c r="R101" s="548">
        <f t="shared" ref="R101:BY101" si="78">SUM(R92:R100)</f>
        <v>0</v>
      </c>
      <c r="S101" s="548">
        <f t="shared" si="78"/>
        <v>0</v>
      </c>
      <c r="T101" s="548">
        <f t="shared" si="78"/>
        <v>0</v>
      </c>
      <c r="U101" s="548">
        <f t="shared" si="78"/>
        <v>0</v>
      </c>
      <c r="V101" s="548">
        <f t="shared" si="78"/>
        <v>0</v>
      </c>
      <c r="W101" s="548">
        <f t="shared" si="78"/>
        <v>0</v>
      </c>
      <c r="X101" s="548">
        <f t="shared" si="78"/>
        <v>9650757861</v>
      </c>
      <c r="Y101" s="548">
        <f t="shared" si="78"/>
        <v>2461796106.5799999</v>
      </c>
      <c r="Z101" s="548">
        <f t="shared" si="78"/>
        <v>245211321.78999999</v>
      </c>
      <c r="AA101" s="548">
        <f t="shared" si="78"/>
        <v>0</v>
      </c>
      <c r="AB101" s="548">
        <f t="shared" si="78"/>
        <v>0</v>
      </c>
      <c r="AC101" s="548">
        <f t="shared" si="78"/>
        <v>0</v>
      </c>
      <c r="AD101" s="548">
        <f t="shared" si="78"/>
        <v>0</v>
      </c>
      <c r="AE101" s="548">
        <f t="shared" si="78"/>
        <v>0</v>
      </c>
      <c r="AF101" s="548">
        <f t="shared" si="78"/>
        <v>0</v>
      </c>
      <c r="AG101" s="548">
        <f t="shared" si="78"/>
        <v>0</v>
      </c>
      <c r="AH101" s="548">
        <f t="shared" si="78"/>
        <v>0</v>
      </c>
      <c r="AI101" s="548">
        <f t="shared" si="78"/>
        <v>0</v>
      </c>
      <c r="AJ101" s="548">
        <f t="shared" si="78"/>
        <v>0</v>
      </c>
      <c r="AK101" s="548">
        <f t="shared" si="78"/>
        <v>0</v>
      </c>
      <c r="AL101" s="548">
        <f t="shared" si="78"/>
        <v>0</v>
      </c>
      <c r="AM101" s="548">
        <f t="shared" si="78"/>
        <v>0</v>
      </c>
      <c r="AN101" s="548">
        <f t="shared" si="78"/>
        <v>0</v>
      </c>
      <c r="AO101" s="548">
        <f t="shared" si="78"/>
        <v>0</v>
      </c>
      <c r="AP101" s="548">
        <f t="shared" si="78"/>
        <v>0</v>
      </c>
      <c r="AQ101" s="548">
        <f t="shared" si="78"/>
        <v>0</v>
      </c>
      <c r="AR101" s="548">
        <f t="shared" si="78"/>
        <v>0</v>
      </c>
      <c r="AS101" s="548">
        <f t="shared" si="78"/>
        <v>0</v>
      </c>
      <c r="AT101" s="548">
        <f t="shared" si="78"/>
        <v>0</v>
      </c>
      <c r="AU101" s="548">
        <f t="shared" si="78"/>
        <v>0</v>
      </c>
      <c r="AV101" s="548">
        <f t="shared" si="78"/>
        <v>0</v>
      </c>
      <c r="AW101" s="548">
        <f t="shared" si="78"/>
        <v>0</v>
      </c>
      <c r="AX101" s="548">
        <f t="shared" si="78"/>
        <v>0</v>
      </c>
      <c r="AY101" s="548">
        <f t="shared" si="78"/>
        <v>0</v>
      </c>
      <c r="AZ101" s="548">
        <f t="shared" si="78"/>
        <v>0</v>
      </c>
      <c r="BA101" s="548">
        <f t="shared" si="78"/>
        <v>0</v>
      </c>
      <c r="BB101" s="548">
        <f t="shared" si="78"/>
        <v>0</v>
      </c>
      <c r="BC101" s="548">
        <f t="shared" si="78"/>
        <v>0</v>
      </c>
      <c r="BD101" s="548">
        <f t="shared" si="78"/>
        <v>0</v>
      </c>
      <c r="BE101" s="548">
        <f t="shared" si="78"/>
        <v>0</v>
      </c>
      <c r="BF101" s="548">
        <f t="shared" si="78"/>
        <v>0</v>
      </c>
      <c r="BG101" s="548">
        <f t="shared" si="78"/>
        <v>0</v>
      </c>
      <c r="BH101" s="548">
        <f t="shared" si="78"/>
        <v>0</v>
      </c>
      <c r="BI101" s="548">
        <f t="shared" si="78"/>
        <v>0</v>
      </c>
      <c r="BJ101" s="548">
        <f t="shared" si="78"/>
        <v>0</v>
      </c>
      <c r="BK101" s="548">
        <f t="shared" si="78"/>
        <v>376000000</v>
      </c>
      <c r="BL101" s="548">
        <f t="shared" si="78"/>
        <v>119415183</v>
      </c>
      <c r="BM101" s="548">
        <f t="shared" si="78"/>
        <v>35824555</v>
      </c>
      <c r="BN101" s="548">
        <f t="shared" si="78"/>
        <v>0</v>
      </c>
      <c r="BO101" s="548">
        <f t="shared" si="78"/>
        <v>0</v>
      </c>
      <c r="BP101" s="548">
        <f t="shared" si="78"/>
        <v>0</v>
      </c>
      <c r="BQ101" s="548">
        <f t="shared" si="78"/>
        <v>0</v>
      </c>
      <c r="BR101" s="548">
        <f t="shared" si="78"/>
        <v>0</v>
      </c>
      <c r="BS101" s="548">
        <f t="shared" si="78"/>
        <v>0</v>
      </c>
      <c r="BT101" s="548">
        <f t="shared" si="78"/>
        <v>14120000000</v>
      </c>
      <c r="BU101" s="548">
        <f t="shared" si="78"/>
        <v>0</v>
      </c>
      <c r="BV101" s="548">
        <f t="shared" si="78"/>
        <v>0</v>
      </c>
      <c r="BW101" s="548">
        <f t="shared" si="78"/>
        <v>611890318</v>
      </c>
      <c r="BX101" s="548">
        <f t="shared" si="78"/>
        <v>0</v>
      </c>
      <c r="BY101" s="548">
        <f t="shared" si="78"/>
        <v>0</v>
      </c>
      <c r="BZ101" s="548">
        <f t="shared" ref="BZ101" si="79">SUM(BZ92:BZ100)</f>
        <v>24758648179</v>
      </c>
      <c r="CA101" s="548">
        <f t="shared" ref="CA101:CB101" si="80">SUM(CA92:CA100)</f>
        <v>2581211289.5799999</v>
      </c>
      <c r="CB101" s="548">
        <f t="shared" si="80"/>
        <v>281035876.78999996</v>
      </c>
    </row>
    <row r="102" spans="1:80" s="459" customFormat="1" ht="15.75" x14ac:dyDescent="0.2">
      <c r="A102" s="80"/>
      <c r="B102" s="81"/>
      <c r="C102" s="82"/>
      <c r="D102" s="81"/>
      <c r="E102" s="82"/>
      <c r="F102" s="82"/>
      <c r="G102" s="81"/>
      <c r="H102" s="82"/>
      <c r="I102" s="81"/>
      <c r="J102" s="178"/>
      <c r="K102" s="179"/>
      <c r="L102" s="179"/>
      <c r="M102" s="179"/>
      <c r="N102" s="178"/>
      <c r="O102" s="82"/>
      <c r="P102" s="81"/>
      <c r="Q102" s="82"/>
      <c r="R102" s="554">
        <f t="shared" ref="R102:BY102" si="81">R101+R89</f>
        <v>0</v>
      </c>
      <c r="S102" s="554">
        <f t="shared" si="81"/>
        <v>0</v>
      </c>
      <c r="T102" s="554">
        <f t="shared" si="81"/>
        <v>0</v>
      </c>
      <c r="U102" s="554">
        <f t="shared" si="81"/>
        <v>0</v>
      </c>
      <c r="V102" s="554">
        <f t="shared" si="81"/>
        <v>0</v>
      </c>
      <c r="W102" s="554">
        <f t="shared" si="81"/>
        <v>0</v>
      </c>
      <c r="X102" s="554">
        <f t="shared" si="81"/>
        <v>9650757861</v>
      </c>
      <c r="Y102" s="554">
        <f t="shared" si="81"/>
        <v>2461796106.5799999</v>
      </c>
      <c r="Z102" s="554">
        <f t="shared" si="81"/>
        <v>245211321.78999999</v>
      </c>
      <c r="AA102" s="554">
        <f t="shared" si="81"/>
        <v>0</v>
      </c>
      <c r="AB102" s="554">
        <f t="shared" si="81"/>
        <v>0</v>
      </c>
      <c r="AC102" s="554">
        <f t="shared" si="81"/>
        <v>0</v>
      </c>
      <c r="AD102" s="554">
        <f t="shared" si="81"/>
        <v>0</v>
      </c>
      <c r="AE102" s="554">
        <f t="shared" si="81"/>
        <v>0</v>
      </c>
      <c r="AF102" s="554">
        <f t="shared" si="81"/>
        <v>0</v>
      </c>
      <c r="AG102" s="554">
        <f t="shared" si="81"/>
        <v>893940463</v>
      </c>
      <c r="AH102" s="554">
        <f t="shared" si="81"/>
        <v>548361612</v>
      </c>
      <c r="AI102" s="554">
        <f t="shared" si="81"/>
        <v>168756538</v>
      </c>
      <c r="AJ102" s="554">
        <f t="shared" si="81"/>
        <v>0</v>
      </c>
      <c r="AK102" s="554">
        <f t="shared" si="81"/>
        <v>0</v>
      </c>
      <c r="AL102" s="554">
        <f t="shared" si="81"/>
        <v>0</v>
      </c>
      <c r="AM102" s="554">
        <f t="shared" si="81"/>
        <v>0</v>
      </c>
      <c r="AN102" s="554">
        <f t="shared" si="81"/>
        <v>0</v>
      </c>
      <c r="AO102" s="554">
        <f t="shared" si="81"/>
        <v>0</v>
      </c>
      <c r="AP102" s="554">
        <f t="shared" si="81"/>
        <v>0</v>
      </c>
      <c r="AQ102" s="554">
        <f t="shared" si="81"/>
        <v>0</v>
      </c>
      <c r="AR102" s="554">
        <f t="shared" si="81"/>
        <v>0</v>
      </c>
      <c r="AS102" s="554">
        <f t="shared" si="81"/>
        <v>0</v>
      </c>
      <c r="AT102" s="554">
        <f t="shared" si="81"/>
        <v>0</v>
      </c>
      <c r="AU102" s="554">
        <f t="shared" si="81"/>
        <v>0</v>
      </c>
      <c r="AV102" s="554">
        <f t="shared" si="81"/>
        <v>0</v>
      </c>
      <c r="AW102" s="554">
        <f t="shared" si="81"/>
        <v>0</v>
      </c>
      <c r="AX102" s="554">
        <f t="shared" si="81"/>
        <v>0</v>
      </c>
      <c r="AY102" s="554">
        <f t="shared" si="81"/>
        <v>0</v>
      </c>
      <c r="AZ102" s="554">
        <f t="shared" si="81"/>
        <v>0</v>
      </c>
      <c r="BA102" s="554">
        <f t="shared" si="81"/>
        <v>0</v>
      </c>
      <c r="BB102" s="554">
        <f t="shared" si="81"/>
        <v>0</v>
      </c>
      <c r="BC102" s="554">
        <f t="shared" si="81"/>
        <v>0</v>
      </c>
      <c r="BD102" s="554">
        <f t="shared" si="81"/>
        <v>0</v>
      </c>
      <c r="BE102" s="554">
        <f t="shared" si="81"/>
        <v>0</v>
      </c>
      <c r="BF102" s="554">
        <f t="shared" si="81"/>
        <v>0</v>
      </c>
      <c r="BG102" s="554">
        <f t="shared" si="81"/>
        <v>0</v>
      </c>
      <c r="BH102" s="554">
        <f t="shared" si="81"/>
        <v>0</v>
      </c>
      <c r="BI102" s="554">
        <f t="shared" si="81"/>
        <v>0</v>
      </c>
      <c r="BJ102" s="554">
        <f t="shared" si="81"/>
        <v>0</v>
      </c>
      <c r="BK102" s="554">
        <f t="shared" si="81"/>
        <v>1405839592</v>
      </c>
      <c r="BL102" s="554">
        <f t="shared" si="81"/>
        <v>169254775</v>
      </c>
      <c r="BM102" s="554">
        <f t="shared" si="81"/>
        <v>35824555</v>
      </c>
      <c r="BN102" s="554">
        <f t="shared" si="81"/>
        <v>0</v>
      </c>
      <c r="BO102" s="554">
        <f t="shared" si="81"/>
        <v>0</v>
      </c>
      <c r="BP102" s="554">
        <f t="shared" si="81"/>
        <v>0</v>
      </c>
      <c r="BQ102" s="554">
        <f t="shared" si="81"/>
        <v>0</v>
      </c>
      <c r="BR102" s="554">
        <f t="shared" si="81"/>
        <v>0</v>
      </c>
      <c r="BS102" s="554">
        <f t="shared" si="81"/>
        <v>0</v>
      </c>
      <c r="BT102" s="554">
        <f t="shared" si="81"/>
        <v>19000000000</v>
      </c>
      <c r="BU102" s="554">
        <f t="shared" si="81"/>
        <v>0</v>
      </c>
      <c r="BV102" s="554">
        <f t="shared" si="81"/>
        <v>0</v>
      </c>
      <c r="BW102" s="554">
        <f t="shared" si="81"/>
        <v>611890318</v>
      </c>
      <c r="BX102" s="554">
        <f t="shared" si="81"/>
        <v>0</v>
      </c>
      <c r="BY102" s="554">
        <f t="shared" si="81"/>
        <v>0</v>
      </c>
      <c r="BZ102" s="554">
        <f t="shared" ref="BZ102" si="82">BZ101+BZ89</f>
        <v>31562428234</v>
      </c>
      <c r="CA102" s="554">
        <f t="shared" ref="CA102:CB102" si="83">CA101+CA89</f>
        <v>3179412493.5799999</v>
      </c>
      <c r="CB102" s="554">
        <f t="shared" si="83"/>
        <v>449792414.78999996</v>
      </c>
    </row>
    <row r="103" spans="1:80" s="459" customFormat="1" x14ac:dyDescent="0.2">
      <c r="A103" s="180"/>
      <c r="B103" s="84"/>
      <c r="C103" s="85"/>
      <c r="D103" s="84"/>
      <c r="E103" s="85"/>
      <c r="F103" s="85"/>
      <c r="G103" s="84"/>
      <c r="H103" s="85"/>
      <c r="I103" s="84"/>
      <c r="J103" s="181"/>
      <c r="K103" s="182"/>
      <c r="L103" s="182"/>
      <c r="M103" s="182"/>
      <c r="N103" s="181"/>
      <c r="O103" s="85"/>
      <c r="P103" s="84"/>
      <c r="Q103" s="85"/>
      <c r="R103" s="560">
        <f t="shared" ref="R103:BY103" si="84">R102</f>
        <v>0</v>
      </c>
      <c r="S103" s="560">
        <f t="shared" si="84"/>
        <v>0</v>
      </c>
      <c r="T103" s="560">
        <f t="shared" si="84"/>
        <v>0</v>
      </c>
      <c r="U103" s="560">
        <f t="shared" si="84"/>
        <v>0</v>
      </c>
      <c r="V103" s="560">
        <f t="shared" si="84"/>
        <v>0</v>
      </c>
      <c r="W103" s="560">
        <f t="shared" si="84"/>
        <v>0</v>
      </c>
      <c r="X103" s="560">
        <f t="shared" si="84"/>
        <v>9650757861</v>
      </c>
      <c r="Y103" s="560">
        <f t="shared" si="84"/>
        <v>2461796106.5799999</v>
      </c>
      <c r="Z103" s="560">
        <f t="shared" si="84"/>
        <v>245211321.78999999</v>
      </c>
      <c r="AA103" s="560">
        <f t="shared" si="84"/>
        <v>0</v>
      </c>
      <c r="AB103" s="560">
        <f t="shared" si="84"/>
        <v>0</v>
      </c>
      <c r="AC103" s="560">
        <f t="shared" si="84"/>
        <v>0</v>
      </c>
      <c r="AD103" s="560">
        <f t="shared" si="84"/>
        <v>0</v>
      </c>
      <c r="AE103" s="560">
        <f t="shared" si="84"/>
        <v>0</v>
      </c>
      <c r="AF103" s="560">
        <f t="shared" si="84"/>
        <v>0</v>
      </c>
      <c r="AG103" s="560">
        <f t="shared" si="84"/>
        <v>893940463</v>
      </c>
      <c r="AH103" s="560">
        <f t="shared" si="84"/>
        <v>548361612</v>
      </c>
      <c r="AI103" s="560">
        <f t="shared" si="84"/>
        <v>168756538</v>
      </c>
      <c r="AJ103" s="560">
        <f t="shared" si="84"/>
        <v>0</v>
      </c>
      <c r="AK103" s="560">
        <f t="shared" si="84"/>
        <v>0</v>
      </c>
      <c r="AL103" s="560">
        <f t="shared" si="84"/>
        <v>0</v>
      </c>
      <c r="AM103" s="560">
        <f t="shared" si="84"/>
        <v>0</v>
      </c>
      <c r="AN103" s="560">
        <f t="shared" si="84"/>
        <v>0</v>
      </c>
      <c r="AO103" s="560">
        <f t="shared" si="84"/>
        <v>0</v>
      </c>
      <c r="AP103" s="560">
        <f t="shared" si="84"/>
        <v>0</v>
      </c>
      <c r="AQ103" s="560">
        <f t="shared" si="84"/>
        <v>0</v>
      </c>
      <c r="AR103" s="560">
        <f t="shared" si="84"/>
        <v>0</v>
      </c>
      <c r="AS103" s="560">
        <f t="shared" si="84"/>
        <v>0</v>
      </c>
      <c r="AT103" s="560">
        <f t="shared" si="84"/>
        <v>0</v>
      </c>
      <c r="AU103" s="560">
        <f t="shared" si="84"/>
        <v>0</v>
      </c>
      <c r="AV103" s="560">
        <f t="shared" si="84"/>
        <v>0</v>
      </c>
      <c r="AW103" s="560">
        <f t="shared" si="84"/>
        <v>0</v>
      </c>
      <c r="AX103" s="560">
        <f t="shared" si="84"/>
        <v>0</v>
      </c>
      <c r="AY103" s="560">
        <f t="shared" si="84"/>
        <v>0</v>
      </c>
      <c r="AZ103" s="560">
        <f t="shared" si="84"/>
        <v>0</v>
      </c>
      <c r="BA103" s="560">
        <f t="shared" si="84"/>
        <v>0</v>
      </c>
      <c r="BB103" s="560">
        <f t="shared" si="84"/>
        <v>0</v>
      </c>
      <c r="BC103" s="560">
        <f t="shared" si="84"/>
        <v>0</v>
      </c>
      <c r="BD103" s="560">
        <f t="shared" si="84"/>
        <v>0</v>
      </c>
      <c r="BE103" s="560">
        <f t="shared" si="84"/>
        <v>0</v>
      </c>
      <c r="BF103" s="560">
        <f t="shared" si="84"/>
        <v>0</v>
      </c>
      <c r="BG103" s="560">
        <f t="shared" si="84"/>
        <v>0</v>
      </c>
      <c r="BH103" s="560">
        <f t="shared" si="84"/>
        <v>0</v>
      </c>
      <c r="BI103" s="560">
        <f t="shared" si="84"/>
        <v>0</v>
      </c>
      <c r="BJ103" s="560">
        <f t="shared" si="84"/>
        <v>0</v>
      </c>
      <c r="BK103" s="560">
        <f t="shared" si="84"/>
        <v>1405839592</v>
      </c>
      <c r="BL103" s="560">
        <f t="shared" si="84"/>
        <v>169254775</v>
      </c>
      <c r="BM103" s="560">
        <f t="shared" si="84"/>
        <v>35824555</v>
      </c>
      <c r="BN103" s="560">
        <f t="shared" si="84"/>
        <v>0</v>
      </c>
      <c r="BO103" s="560">
        <f t="shared" si="84"/>
        <v>0</v>
      </c>
      <c r="BP103" s="560">
        <f t="shared" si="84"/>
        <v>0</v>
      </c>
      <c r="BQ103" s="560">
        <f t="shared" si="84"/>
        <v>0</v>
      </c>
      <c r="BR103" s="560">
        <f t="shared" si="84"/>
        <v>0</v>
      </c>
      <c r="BS103" s="560">
        <f t="shared" si="84"/>
        <v>0</v>
      </c>
      <c r="BT103" s="560">
        <f t="shared" si="84"/>
        <v>19000000000</v>
      </c>
      <c r="BU103" s="560">
        <f t="shared" si="84"/>
        <v>0</v>
      </c>
      <c r="BV103" s="560">
        <f t="shared" si="84"/>
        <v>0</v>
      </c>
      <c r="BW103" s="560">
        <f t="shared" si="84"/>
        <v>611890318</v>
      </c>
      <c r="BX103" s="560">
        <f t="shared" si="84"/>
        <v>0</v>
      </c>
      <c r="BY103" s="560">
        <f t="shared" si="84"/>
        <v>0</v>
      </c>
      <c r="BZ103" s="560">
        <f t="shared" ref="BZ103" si="85">BZ102</f>
        <v>31562428234</v>
      </c>
      <c r="CA103" s="560">
        <f t="shared" ref="CA103:CB103" si="86">CA102</f>
        <v>3179412493.5799999</v>
      </c>
      <c r="CB103" s="560">
        <f t="shared" si="86"/>
        <v>449792414.78999996</v>
      </c>
    </row>
    <row r="104" spans="1:80" s="11" customFormat="1" x14ac:dyDescent="0.2">
      <c r="A104" s="91"/>
      <c r="B104" s="91"/>
      <c r="C104" s="92"/>
      <c r="D104" s="91"/>
      <c r="E104" s="92"/>
      <c r="F104" s="92"/>
      <c r="G104" s="91"/>
      <c r="H104" s="92"/>
      <c r="I104" s="91"/>
      <c r="J104" s="183"/>
      <c r="K104" s="184"/>
      <c r="L104" s="184"/>
      <c r="M104" s="184"/>
      <c r="N104" s="183"/>
      <c r="O104" s="500"/>
      <c r="P104" s="91"/>
      <c r="Q104" s="92"/>
      <c r="R104" s="543"/>
      <c r="S104" s="543"/>
      <c r="T104" s="543"/>
      <c r="U104" s="544"/>
      <c r="V104" s="544"/>
      <c r="W104" s="544"/>
      <c r="X104" s="543"/>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70"/>
      <c r="AX104" s="570"/>
      <c r="AY104" s="571"/>
      <c r="AZ104" s="571"/>
      <c r="BA104" s="571"/>
      <c r="BB104" s="571"/>
      <c r="BC104" s="571"/>
      <c r="BD104" s="571"/>
      <c r="BE104" s="570"/>
      <c r="BF104" s="570"/>
      <c r="BG104" s="570"/>
      <c r="BH104" s="543"/>
      <c r="BI104" s="543"/>
      <c r="BJ104" s="543"/>
      <c r="BK104" s="545"/>
      <c r="BL104" s="545"/>
      <c r="BM104" s="545"/>
      <c r="BN104" s="546"/>
      <c r="BO104" s="546"/>
      <c r="BP104" s="546"/>
      <c r="BQ104" s="543"/>
      <c r="BR104" s="543"/>
      <c r="BS104" s="543"/>
      <c r="BT104" s="543"/>
      <c r="BU104" s="543"/>
      <c r="BV104" s="543"/>
      <c r="BW104" s="544"/>
      <c r="BX104" s="544"/>
      <c r="BY104" s="544"/>
      <c r="BZ104" s="543"/>
      <c r="CA104" s="543"/>
      <c r="CB104" s="543"/>
    </row>
    <row r="105" spans="1:80" s="11" customFormat="1" ht="15.75" x14ac:dyDescent="0.2">
      <c r="A105" s="44">
        <v>1</v>
      </c>
      <c r="B105" s="45" t="s">
        <v>153</v>
      </c>
      <c r="C105" s="46"/>
      <c r="D105" s="45"/>
      <c r="E105" s="45"/>
      <c r="F105" s="45"/>
      <c r="G105" s="45"/>
      <c r="H105" s="46"/>
      <c r="I105" s="45"/>
      <c r="J105" s="45"/>
      <c r="K105" s="151"/>
      <c r="L105" s="151"/>
      <c r="M105" s="151"/>
      <c r="N105" s="45"/>
      <c r="O105" s="46"/>
      <c r="P105" s="45"/>
      <c r="Q105" s="45"/>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3"/>
      <c r="BL105" s="573"/>
      <c r="BM105" s="573"/>
      <c r="BN105" s="572"/>
      <c r="BO105" s="572"/>
      <c r="BP105" s="572"/>
      <c r="BQ105" s="572"/>
      <c r="BR105" s="572"/>
      <c r="BS105" s="572"/>
      <c r="BT105" s="572"/>
      <c r="BU105" s="572"/>
      <c r="BV105" s="572"/>
      <c r="BW105" s="572"/>
      <c r="BX105" s="572"/>
      <c r="BY105" s="572"/>
      <c r="BZ105" s="574"/>
      <c r="CA105" s="574"/>
      <c r="CB105" s="574"/>
    </row>
    <row r="106" spans="1:80" s="11" customFormat="1" ht="15.75" x14ac:dyDescent="0.2">
      <c r="A106" s="96"/>
      <c r="B106" s="185">
        <v>1</v>
      </c>
      <c r="C106" s="49" t="s">
        <v>154</v>
      </c>
      <c r="D106" s="50"/>
      <c r="E106" s="50"/>
      <c r="F106" s="50"/>
      <c r="G106" s="50"/>
      <c r="H106" s="51"/>
      <c r="I106" s="50"/>
      <c r="J106" s="50"/>
      <c r="K106" s="153"/>
      <c r="L106" s="153"/>
      <c r="M106" s="153"/>
      <c r="N106" s="50"/>
      <c r="O106" s="51"/>
      <c r="P106" s="50"/>
      <c r="Q106" s="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0"/>
      <c r="AZ106" s="550"/>
      <c r="BA106" s="550"/>
      <c r="BB106" s="550"/>
      <c r="BC106" s="550"/>
      <c r="BD106" s="550"/>
      <c r="BE106" s="550"/>
      <c r="BF106" s="550"/>
      <c r="BG106" s="550"/>
      <c r="BH106" s="550"/>
      <c r="BI106" s="550"/>
      <c r="BJ106" s="550"/>
      <c r="BK106" s="551"/>
      <c r="BL106" s="551"/>
      <c r="BM106" s="551"/>
      <c r="BN106" s="550"/>
      <c r="BO106" s="550"/>
      <c r="BP106" s="550"/>
      <c r="BQ106" s="550"/>
      <c r="BR106" s="550"/>
      <c r="BS106" s="550"/>
      <c r="BT106" s="550"/>
      <c r="BU106" s="550"/>
      <c r="BV106" s="550"/>
      <c r="BW106" s="550"/>
      <c r="BX106" s="550"/>
      <c r="BY106" s="550"/>
      <c r="BZ106" s="555"/>
      <c r="CA106" s="555"/>
      <c r="CB106" s="555"/>
    </row>
    <row r="107" spans="1:80" s="11" customFormat="1" ht="15.75" x14ac:dyDescent="0.2">
      <c r="A107" s="54"/>
      <c r="B107" s="96"/>
      <c r="C107" s="36"/>
      <c r="D107" s="96"/>
      <c r="E107" s="96"/>
      <c r="F107" s="96"/>
      <c r="G107" s="98">
        <v>2</v>
      </c>
      <c r="H107" s="100" t="s">
        <v>155</v>
      </c>
      <c r="I107" s="100"/>
      <c r="J107" s="100"/>
      <c r="K107" s="155"/>
      <c r="L107" s="155"/>
      <c r="M107" s="155"/>
      <c r="N107" s="100"/>
      <c r="O107" s="212"/>
      <c r="P107" s="100"/>
      <c r="Q107" s="100"/>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552"/>
      <c r="BL107" s="552"/>
      <c r="BM107" s="552"/>
      <c r="BN107" s="336"/>
      <c r="BO107" s="336"/>
      <c r="BP107" s="336"/>
      <c r="BQ107" s="336"/>
      <c r="BR107" s="336"/>
      <c r="BS107" s="336"/>
      <c r="BT107" s="336"/>
      <c r="BU107" s="336"/>
      <c r="BV107" s="336"/>
      <c r="BW107" s="336"/>
      <c r="BX107" s="336"/>
      <c r="BY107" s="336"/>
      <c r="BZ107" s="338"/>
      <c r="CA107" s="338"/>
      <c r="CB107" s="338"/>
    </row>
    <row r="108" spans="1:80" s="11" customFormat="1" ht="100.5" customHeight="1" x14ac:dyDescent="0.2">
      <c r="A108" s="54"/>
      <c r="B108" s="54"/>
      <c r="C108" s="510">
        <v>3</v>
      </c>
      <c r="D108" s="518" t="s">
        <v>156</v>
      </c>
      <c r="E108" s="510" t="s">
        <v>157</v>
      </c>
      <c r="F108" s="510" t="s">
        <v>158</v>
      </c>
      <c r="G108" s="58"/>
      <c r="H108" s="57">
        <v>9</v>
      </c>
      <c r="I108" s="56" t="s">
        <v>159</v>
      </c>
      <c r="J108" s="131">
        <v>35</v>
      </c>
      <c r="K108" s="132">
        <v>5</v>
      </c>
      <c r="L108" s="132">
        <v>1</v>
      </c>
      <c r="M108" s="61">
        <v>2017003630097</v>
      </c>
      <c r="N108" s="187" t="s">
        <v>160</v>
      </c>
      <c r="O108" s="65" t="s">
        <v>161</v>
      </c>
      <c r="P108" s="56" t="s">
        <v>162</v>
      </c>
      <c r="Q108" s="57" t="s">
        <v>67</v>
      </c>
      <c r="R108" s="539">
        <v>0</v>
      </c>
      <c r="S108" s="539"/>
      <c r="T108" s="539"/>
      <c r="U108" s="539">
        <v>0</v>
      </c>
      <c r="V108" s="539"/>
      <c r="W108" s="539"/>
      <c r="X108" s="63">
        <f>1074750000+159691948+22323484</f>
        <v>1256765432</v>
      </c>
      <c r="Y108" s="63">
        <f>'[3]Metas y Proyectos'!$P$40+'[3]Metas y Proyectos'!$P$42</f>
        <v>172190347</v>
      </c>
      <c r="Z108" s="63"/>
      <c r="AA108" s="539">
        <v>0</v>
      </c>
      <c r="AB108" s="539"/>
      <c r="AC108" s="539"/>
      <c r="AD108" s="539">
        <v>0</v>
      </c>
      <c r="AE108" s="539"/>
      <c r="AF108" s="539"/>
      <c r="AG108" s="539">
        <v>0</v>
      </c>
      <c r="AH108" s="539"/>
      <c r="AI108" s="539"/>
      <c r="AJ108" s="539">
        <v>0</v>
      </c>
      <c r="AK108" s="539"/>
      <c r="AL108" s="539"/>
      <c r="AM108" s="539"/>
      <c r="AN108" s="539"/>
      <c r="AO108" s="539"/>
      <c r="AP108" s="539"/>
      <c r="AQ108" s="539"/>
      <c r="AR108" s="539"/>
      <c r="AS108" s="539">
        <v>0</v>
      </c>
      <c r="AT108" s="539"/>
      <c r="AU108" s="539"/>
      <c r="AV108" s="539">
        <v>0</v>
      </c>
      <c r="AW108" s="539"/>
      <c r="AX108" s="539"/>
      <c r="AY108" s="539"/>
      <c r="AZ108" s="539"/>
      <c r="BA108" s="539"/>
      <c r="BB108" s="539"/>
      <c r="BC108" s="539"/>
      <c r="BD108" s="539"/>
      <c r="BE108" s="539">
        <v>0</v>
      </c>
      <c r="BF108" s="539"/>
      <c r="BG108" s="539"/>
      <c r="BH108" s="63">
        <f>3800000+6592117</f>
        <v>10392117</v>
      </c>
      <c r="BI108" s="63"/>
      <c r="BJ108" s="63"/>
      <c r="BK108" s="163"/>
      <c r="BL108" s="163"/>
      <c r="BM108" s="163"/>
      <c r="BN108" s="63"/>
      <c r="BO108" s="63"/>
      <c r="BP108" s="63"/>
      <c r="BQ108" s="539">
        <v>0</v>
      </c>
      <c r="BR108" s="541"/>
      <c r="BS108" s="541"/>
      <c r="BT108" s="541"/>
      <c r="BU108" s="541"/>
      <c r="BV108" s="541"/>
      <c r="BW108" s="541">
        <v>0</v>
      </c>
      <c r="BX108" s="541"/>
      <c r="BY108" s="541"/>
      <c r="BZ108" s="539">
        <f t="shared" ref="BZ108:BZ113" si="87">R108+U108+X108+AA108+AD108+AG108+AJ108+AM108+AP108+AS108+AV108+AY108+BB108+BE108+BH108+BK108+BN108+BQ108+BT108+BW108</f>
        <v>1267157549</v>
      </c>
      <c r="CA108" s="539">
        <f t="shared" ref="CA108:CA113" si="88">S108+V108+Y108+AB108+AE108+AH108+AK108+AN108+AQ108+AT108+AW108+AZ108+BC108+BF108+BI108+BL108+BO108+BR108+BU108+BX108</f>
        <v>172190347</v>
      </c>
      <c r="CB108" s="539">
        <f t="shared" ref="CB108:CB113" si="89">T108+W108+Z108+AC108+AF108+AI108+AL108+AO108+AR108+AU108+AX108+BA108+BD108+BG108+BJ108+BM108+BP108+BS108+BV108+BY108</f>
        <v>0</v>
      </c>
    </row>
    <row r="109" spans="1:80" s="11" customFormat="1" ht="108.75" customHeight="1" x14ac:dyDescent="0.2">
      <c r="A109" s="54"/>
      <c r="B109" s="54"/>
      <c r="C109" s="55">
        <v>3</v>
      </c>
      <c r="D109" s="56" t="s">
        <v>156</v>
      </c>
      <c r="E109" s="57" t="s">
        <v>157</v>
      </c>
      <c r="F109" s="57" t="s">
        <v>158</v>
      </c>
      <c r="G109" s="64"/>
      <c r="H109" s="57">
        <v>9</v>
      </c>
      <c r="I109" s="56" t="s">
        <v>159</v>
      </c>
      <c r="J109" s="131">
        <v>35</v>
      </c>
      <c r="K109" s="132">
        <v>5</v>
      </c>
      <c r="L109" s="132">
        <v>1</v>
      </c>
      <c r="M109" s="61">
        <v>20170036300121</v>
      </c>
      <c r="N109" s="187" t="s">
        <v>160</v>
      </c>
      <c r="O109" s="65" t="s">
        <v>163</v>
      </c>
      <c r="P109" s="56" t="s">
        <v>164</v>
      </c>
      <c r="Q109" s="57" t="s">
        <v>67</v>
      </c>
      <c r="R109" s="539"/>
      <c r="S109" s="539"/>
      <c r="T109" s="539"/>
      <c r="U109" s="539"/>
      <c r="V109" s="539"/>
      <c r="W109" s="539"/>
      <c r="X109" s="539">
        <v>54317072</v>
      </c>
      <c r="Y109" s="539">
        <f>'[3]Metas y Proyectos'!$P$45</f>
        <v>47359624.649999999</v>
      </c>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v>0</v>
      </c>
      <c r="BF109" s="539"/>
      <c r="BG109" s="539"/>
      <c r="BH109" s="163">
        <v>646081112</v>
      </c>
      <c r="BI109" s="172"/>
      <c r="BJ109" s="172"/>
      <c r="BK109" s="542"/>
      <c r="BL109" s="542"/>
      <c r="BM109" s="542"/>
      <c r="BN109" s="542"/>
      <c r="BO109" s="542"/>
      <c r="BP109" s="542"/>
      <c r="BQ109" s="539"/>
      <c r="BR109" s="541"/>
      <c r="BS109" s="541"/>
      <c r="BT109" s="541"/>
      <c r="BU109" s="541"/>
      <c r="BV109" s="541"/>
      <c r="BW109" s="541"/>
      <c r="BX109" s="541"/>
      <c r="BY109" s="541"/>
      <c r="BZ109" s="539">
        <f t="shared" si="87"/>
        <v>700398184</v>
      </c>
      <c r="CA109" s="539">
        <f t="shared" si="88"/>
        <v>47359624.649999999</v>
      </c>
      <c r="CB109" s="539">
        <f t="shared" si="89"/>
        <v>0</v>
      </c>
    </row>
    <row r="110" spans="1:80" s="11" customFormat="1" ht="119.25" customHeight="1" x14ac:dyDescent="0.2">
      <c r="A110" s="54"/>
      <c r="B110" s="54"/>
      <c r="C110" s="55">
        <v>3</v>
      </c>
      <c r="D110" s="56" t="s">
        <v>915</v>
      </c>
      <c r="E110" s="57" t="s">
        <v>157</v>
      </c>
      <c r="F110" s="57" t="s">
        <v>158</v>
      </c>
      <c r="G110" s="64"/>
      <c r="H110" s="57">
        <v>10</v>
      </c>
      <c r="I110" s="56" t="s">
        <v>165</v>
      </c>
      <c r="J110" s="188">
        <v>1</v>
      </c>
      <c r="K110" s="189">
        <v>5</v>
      </c>
      <c r="L110" s="189">
        <v>0</v>
      </c>
      <c r="M110" s="61">
        <v>20170036300118</v>
      </c>
      <c r="N110" s="187" t="s">
        <v>160</v>
      </c>
      <c r="O110" s="65" t="s">
        <v>166</v>
      </c>
      <c r="P110" s="56" t="s">
        <v>167</v>
      </c>
      <c r="Q110" s="57" t="s">
        <v>67</v>
      </c>
      <c r="R110" s="539">
        <v>0</v>
      </c>
      <c r="S110" s="539"/>
      <c r="T110" s="539"/>
      <c r="U110" s="539">
        <v>0</v>
      </c>
      <c r="V110" s="539"/>
      <c r="W110" s="539"/>
      <c r="X110" s="539">
        <v>0</v>
      </c>
      <c r="Y110" s="539"/>
      <c r="Z110" s="539"/>
      <c r="AA110" s="539">
        <v>0</v>
      </c>
      <c r="AB110" s="539"/>
      <c r="AC110" s="539"/>
      <c r="AD110" s="539">
        <v>0</v>
      </c>
      <c r="AE110" s="539"/>
      <c r="AF110" s="539"/>
      <c r="AG110" s="539">
        <v>0</v>
      </c>
      <c r="AH110" s="539"/>
      <c r="AI110" s="539"/>
      <c r="AJ110" s="539">
        <v>0</v>
      </c>
      <c r="AK110" s="539"/>
      <c r="AL110" s="539"/>
      <c r="AM110" s="539"/>
      <c r="AN110" s="539"/>
      <c r="AO110" s="539"/>
      <c r="AP110" s="539"/>
      <c r="AQ110" s="539"/>
      <c r="AR110" s="539"/>
      <c r="AS110" s="539">
        <v>0</v>
      </c>
      <c r="AT110" s="539"/>
      <c r="AU110" s="539"/>
      <c r="AV110" s="539">
        <v>0</v>
      </c>
      <c r="AW110" s="539"/>
      <c r="AX110" s="539"/>
      <c r="AY110" s="539"/>
      <c r="AZ110" s="539"/>
      <c r="BA110" s="539"/>
      <c r="BB110" s="539"/>
      <c r="BC110" s="539"/>
      <c r="BD110" s="539"/>
      <c r="BE110" s="539">
        <v>0</v>
      </c>
      <c r="BF110" s="539"/>
      <c r="BG110" s="539"/>
      <c r="BH110" s="163">
        <v>80000000</v>
      </c>
      <c r="BI110" s="163"/>
      <c r="BJ110" s="163"/>
      <c r="BK110" s="540">
        <v>0</v>
      </c>
      <c r="BL110" s="540"/>
      <c r="BM110" s="540"/>
      <c r="BN110" s="553"/>
      <c r="BO110" s="553"/>
      <c r="BP110" s="553"/>
      <c r="BQ110" s="539">
        <v>0</v>
      </c>
      <c r="BR110" s="541"/>
      <c r="BS110" s="541"/>
      <c r="BT110" s="541"/>
      <c r="BU110" s="541"/>
      <c r="BV110" s="541"/>
      <c r="BW110" s="541">
        <v>0</v>
      </c>
      <c r="BX110" s="541"/>
      <c r="BY110" s="541"/>
      <c r="BZ110" s="539">
        <f t="shared" si="87"/>
        <v>80000000</v>
      </c>
      <c r="CA110" s="539">
        <f t="shared" si="88"/>
        <v>0</v>
      </c>
      <c r="CB110" s="539">
        <f t="shared" si="89"/>
        <v>0</v>
      </c>
    </row>
    <row r="111" spans="1:80" s="2" customFormat="1" ht="93.75" customHeight="1" x14ac:dyDescent="0.25">
      <c r="A111" s="54"/>
      <c r="B111" s="54"/>
      <c r="C111" s="55">
        <v>3</v>
      </c>
      <c r="D111" s="56" t="s">
        <v>915</v>
      </c>
      <c r="E111" s="57" t="s">
        <v>157</v>
      </c>
      <c r="F111" s="57" t="s">
        <v>158</v>
      </c>
      <c r="G111" s="64"/>
      <c r="H111" s="57">
        <v>11</v>
      </c>
      <c r="I111" s="56" t="s">
        <v>168</v>
      </c>
      <c r="J111" s="131">
        <v>1</v>
      </c>
      <c r="K111" s="132">
        <v>1</v>
      </c>
      <c r="L111" s="132">
        <v>0</v>
      </c>
      <c r="M111" s="61">
        <v>20170036300117</v>
      </c>
      <c r="N111" s="187" t="s">
        <v>160</v>
      </c>
      <c r="O111" s="65" t="s">
        <v>169</v>
      </c>
      <c r="P111" s="56" t="s">
        <v>170</v>
      </c>
      <c r="Q111" s="57" t="s">
        <v>51</v>
      </c>
      <c r="R111" s="539">
        <v>0</v>
      </c>
      <c r="S111" s="539"/>
      <c r="T111" s="539"/>
      <c r="U111" s="539">
        <v>0</v>
      </c>
      <c r="V111" s="539"/>
      <c r="W111" s="539"/>
      <c r="X111" s="539">
        <v>0</v>
      </c>
      <c r="Y111" s="539"/>
      <c r="Z111" s="539"/>
      <c r="AA111" s="539">
        <v>0</v>
      </c>
      <c r="AB111" s="539"/>
      <c r="AC111" s="539"/>
      <c r="AD111" s="539">
        <v>0</v>
      </c>
      <c r="AE111" s="539"/>
      <c r="AF111" s="539"/>
      <c r="AG111" s="539">
        <v>0</v>
      </c>
      <c r="AH111" s="539"/>
      <c r="AI111" s="539"/>
      <c r="AJ111" s="539">
        <v>0</v>
      </c>
      <c r="AK111" s="539"/>
      <c r="AL111" s="539"/>
      <c r="AM111" s="539"/>
      <c r="AN111" s="539"/>
      <c r="AO111" s="539"/>
      <c r="AP111" s="539"/>
      <c r="AQ111" s="539"/>
      <c r="AR111" s="539"/>
      <c r="AS111" s="539">
        <v>0</v>
      </c>
      <c r="AT111" s="539"/>
      <c r="AU111" s="539"/>
      <c r="AV111" s="539">
        <v>0</v>
      </c>
      <c r="AW111" s="539"/>
      <c r="AX111" s="539"/>
      <c r="AY111" s="539"/>
      <c r="AZ111" s="539"/>
      <c r="BA111" s="539"/>
      <c r="BB111" s="539"/>
      <c r="BC111" s="539"/>
      <c r="BD111" s="539"/>
      <c r="BE111" s="539">
        <v>0</v>
      </c>
      <c r="BF111" s="539"/>
      <c r="BG111" s="539"/>
      <c r="BH111" s="163">
        <v>312000000</v>
      </c>
      <c r="BI111" s="163"/>
      <c r="BJ111" s="163"/>
      <c r="BK111" s="540">
        <v>0</v>
      </c>
      <c r="BL111" s="540"/>
      <c r="BM111" s="540"/>
      <c r="BN111" s="553"/>
      <c r="BO111" s="553"/>
      <c r="BP111" s="553"/>
      <c r="BQ111" s="539">
        <v>0</v>
      </c>
      <c r="BR111" s="541"/>
      <c r="BS111" s="541"/>
      <c r="BT111" s="541"/>
      <c r="BU111" s="541"/>
      <c r="BV111" s="541"/>
      <c r="BW111" s="541">
        <v>0</v>
      </c>
      <c r="BX111" s="541"/>
      <c r="BY111" s="541"/>
      <c r="BZ111" s="539">
        <f t="shared" si="87"/>
        <v>312000000</v>
      </c>
      <c r="CA111" s="539">
        <f t="shared" si="88"/>
        <v>0</v>
      </c>
      <c r="CB111" s="539">
        <f t="shared" si="89"/>
        <v>0</v>
      </c>
    </row>
    <row r="112" spans="1:80" s="11" customFormat="1" ht="114" customHeight="1" x14ac:dyDescent="0.2">
      <c r="A112" s="54"/>
      <c r="B112" s="54"/>
      <c r="C112" s="55">
        <v>3</v>
      </c>
      <c r="D112" s="56" t="s">
        <v>915</v>
      </c>
      <c r="E112" s="57" t="s">
        <v>157</v>
      </c>
      <c r="F112" s="57" t="s">
        <v>158</v>
      </c>
      <c r="G112" s="64"/>
      <c r="H112" s="57">
        <v>12</v>
      </c>
      <c r="I112" s="56" t="s">
        <v>171</v>
      </c>
      <c r="J112" s="131">
        <v>1</v>
      </c>
      <c r="K112" s="132">
        <v>3</v>
      </c>
      <c r="L112" s="132">
        <v>0</v>
      </c>
      <c r="M112" s="61">
        <v>20170036300120</v>
      </c>
      <c r="N112" s="187" t="s">
        <v>160</v>
      </c>
      <c r="O112" s="65" t="s">
        <v>172</v>
      </c>
      <c r="P112" s="56" t="s">
        <v>173</v>
      </c>
      <c r="Q112" s="57" t="s">
        <v>51</v>
      </c>
      <c r="R112" s="539">
        <v>0</v>
      </c>
      <c r="S112" s="539"/>
      <c r="T112" s="539"/>
      <c r="U112" s="539">
        <v>0</v>
      </c>
      <c r="V112" s="539"/>
      <c r="W112" s="539"/>
      <c r="X112" s="539">
        <v>0</v>
      </c>
      <c r="Y112" s="539"/>
      <c r="Z112" s="539"/>
      <c r="AA112" s="539">
        <v>0</v>
      </c>
      <c r="AB112" s="539"/>
      <c r="AC112" s="539"/>
      <c r="AD112" s="539">
        <v>0</v>
      </c>
      <c r="AE112" s="539"/>
      <c r="AF112" s="539"/>
      <c r="AG112" s="539">
        <v>0</v>
      </c>
      <c r="AH112" s="539"/>
      <c r="AI112" s="539"/>
      <c r="AJ112" s="539">
        <v>0</v>
      </c>
      <c r="AK112" s="539"/>
      <c r="AL112" s="539"/>
      <c r="AM112" s="539"/>
      <c r="AN112" s="539"/>
      <c r="AO112" s="539"/>
      <c r="AP112" s="539"/>
      <c r="AQ112" s="539"/>
      <c r="AR112" s="539"/>
      <c r="AS112" s="539">
        <v>0</v>
      </c>
      <c r="AT112" s="539"/>
      <c r="AU112" s="539"/>
      <c r="AV112" s="539">
        <v>0</v>
      </c>
      <c r="AW112" s="539"/>
      <c r="AX112" s="539"/>
      <c r="AY112" s="539"/>
      <c r="AZ112" s="539"/>
      <c r="BA112" s="539"/>
      <c r="BB112" s="539"/>
      <c r="BC112" s="539"/>
      <c r="BD112" s="539"/>
      <c r="BE112" s="539">
        <v>0</v>
      </c>
      <c r="BF112" s="539"/>
      <c r="BG112" s="539"/>
      <c r="BH112" s="163">
        <v>1050000000</v>
      </c>
      <c r="BI112" s="163"/>
      <c r="BJ112" s="163"/>
      <c r="BK112" s="540">
        <v>0</v>
      </c>
      <c r="BL112" s="540"/>
      <c r="BM112" s="540"/>
      <c r="BN112" s="553"/>
      <c r="BO112" s="553"/>
      <c r="BP112" s="553"/>
      <c r="BQ112" s="539">
        <v>0</v>
      </c>
      <c r="BR112" s="541"/>
      <c r="BS112" s="541"/>
      <c r="BT112" s="541"/>
      <c r="BU112" s="541"/>
      <c r="BV112" s="541"/>
      <c r="BW112" s="541">
        <v>0</v>
      </c>
      <c r="BX112" s="541"/>
      <c r="BY112" s="541"/>
      <c r="BZ112" s="539">
        <f t="shared" si="87"/>
        <v>1050000000</v>
      </c>
      <c r="CA112" s="539">
        <f t="shared" si="88"/>
        <v>0</v>
      </c>
      <c r="CB112" s="539">
        <f t="shared" si="89"/>
        <v>0</v>
      </c>
    </row>
    <row r="113" spans="1:80" s="11" customFormat="1" ht="104.25" customHeight="1" x14ac:dyDescent="0.2">
      <c r="A113" s="54"/>
      <c r="B113" s="54"/>
      <c r="C113" s="508">
        <v>3</v>
      </c>
      <c r="D113" s="516" t="s">
        <v>915</v>
      </c>
      <c r="E113" s="508" t="s">
        <v>157</v>
      </c>
      <c r="F113" s="508" t="s">
        <v>158</v>
      </c>
      <c r="G113" s="139"/>
      <c r="H113" s="57">
        <v>13</v>
      </c>
      <c r="I113" s="56" t="s">
        <v>174</v>
      </c>
      <c r="J113" s="131">
        <v>0</v>
      </c>
      <c r="K113" s="132">
        <v>2</v>
      </c>
      <c r="L113" s="132">
        <v>0</v>
      </c>
      <c r="M113" s="61">
        <v>20170036300119</v>
      </c>
      <c r="N113" s="187" t="s">
        <v>160</v>
      </c>
      <c r="O113" s="65" t="s">
        <v>175</v>
      </c>
      <c r="P113" s="56" t="s">
        <v>176</v>
      </c>
      <c r="Q113" s="57" t="s">
        <v>51</v>
      </c>
      <c r="R113" s="539">
        <v>0</v>
      </c>
      <c r="S113" s="539"/>
      <c r="T113" s="539"/>
      <c r="U113" s="539">
        <v>0</v>
      </c>
      <c r="V113" s="543"/>
      <c r="W113" s="543"/>
      <c r="X113" s="543"/>
      <c r="Y113" s="543"/>
      <c r="Z113" s="543"/>
      <c r="AA113" s="539">
        <v>0</v>
      </c>
      <c r="AB113" s="539"/>
      <c r="AC113" s="539"/>
      <c r="AD113" s="539">
        <v>0</v>
      </c>
      <c r="AE113" s="539"/>
      <c r="AF113" s="539"/>
      <c r="AG113" s="539">
        <v>0</v>
      </c>
      <c r="AH113" s="539"/>
      <c r="AI113" s="539"/>
      <c r="AJ113" s="539">
        <v>0</v>
      </c>
      <c r="AK113" s="539"/>
      <c r="AL113" s="539"/>
      <c r="AM113" s="539"/>
      <c r="AN113" s="539"/>
      <c r="AO113" s="539"/>
      <c r="AP113" s="539"/>
      <c r="AQ113" s="539"/>
      <c r="AR113" s="539"/>
      <c r="AS113" s="539">
        <v>0</v>
      </c>
      <c r="AT113" s="539"/>
      <c r="AU113" s="539"/>
      <c r="AV113" s="539">
        <v>0</v>
      </c>
      <c r="AW113" s="539"/>
      <c r="AX113" s="539"/>
      <c r="AY113" s="539"/>
      <c r="AZ113" s="539"/>
      <c r="BA113" s="539"/>
      <c r="BB113" s="539"/>
      <c r="BC113" s="539"/>
      <c r="BD113" s="539"/>
      <c r="BE113" s="539">
        <v>0</v>
      </c>
      <c r="BF113" s="539"/>
      <c r="BG113" s="539"/>
      <c r="BH113" s="163">
        <v>300000000</v>
      </c>
      <c r="BI113" s="163"/>
      <c r="BJ113" s="163"/>
      <c r="BK113" s="540">
        <v>0</v>
      </c>
      <c r="BL113" s="540"/>
      <c r="BM113" s="540"/>
      <c r="BN113" s="553"/>
      <c r="BO113" s="553"/>
      <c r="BP113" s="553"/>
      <c r="BQ113" s="539">
        <v>0</v>
      </c>
      <c r="BR113" s="541"/>
      <c r="BS113" s="541"/>
      <c r="BT113" s="541"/>
      <c r="BU113" s="541"/>
      <c r="BV113" s="541"/>
      <c r="BW113" s="541">
        <v>0</v>
      </c>
      <c r="BX113" s="541"/>
      <c r="BY113" s="541"/>
      <c r="BZ113" s="539">
        <f t="shared" si="87"/>
        <v>300000000</v>
      </c>
      <c r="CA113" s="539">
        <f t="shared" si="88"/>
        <v>0</v>
      </c>
      <c r="CB113" s="539">
        <f t="shared" si="89"/>
        <v>0</v>
      </c>
    </row>
    <row r="114" spans="1:80" s="11" customFormat="1" ht="15.75" x14ac:dyDescent="0.2">
      <c r="A114" s="54"/>
      <c r="B114" s="74"/>
      <c r="C114" s="510"/>
      <c r="D114" s="518"/>
      <c r="E114" s="510"/>
      <c r="F114" s="510"/>
      <c r="G114" s="190"/>
      <c r="H114" s="190"/>
      <c r="I114" s="191"/>
      <c r="J114" s="192"/>
      <c r="K114" s="192"/>
      <c r="L114" s="192"/>
      <c r="M114" s="192"/>
      <c r="N114" s="192"/>
      <c r="O114" s="190"/>
      <c r="P114" s="193"/>
      <c r="Q114" s="190"/>
      <c r="R114" s="575">
        <f t="shared" ref="R114:BY114" si="90">SUM(R108:R113)</f>
        <v>0</v>
      </c>
      <c r="S114" s="575">
        <f t="shared" si="90"/>
        <v>0</v>
      </c>
      <c r="T114" s="575">
        <f t="shared" si="90"/>
        <v>0</v>
      </c>
      <c r="U114" s="575">
        <f t="shared" si="90"/>
        <v>0</v>
      </c>
      <c r="V114" s="575">
        <f t="shared" si="90"/>
        <v>0</v>
      </c>
      <c r="W114" s="575">
        <f t="shared" si="90"/>
        <v>0</v>
      </c>
      <c r="X114" s="575">
        <f t="shared" si="90"/>
        <v>1311082504</v>
      </c>
      <c r="Y114" s="575">
        <f t="shared" si="90"/>
        <v>219549971.65000001</v>
      </c>
      <c r="Z114" s="575">
        <f t="shared" si="90"/>
        <v>0</v>
      </c>
      <c r="AA114" s="575">
        <f t="shared" si="90"/>
        <v>0</v>
      </c>
      <c r="AB114" s="575">
        <f t="shared" si="90"/>
        <v>0</v>
      </c>
      <c r="AC114" s="575">
        <f t="shared" si="90"/>
        <v>0</v>
      </c>
      <c r="AD114" s="575">
        <f t="shared" si="90"/>
        <v>0</v>
      </c>
      <c r="AE114" s="575">
        <f t="shared" si="90"/>
        <v>0</v>
      </c>
      <c r="AF114" s="575">
        <f t="shared" si="90"/>
        <v>0</v>
      </c>
      <c r="AG114" s="575">
        <f t="shared" si="90"/>
        <v>0</v>
      </c>
      <c r="AH114" s="575">
        <f t="shared" si="90"/>
        <v>0</v>
      </c>
      <c r="AI114" s="575">
        <f t="shared" si="90"/>
        <v>0</v>
      </c>
      <c r="AJ114" s="575">
        <f t="shared" si="90"/>
        <v>0</v>
      </c>
      <c r="AK114" s="575">
        <f t="shared" si="90"/>
        <v>0</v>
      </c>
      <c r="AL114" s="575">
        <f t="shared" si="90"/>
        <v>0</v>
      </c>
      <c r="AM114" s="575">
        <f t="shared" si="90"/>
        <v>0</v>
      </c>
      <c r="AN114" s="575">
        <f t="shared" si="90"/>
        <v>0</v>
      </c>
      <c r="AO114" s="575">
        <f t="shared" si="90"/>
        <v>0</v>
      </c>
      <c r="AP114" s="575">
        <f t="shared" si="90"/>
        <v>0</v>
      </c>
      <c r="AQ114" s="575">
        <f t="shared" si="90"/>
        <v>0</v>
      </c>
      <c r="AR114" s="575">
        <f t="shared" si="90"/>
        <v>0</v>
      </c>
      <c r="AS114" s="575">
        <f t="shared" si="90"/>
        <v>0</v>
      </c>
      <c r="AT114" s="575">
        <f t="shared" si="90"/>
        <v>0</v>
      </c>
      <c r="AU114" s="575">
        <f t="shared" si="90"/>
        <v>0</v>
      </c>
      <c r="AV114" s="575">
        <f t="shared" si="90"/>
        <v>0</v>
      </c>
      <c r="AW114" s="575">
        <f t="shared" si="90"/>
        <v>0</v>
      </c>
      <c r="AX114" s="575">
        <f t="shared" si="90"/>
        <v>0</v>
      </c>
      <c r="AY114" s="575">
        <f t="shared" si="90"/>
        <v>0</v>
      </c>
      <c r="AZ114" s="575">
        <f t="shared" si="90"/>
        <v>0</v>
      </c>
      <c r="BA114" s="575">
        <f t="shared" si="90"/>
        <v>0</v>
      </c>
      <c r="BB114" s="575">
        <f t="shared" si="90"/>
        <v>0</v>
      </c>
      <c r="BC114" s="575">
        <f t="shared" si="90"/>
        <v>0</v>
      </c>
      <c r="BD114" s="575">
        <f t="shared" si="90"/>
        <v>0</v>
      </c>
      <c r="BE114" s="575">
        <f t="shared" si="90"/>
        <v>0</v>
      </c>
      <c r="BF114" s="575">
        <f t="shared" si="90"/>
        <v>0</v>
      </c>
      <c r="BG114" s="575">
        <f t="shared" si="90"/>
        <v>0</v>
      </c>
      <c r="BH114" s="575">
        <f t="shared" si="90"/>
        <v>2398473229</v>
      </c>
      <c r="BI114" s="575">
        <f t="shared" si="90"/>
        <v>0</v>
      </c>
      <c r="BJ114" s="575">
        <f t="shared" si="90"/>
        <v>0</v>
      </c>
      <c r="BK114" s="575">
        <f t="shared" si="90"/>
        <v>0</v>
      </c>
      <c r="BL114" s="575">
        <f t="shared" si="90"/>
        <v>0</v>
      </c>
      <c r="BM114" s="575">
        <f t="shared" si="90"/>
        <v>0</v>
      </c>
      <c r="BN114" s="575">
        <f t="shared" si="90"/>
        <v>0</v>
      </c>
      <c r="BO114" s="575">
        <f t="shared" si="90"/>
        <v>0</v>
      </c>
      <c r="BP114" s="575">
        <f t="shared" si="90"/>
        <v>0</v>
      </c>
      <c r="BQ114" s="575">
        <f t="shared" si="90"/>
        <v>0</v>
      </c>
      <c r="BR114" s="575">
        <f t="shared" si="90"/>
        <v>0</v>
      </c>
      <c r="BS114" s="575">
        <f t="shared" si="90"/>
        <v>0</v>
      </c>
      <c r="BT114" s="575">
        <f t="shared" si="90"/>
        <v>0</v>
      </c>
      <c r="BU114" s="575">
        <f t="shared" si="90"/>
        <v>0</v>
      </c>
      <c r="BV114" s="575">
        <f t="shared" si="90"/>
        <v>0</v>
      </c>
      <c r="BW114" s="575">
        <f t="shared" si="90"/>
        <v>0</v>
      </c>
      <c r="BX114" s="575">
        <f t="shared" si="90"/>
        <v>0</v>
      </c>
      <c r="BY114" s="575">
        <f t="shared" si="90"/>
        <v>0</v>
      </c>
      <c r="BZ114" s="575">
        <f t="shared" ref="BZ114" si="91">SUM(BZ108:BZ113)</f>
        <v>3709555733</v>
      </c>
      <c r="CA114" s="575">
        <f t="shared" ref="CA114:CB114" si="92">SUM(CA108:CA113)</f>
        <v>219549971.65000001</v>
      </c>
      <c r="CB114" s="575">
        <f t="shared" si="92"/>
        <v>0</v>
      </c>
    </row>
    <row r="115" spans="1:80" s="459" customFormat="1" ht="15.75" x14ac:dyDescent="0.2">
      <c r="A115" s="74"/>
      <c r="B115" s="81"/>
      <c r="C115" s="120"/>
      <c r="D115" s="81"/>
      <c r="E115" s="82"/>
      <c r="F115" s="82"/>
      <c r="G115" s="81"/>
      <c r="H115" s="82"/>
      <c r="I115" s="81"/>
      <c r="J115" s="178"/>
      <c r="K115" s="178"/>
      <c r="L115" s="178"/>
      <c r="M115" s="178"/>
      <c r="N115" s="178"/>
      <c r="O115" s="82"/>
      <c r="P115" s="81"/>
      <c r="Q115" s="82"/>
      <c r="R115" s="554">
        <f t="shared" ref="R115:BY115" si="93">R114</f>
        <v>0</v>
      </c>
      <c r="S115" s="554">
        <f t="shared" si="93"/>
        <v>0</v>
      </c>
      <c r="T115" s="554">
        <f t="shared" si="93"/>
        <v>0</v>
      </c>
      <c r="U115" s="554">
        <f t="shared" si="93"/>
        <v>0</v>
      </c>
      <c r="V115" s="554">
        <f t="shared" si="93"/>
        <v>0</v>
      </c>
      <c r="W115" s="554">
        <f t="shared" si="93"/>
        <v>0</v>
      </c>
      <c r="X115" s="554">
        <f t="shared" si="93"/>
        <v>1311082504</v>
      </c>
      <c r="Y115" s="554">
        <f t="shared" si="93"/>
        <v>219549971.65000001</v>
      </c>
      <c r="Z115" s="554">
        <f t="shared" si="93"/>
        <v>0</v>
      </c>
      <c r="AA115" s="554">
        <f t="shared" si="93"/>
        <v>0</v>
      </c>
      <c r="AB115" s="554">
        <f t="shared" si="93"/>
        <v>0</v>
      </c>
      <c r="AC115" s="554">
        <f t="shared" si="93"/>
        <v>0</v>
      </c>
      <c r="AD115" s="554">
        <f t="shared" si="93"/>
        <v>0</v>
      </c>
      <c r="AE115" s="554">
        <f t="shared" si="93"/>
        <v>0</v>
      </c>
      <c r="AF115" s="554">
        <f t="shared" si="93"/>
        <v>0</v>
      </c>
      <c r="AG115" s="554">
        <f t="shared" si="93"/>
        <v>0</v>
      </c>
      <c r="AH115" s="554">
        <f t="shared" si="93"/>
        <v>0</v>
      </c>
      <c r="AI115" s="554">
        <f t="shared" si="93"/>
        <v>0</v>
      </c>
      <c r="AJ115" s="554">
        <f t="shared" si="93"/>
        <v>0</v>
      </c>
      <c r="AK115" s="554">
        <f t="shared" si="93"/>
        <v>0</v>
      </c>
      <c r="AL115" s="554">
        <f t="shared" si="93"/>
        <v>0</v>
      </c>
      <c r="AM115" s="554">
        <f t="shared" si="93"/>
        <v>0</v>
      </c>
      <c r="AN115" s="554">
        <f t="shared" si="93"/>
        <v>0</v>
      </c>
      <c r="AO115" s="554">
        <f t="shared" si="93"/>
        <v>0</v>
      </c>
      <c r="AP115" s="554">
        <f t="shared" si="93"/>
        <v>0</v>
      </c>
      <c r="AQ115" s="554">
        <f t="shared" si="93"/>
        <v>0</v>
      </c>
      <c r="AR115" s="554">
        <f t="shared" si="93"/>
        <v>0</v>
      </c>
      <c r="AS115" s="554">
        <f t="shared" si="93"/>
        <v>0</v>
      </c>
      <c r="AT115" s="554">
        <f t="shared" si="93"/>
        <v>0</v>
      </c>
      <c r="AU115" s="554">
        <f t="shared" si="93"/>
        <v>0</v>
      </c>
      <c r="AV115" s="554">
        <f t="shared" si="93"/>
        <v>0</v>
      </c>
      <c r="AW115" s="554">
        <f t="shared" si="93"/>
        <v>0</v>
      </c>
      <c r="AX115" s="554">
        <f t="shared" si="93"/>
        <v>0</v>
      </c>
      <c r="AY115" s="554">
        <f t="shared" si="93"/>
        <v>0</v>
      </c>
      <c r="AZ115" s="554">
        <f t="shared" si="93"/>
        <v>0</v>
      </c>
      <c r="BA115" s="554">
        <f t="shared" si="93"/>
        <v>0</v>
      </c>
      <c r="BB115" s="554">
        <f t="shared" si="93"/>
        <v>0</v>
      </c>
      <c r="BC115" s="554">
        <f t="shared" si="93"/>
        <v>0</v>
      </c>
      <c r="BD115" s="554">
        <f t="shared" si="93"/>
        <v>0</v>
      </c>
      <c r="BE115" s="554">
        <f t="shared" si="93"/>
        <v>0</v>
      </c>
      <c r="BF115" s="554">
        <f t="shared" si="93"/>
        <v>0</v>
      </c>
      <c r="BG115" s="554">
        <f t="shared" si="93"/>
        <v>0</v>
      </c>
      <c r="BH115" s="554">
        <f t="shared" si="93"/>
        <v>2398473229</v>
      </c>
      <c r="BI115" s="554">
        <f t="shared" si="93"/>
        <v>0</v>
      </c>
      <c r="BJ115" s="554">
        <f t="shared" si="93"/>
        <v>0</v>
      </c>
      <c r="BK115" s="554">
        <f t="shared" si="93"/>
        <v>0</v>
      </c>
      <c r="BL115" s="554">
        <f t="shared" si="93"/>
        <v>0</v>
      </c>
      <c r="BM115" s="554">
        <f t="shared" si="93"/>
        <v>0</v>
      </c>
      <c r="BN115" s="554">
        <f t="shared" si="93"/>
        <v>0</v>
      </c>
      <c r="BO115" s="554">
        <f t="shared" si="93"/>
        <v>0</v>
      </c>
      <c r="BP115" s="554">
        <f t="shared" si="93"/>
        <v>0</v>
      </c>
      <c r="BQ115" s="554">
        <f t="shared" si="93"/>
        <v>0</v>
      </c>
      <c r="BR115" s="554">
        <f t="shared" si="93"/>
        <v>0</v>
      </c>
      <c r="BS115" s="554">
        <f t="shared" si="93"/>
        <v>0</v>
      </c>
      <c r="BT115" s="554">
        <f t="shared" si="93"/>
        <v>0</v>
      </c>
      <c r="BU115" s="554">
        <f t="shared" si="93"/>
        <v>0</v>
      </c>
      <c r="BV115" s="554">
        <f t="shared" si="93"/>
        <v>0</v>
      </c>
      <c r="BW115" s="554">
        <f t="shared" si="93"/>
        <v>0</v>
      </c>
      <c r="BX115" s="554">
        <f t="shared" si="93"/>
        <v>0</v>
      </c>
      <c r="BY115" s="554">
        <f t="shared" si="93"/>
        <v>0</v>
      </c>
      <c r="BZ115" s="554">
        <f t="shared" ref="BZ115" si="94">BZ114</f>
        <v>3709555733</v>
      </c>
      <c r="CA115" s="554">
        <f t="shared" ref="CA115:CB115" si="95">CA114</f>
        <v>219549971.65000001</v>
      </c>
      <c r="CB115" s="554">
        <f t="shared" si="95"/>
        <v>0</v>
      </c>
    </row>
    <row r="116" spans="1:80" s="459" customFormat="1" x14ac:dyDescent="0.2">
      <c r="A116" s="84"/>
      <c r="B116" s="84"/>
      <c r="C116" s="84"/>
      <c r="D116" s="84"/>
      <c r="E116" s="84"/>
      <c r="F116" s="84"/>
      <c r="G116" s="84"/>
      <c r="H116" s="84"/>
      <c r="I116" s="84"/>
      <c r="J116" s="84"/>
      <c r="K116" s="84"/>
      <c r="L116" s="84"/>
      <c r="M116" s="84"/>
      <c r="N116" s="181"/>
      <c r="O116" s="85"/>
      <c r="P116" s="84"/>
      <c r="Q116" s="85"/>
      <c r="R116" s="560">
        <f t="shared" ref="R116:BY116" si="96">+R115</f>
        <v>0</v>
      </c>
      <c r="S116" s="560">
        <f t="shared" si="96"/>
        <v>0</v>
      </c>
      <c r="T116" s="560">
        <f t="shared" si="96"/>
        <v>0</v>
      </c>
      <c r="U116" s="560">
        <f t="shared" si="96"/>
        <v>0</v>
      </c>
      <c r="V116" s="560">
        <f t="shared" si="96"/>
        <v>0</v>
      </c>
      <c r="W116" s="560">
        <f t="shared" si="96"/>
        <v>0</v>
      </c>
      <c r="X116" s="560">
        <f t="shared" si="96"/>
        <v>1311082504</v>
      </c>
      <c r="Y116" s="560">
        <f t="shared" si="96"/>
        <v>219549971.65000001</v>
      </c>
      <c r="Z116" s="560">
        <f t="shared" si="96"/>
        <v>0</v>
      </c>
      <c r="AA116" s="560">
        <f t="shared" si="96"/>
        <v>0</v>
      </c>
      <c r="AB116" s="560">
        <f t="shared" si="96"/>
        <v>0</v>
      </c>
      <c r="AC116" s="560">
        <f t="shared" si="96"/>
        <v>0</v>
      </c>
      <c r="AD116" s="560">
        <f t="shared" si="96"/>
        <v>0</v>
      </c>
      <c r="AE116" s="560">
        <f t="shared" si="96"/>
        <v>0</v>
      </c>
      <c r="AF116" s="560">
        <f t="shared" si="96"/>
        <v>0</v>
      </c>
      <c r="AG116" s="560">
        <f t="shared" si="96"/>
        <v>0</v>
      </c>
      <c r="AH116" s="560">
        <f t="shared" si="96"/>
        <v>0</v>
      </c>
      <c r="AI116" s="560">
        <f t="shared" si="96"/>
        <v>0</v>
      </c>
      <c r="AJ116" s="560">
        <f t="shared" si="96"/>
        <v>0</v>
      </c>
      <c r="AK116" s="560">
        <f t="shared" si="96"/>
        <v>0</v>
      </c>
      <c r="AL116" s="560">
        <f t="shared" si="96"/>
        <v>0</v>
      </c>
      <c r="AM116" s="560">
        <f t="shared" si="96"/>
        <v>0</v>
      </c>
      <c r="AN116" s="560">
        <f t="shared" si="96"/>
        <v>0</v>
      </c>
      <c r="AO116" s="560">
        <f t="shared" si="96"/>
        <v>0</v>
      </c>
      <c r="AP116" s="560">
        <f t="shared" si="96"/>
        <v>0</v>
      </c>
      <c r="AQ116" s="560">
        <f t="shared" si="96"/>
        <v>0</v>
      </c>
      <c r="AR116" s="560">
        <f t="shared" si="96"/>
        <v>0</v>
      </c>
      <c r="AS116" s="560">
        <f t="shared" si="96"/>
        <v>0</v>
      </c>
      <c r="AT116" s="560">
        <f t="shared" si="96"/>
        <v>0</v>
      </c>
      <c r="AU116" s="560">
        <f t="shared" si="96"/>
        <v>0</v>
      </c>
      <c r="AV116" s="560">
        <f t="shared" si="96"/>
        <v>0</v>
      </c>
      <c r="AW116" s="560">
        <f t="shared" si="96"/>
        <v>0</v>
      </c>
      <c r="AX116" s="560">
        <f t="shared" si="96"/>
        <v>0</v>
      </c>
      <c r="AY116" s="560">
        <f t="shared" si="96"/>
        <v>0</v>
      </c>
      <c r="AZ116" s="560">
        <f t="shared" si="96"/>
        <v>0</v>
      </c>
      <c r="BA116" s="560">
        <f t="shared" si="96"/>
        <v>0</v>
      </c>
      <c r="BB116" s="560">
        <f t="shared" si="96"/>
        <v>0</v>
      </c>
      <c r="BC116" s="560">
        <f t="shared" si="96"/>
        <v>0</v>
      </c>
      <c r="BD116" s="560">
        <f t="shared" si="96"/>
        <v>0</v>
      </c>
      <c r="BE116" s="560">
        <f t="shared" si="96"/>
        <v>0</v>
      </c>
      <c r="BF116" s="560">
        <f t="shared" si="96"/>
        <v>0</v>
      </c>
      <c r="BG116" s="560">
        <f t="shared" si="96"/>
        <v>0</v>
      </c>
      <c r="BH116" s="560">
        <f t="shared" si="96"/>
        <v>2398473229</v>
      </c>
      <c r="BI116" s="560">
        <f t="shared" si="96"/>
        <v>0</v>
      </c>
      <c r="BJ116" s="560">
        <f t="shared" si="96"/>
        <v>0</v>
      </c>
      <c r="BK116" s="560">
        <f t="shared" si="96"/>
        <v>0</v>
      </c>
      <c r="BL116" s="560">
        <f t="shared" si="96"/>
        <v>0</v>
      </c>
      <c r="BM116" s="560">
        <f t="shared" si="96"/>
        <v>0</v>
      </c>
      <c r="BN116" s="560">
        <f t="shared" si="96"/>
        <v>0</v>
      </c>
      <c r="BO116" s="560">
        <f t="shared" si="96"/>
        <v>0</v>
      </c>
      <c r="BP116" s="560">
        <f t="shared" si="96"/>
        <v>0</v>
      </c>
      <c r="BQ116" s="560">
        <f t="shared" si="96"/>
        <v>0</v>
      </c>
      <c r="BR116" s="560">
        <f t="shared" si="96"/>
        <v>0</v>
      </c>
      <c r="BS116" s="560">
        <f t="shared" si="96"/>
        <v>0</v>
      </c>
      <c r="BT116" s="560">
        <f t="shared" si="96"/>
        <v>0</v>
      </c>
      <c r="BU116" s="560">
        <f t="shared" si="96"/>
        <v>0</v>
      </c>
      <c r="BV116" s="560">
        <f t="shared" si="96"/>
        <v>0</v>
      </c>
      <c r="BW116" s="560">
        <f t="shared" si="96"/>
        <v>0</v>
      </c>
      <c r="BX116" s="560">
        <f t="shared" si="96"/>
        <v>0</v>
      </c>
      <c r="BY116" s="560">
        <f t="shared" si="96"/>
        <v>0</v>
      </c>
      <c r="BZ116" s="560">
        <f t="shared" ref="BZ116" si="97">+BZ115</f>
        <v>3709555733</v>
      </c>
      <c r="CA116" s="560">
        <f t="shared" ref="CA116:CB116" si="98">+CA115</f>
        <v>219549971.65000001</v>
      </c>
      <c r="CB116" s="560">
        <f t="shared" si="98"/>
        <v>0</v>
      </c>
    </row>
    <row r="117" spans="1:80" s="11" customFormat="1" ht="15.75" x14ac:dyDescent="0.2">
      <c r="A117" s="80"/>
      <c r="B117" s="91"/>
      <c r="C117" s="92"/>
      <c r="D117" s="91"/>
      <c r="E117" s="92"/>
      <c r="F117" s="92"/>
      <c r="G117" s="91"/>
      <c r="H117" s="92"/>
      <c r="I117" s="91"/>
      <c r="J117" s="183"/>
      <c r="K117" s="183"/>
      <c r="L117" s="183"/>
      <c r="M117" s="183"/>
      <c r="N117" s="183"/>
      <c r="O117" s="500"/>
      <c r="P117" s="91"/>
      <c r="Q117" s="92"/>
      <c r="R117" s="543"/>
      <c r="S117" s="543"/>
      <c r="T117" s="543"/>
      <c r="U117" s="543"/>
      <c r="V117" s="543"/>
      <c r="W117" s="543"/>
      <c r="X117" s="543"/>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43"/>
      <c r="BO117" s="543"/>
      <c r="BP117" s="543"/>
      <c r="BQ117" s="543"/>
      <c r="BR117" s="543"/>
      <c r="BS117" s="543"/>
      <c r="BT117" s="543"/>
      <c r="BU117" s="543"/>
      <c r="BV117" s="543"/>
      <c r="BW117" s="543"/>
      <c r="BX117" s="543"/>
      <c r="BY117" s="543"/>
      <c r="BZ117" s="543"/>
      <c r="CA117" s="543"/>
      <c r="CB117" s="543"/>
    </row>
    <row r="118" spans="1:80" s="11" customFormat="1" ht="15.75" x14ac:dyDescent="0.2">
      <c r="A118" s="44">
        <v>4</v>
      </c>
      <c r="B118" s="45" t="s">
        <v>178</v>
      </c>
      <c r="C118" s="46"/>
      <c r="D118" s="45"/>
      <c r="E118" s="45"/>
      <c r="F118" s="45"/>
      <c r="G118" s="45"/>
      <c r="H118" s="45"/>
      <c r="I118" s="45"/>
      <c r="J118" s="45"/>
      <c r="K118" s="45"/>
      <c r="L118" s="45"/>
      <c r="M118" s="45"/>
      <c r="N118" s="45"/>
      <c r="O118" s="46"/>
      <c r="P118" s="45"/>
      <c r="Q118" s="45"/>
      <c r="R118" s="572"/>
      <c r="S118" s="572"/>
      <c r="T118" s="572"/>
      <c r="U118" s="572"/>
      <c r="V118" s="572"/>
      <c r="W118" s="572"/>
      <c r="X118" s="572"/>
      <c r="Y118" s="572"/>
      <c r="Z118" s="572"/>
      <c r="AA118" s="572"/>
      <c r="AB118" s="572"/>
      <c r="AC118" s="572"/>
      <c r="AD118" s="572"/>
      <c r="AE118" s="572"/>
      <c r="AF118" s="572"/>
      <c r="AG118" s="572"/>
      <c r="AH118" s="572"/>
      <c r="AI118" s="572"/>
      <c r="AJ118" s="572"/>
      <c r="AK118" s="572"/>
      <c r="AL118" s="572"/>
      <c r="AM118" s="572"/>
      <c r="AN118" s="572"/>
      <c r="AO118" s="572"/>
      <c r="AP118" s="572"/>
      <c r="AQ118" s="572"/>
      <c r="AR118" s="572"/>
      <c r="AS118" s="572"/>
      <c r="AT118" s="572"/>
      <c r="AU118" s="572"/>
      <c r="AV118" s="572"/>
      <c r="AW118" s="572"/>
      <c r="AX118" s="572"/>
      <c r="AY118" s="572"/>
      <c r="AZ118" s="572"/>
      <c r="BA118" s="572"/>
      <c r="BB118" s="572"/>
      <c r="BC118" s="572"/>
      <c r="BD118" s="572"/>
      <c r="BE118" s="572"/>
      <c r="BF118" s="572"/>
      <c r="BG118" s="572"/>
      <c r="BH118" s="572"/>
      <c r="BI118" s="572"/>
      <c r="BJ118" s="572"/>
      <c r="BK118" s="572"/>
      <c r="BL118" s="572"/>
      <c r="BM118" s="572"/>
      <c r="BN118" s="572"/>
      <c r="BO118" s="572"/>
      <c r="BP118" s="572"/>
      <c r="BQ118" s="572"/>
      <c r="BR118" s="572"/>
      <c r="BS118" s="572"/>
      <c r="BT118" s="572"/>
      <c r="BU118" s="572"/>
      <c r="BV118" s="572"/>
      <c r="BW118" s="572"/>
      <c r="BX118" s="572"/>
      <c r="BY118" s="572"/>
      <c r="BZ118" s="572"/>
      <c r="CA118" s="572"/>
      <c r="CB118" s="572"/>
    </row>
    <row r="119" spans="1:80" s="11" customFormat="1" ht="15.75" x14ac:dyDescent="0.2">
      <c r="A119" s="96"/>
      <c r="B119" s="185">
        <v>23</v>
      </c>
      <c r="C119" s="49" t="s">
        <v>880</v>
      </c>
      <c r="D119" s="50"/>
      <c r="E119" s="50"/>
      <c r="F119" s="50"/>
      <c r="G119" s="50"/>
      <c r="H119" s="51"/>
      <c r="I119" s="50"/>
      <c r="J119" s="50"/>
      <c r="K119" s="50"/>
      <c r="L119" s="50"/>
      <c r="M119" s="50"/>
      <c r="N119" s="50"/>
      <c r="O119" s="503"/>
      <c r="P119" s="50"/>
      <c r="Q119" s="50"/>
      <c r="R119" s="550"/>
      <c r="S119" s="550"/>
      <c r="T119" s="550"/>
      <c r="U119" s="550"/>
      <c r="V119" s="550"/>
      <c r="W119" s="550"/>
      <c r="X119" s="550"/>
      <c r="Y119" s="550"/>
      <c r="Z119" s="550"/>
      <c r="AA119" s="550"/>
      <c r="AB119" s="550"/>
      <c r="AC119" s="550"/>
      <c r="AD119" s="550"/>
      <c r="AE119" s="550"/>
      <c r="AF119" s="550"/>
      <c r="AG119" s="550"/>
      <c r="AH119" s="550"/>
      <c r="AI119" s="550"/>
      <c r="AJ119" s="550"/>
      <c r="AK119" s="550"/>
      <c r="AL119" s="550"/>
      <c r="AM119" s="550"/>
      <c r="AN119" s="550"/>
      <c r="AO119" s="550"/>
      <c r="AP119" s="550"/>
      <c r="AQ119" s="550"/>
      <c r="AR119" s="550"/>
      <c r="AS119" s="550"/>
      <c r="AT119" s="550"/>
      <c r="AU119" s="550"/>
      <c r="AV119" s="550"/>
      <c r="AW119" s="550"/>
      <c r="AX119" s="550"/>
      <c r="AY119" s="550"/>
      <c r="AZ119" s="550"/>
      <c r="BA119" s="550"/>
      <c r="BB119" s="550"/>
      <c r="BC119" s="550"/>
      <c r="BD119" s="550"/>
      <c r="BE119" s="550"/>
      <c r="BF119" s="550"/>
      <c r="BG119" s="550"/>
      <c r="BH119" s="550"/>
      <c r="BI119" s="550"/>
      <c r="BJ119" s="550"/>
      <c r="BK119" s="550"/>
      <c r="BL119" s="550"/>
      <c r="BM119" s="550"/>
      <c r="BN119" s="550"/>
      <c r="BO119" s="550"/>
      <c r="BP119" s="550"/>
      <c r="BQ119" s="550"/>
      <c r="BR119" s="550"/>
      <c r="BS119" s="550"/>
      <c r="BT119" s="550"/>
      <c r="BU119" s="550"/>
      <c r="BV119" s="550"/>
      <c r="BW119" s="550"/>
      <c r="BX119" s="550"/>
      <c r="BY119" s="550"/>
      <c r="BZ119" s="550"/>
      <c r="CA119" s="550"/>
      <c r="CB119" s="550"/>
    </row>
    <row r="120" spans="1:80" s="11" customFormat="1" ht="15.75" x14ac:dyDescent="0.2">
      <c r="A120" s="54"/>
      <c r="B120" s="194"/>
      <c r="C120" s="685"/>
      <c r="D120" s="124"/>
      <c r="E120" s="537"/>
      <c r="F120" s="519"/>
      <c r="G120" s="195">
        <v>77</v>
      </c>
      <c r="H120" s="196" t="s">
        <v>881</v>
      </c>
      <c r="I120" s="197"/>
      <c r="J120" s="197"/>
      <c r="K120" s="197"/>
      <c r="L120" s="197"/>
      <c r="M120" s="198"/>
      <c r="N120" s="197"/>
      <c r="O120" s="504"/>
      <c r="P120" s="197"/>
      <c r="Q120" s="100"/>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6"/>
      <c r="AY120" s="336"/>
      <c r="AZ120" s="336"/>
      <c r="BA120" s="336"/>
      <c r="BB120" s="336"/>
      <c r="BC120" s="336"/>
      <c r="BD120" s="336"/>
      <c r="BE120" s="336"/>
      <c r="BF120" s="336"/>
      <c r="BG120" s="336"/>
      <c r="BH120" s="336"/>
      <c r="BI120" s="336"/>
      <c r="BJ120" s="336"/>
      <c r="BK120" s="336"/>
      <c r="BL120" s="336"/>
      <c r="BM120" s="336"/>
      <c r="BN120" s="336"/>
      <c r="BO120" s="336"/>
      <c r="BP120" s="336"/>
      <c r="BQ120" s="336"/>
      <c r="BR120" s="336"/>
      <c r="BS120" s="336"/>
      <c r="BT120" s="336"/>
      <c r="BU120" s="336"/>
      <c r="BV120" s="336"/>
      <c r="BW120" s="336"/>
      <c r="BX120" s="336"/>
      <c r="BY120" s="336"/>
      <c r="BZ120" s="336"/>
      <c r="CA120" s="336"/>
      <c r="CB120" s="336"/>
    </row>
    <row r="121" spans="1:80" s="11" customFormat="1" ht="120" x14ac:dyDescent="0.2">
      <c r="A121" s="74"/>
      <c r="B121" s="199"/>
      <c r="C121" s="253"/>
      <c r="D121" s="80"/>
      <c r="E121" s="80"/>
      <c r="F121" s="141"/>
      <c r="G121" s="200"/>
      <c r="H121" s="57">
        <v>223</v>
      </c>
      <c r="I121" s="56" t="s">
        <v>866</v>
      </c>
      <c r="J121" s="59" t="s">
        <v>42</v>
      </c>
      <c r="K121" s="59">
        <v>1</v>
      </c>
      <c r="L121" s="59">
        <v>0</v>
      </c>
      <c r="M121" s="59">
        <v>1</v>
      </c>
      <c r="N121" s="201" t="s">
        <v>134</v>
      </c>
      <c r="O121" s="60" t="s">
        <v>882</v>
      </c>
      <c r="P121" s="202" t="s">
        <v>883</v>
      </c>
      <c r="Q121" s="57" t="s">
        <v>51</v>
      </c>
      <c r="R121" s="539"/>
      <c r="S121" s="539"/>
      <c r="T121" s="539"/>
      <c r="U121" s="539"/>
      <c r="V121" s="539"/>
      <c r="W121" s="539"/>
      <c r="X121" s="539"/>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539"/>
      <c r="BM121" s="539"/>
      <c r="BN121" s="539"/>
      <c r="BO121" s="539"/>
      <c r="BP121" s="539"/>
      <c r="BQ121" s="539"/>
      <c r="BR121" s="539"/>
      <c r="BS121" s="539"/>
      <c r="BT121" s="539"/>
      <c r="BU121" s="539"/>
      <c r="BV121" s="539"/>
      <c r="BW121" s="539">
        <v>500000000</v>
      </c>
      <c r="BX121" s="539"/>
      <c r="BY121" s="539"/>
      <c r="BZ121" s="539">
        <f>R121+U121+X121+AA121+AD121+AG121+AJ121+AM121+AP121+AS121+AV121+AY121+BB121+BE121+BH121+BK121+BN121+BQ121+BT121+BW121</f>
        <v>500000000</v>
      </c>
      <c r="CA121" s="539">
        <f t="shared" ref="CA121" si="99">S121+V121+Y121+AB121+AE121+AH121+AK121+AN121+AQ121+AT121+AW121+AZ121+BC121+BF121+BI121+BL121+BO121+BR121+BU121+BX121</f>
        <v>0</v>
      </c>
      <c r="CB121" s="539">
        <f t="shared" ref="CB121" si="100">T121+W121+Z121+AC121+AF121+AI121+AL121+AO121+AR121+AU121+AX121+BA121+BD121+BG121+BJ121+BM121+BP121+BS121+BV121+BY121</f>
        <v>0</v>
      </c>
    </row>
    <row r="122" spans="1:80" s="11" customFormat="1" x14ac:dyDescent="0.2">
      <c r="A122" s="190"/>
      <c r="B122" s="203"/>
      <c r="C122" s="203"/>
      <c r="D122" s="203"/>
      <c r="E122" s="203"/>
      <c r="F122" s="203"/>
      <c r="G122" s="190"/>
      <c r="H122" s="191"/>
      <c r="I122" s="191"/>
      <c r="J122" s="191"/>
      <c r="K122" s="191"/>
      <c r="L122" s="191"/>
      <c r="M122" s="191"/>
      <c r="N122" s="191"/>
      <c r="O122" s="190"/>
      <c r="P122" s="191"/>
      <c r="Q122" s="191"/>
      <c r="R122" s="576">
        <f t="shared" ref="R122:BY124" si="101">+R121</f>
        <v>0</v>
      </c>
      <c r="S122" s="576">
        <f t="shared" si="101"/>
        <v>0</v>
      </c>
      <c r="T122" s="576">
        <f t="shared" si="101"/>
        <v>0</v>
      </c>
      <c r="U122" s="576">
        <f t="shared" si="101"/>
        <v>0</v>
      </c>
      <c r="V122" s="576">
        <f t="shared" si="101"/>
        <v>0</v>
      </c>
      <c r="W122" s="576">
        <f t="shared" si="101"/>
        <v>0</v>
      </c>
      <c r="X122" s="576">
        <f t="shared" si="101"/>
        <v>0</v>
      </c>
      <c r="Y122" s="576">
        <f t="shared" si="101"/>
        <v>0</v>
      </c>
      <c r="Z122" s="576">
        <f t="shared" si="101"/>
        <v>0</v>
      </c>
      <c r="AA122" s="576">
        <f t="shared" si="101"/>
        <v>0</v>
      </c>
      <c r="AB122" s="576">
        <f t="shared" si="101"/>
        <v>0</v>
      </c>
      <c r="AC122" s="576">
        <f t="shared" si="101"/>
        <v>0</v>
      </c>
      <c r="AD122" s="576">
        <f t="shared" si="101"/>
        <v>0</v>
      </c>
      <c r="AE122" s="576">
        <f t="shared" si="101"/>
        <v>0</v>
      </c>
      <c r="AF122" s="576">
        <f t="shared" si="101"/>
        <v>0</v>
      </c>
      <c r="AG122" s="576">
        <f t="shared" si="101"/>
        <v>0</v>
      </c>
      <c r="AH122" s="576">
        <f t="shared" si="101"/>
        <v>0</v>
      </c>
      <c r="AI122" s="576">
        <f t="shared" si="101"/>
        <v>0</v>
      </c>
      <c r="AJ122" s="576">
        <f t="shared" si="101"/>
        <v>0</v>
      </c>
      <c r="AK122" s="576">
        <f t="shared" si="101"/>
        <v>0</v>
      </c>
      <c r="AL122" s="576">
        <f t="shared" si="101"/>
        <v>0</v>
      </c>
      <c r="AM122" s="576">
        <f t="shared" si="101"/>
        <v>0</v>
      </c>
      <c r="AN122" s="576">
        <f t="shared" si="101"/>
        <v>0</v>
      </c>
      <c r="AO122" s="576">
        <f t="shared" si="101"/>
        <v>0</v>
      </c>
      <c r="AP122" s="576">
        <f t="shared" si="101"/>
        <v>0</v>
      </c>
      <c r="AQ122" s="576">
        <f t="shared" si="101"/>
        <v>0</v>
      </c>
      <c r="AR122" s="576">
        <f t="shared" si="101"/>
        <v>0</v>
      </c>
      <c r="AS122" s="576">
        <f t="shared" si="101"/>
        <v>0</v>
      </c>
      <c r="AT122" s="576">
        <f t="shared" si="101"/>
        <v>0</v>
      </c>
      <c r="AU122" s="576">
        <f t="shared" si="101"/>
        <v>0</v>
      </c>
      <c r="AV122" s="576">
        <f t="shared" si="101"/>
        <v>0</v>
      </c>
      <c r="AW122" s="576">
        <f t="shared" si="101"/>
        <v>0</v>
      </c>
      <c r="AX122" s="576">
        <f t="shared" si="101"/>
        <v>0</v>
      </c>
      <c r="AY122" s="576">
        <f t="shared" si="101"/>
        <v>0</v>
      </c>
      <c r="AZ122" s="576">
        <f t="shared" si="101"/>
        <v>0</v>
      </c>
      <c r="BA122" s="576">
        <f t="shared" si="101"/>
        <v>0</v>
      </c>
      <c r="BB122" s="576">
        <f t="shared" si="101"/>
        <v>0</v>
      </c>
      <c r="BC122" s="576">
        <f t="shared" si="101"/>
        <v>0</v>
      </c>
      <c r="BD122" s="576">
        <f t="shared" si="101"/>
        <v>0</v>
      </c>
      <c r="BE122" s="576">
        <f t="shared" si="101"/>
        <v>0</v>
      </c>
      <c r="BF122" s="576">
        <f t="shared" si="101"/>
        <v>0</v>
      </c>
      <c r="BG122" s="576">
        <f t="shared" si="101"/>
        <v>0</v>
      </c>
      <c r="BH122" s="576">
        <f t="shared" si="101"/>
        <v>0</v>
      </c>
      <c r="BI122" s="576">
        <f t="shared" si="101"/>
        <v>0</v>
      </c>
      <c r="BJ122" s="576">
        <f t="shared" si="101"/>
        <v>0</v>
      </c>
      <c r="BK122" s="576">
        <f t="shared" si="101"/>
        <v>0</v>
      </c>
      <c r="BL122" s="576">
        <f t="shared" si="101"/>
        <v>0</v>
      </c>
      <c r="BM122" s="576">
        <f t="shared" si="101"/>
        <v>0</v>
      </c>
      <c r="BN122" s="576">
        <f t="shared" si="101"/>
        <v>0</v>
      </c>
      <c r="BO122" s="576">
        <f t="shared" si="101"/>
        <v>0</v>
      </c>
      <c r="BP122" s="576">
        <f t="shared" si="101"/>
        <v>0</v>
      </c>
      <c r="BQ122" s="576">
        <f t="shared" si="101"/>
        <v>0</v>
      </c>
      <c r="BR122" s="576">
        <f t="shared" si="101"/>
        <v>0</v>
      </c>
      <c r="BS122" s="576">
        <f t="shared" si="101"/>
        <v>0</v>
      </c>
      <c r="BT122" s="576">
        <f t="shared" si="101"/>
        <v>0</v>
      </c>
      <c r="BU122" s="576">
        <f t="shared" si="101"/>
        <v>0</v>
      </c>
      <c r="BV122" s="576">
        <f t="shared" si="101"/>
        <v>0</v>
      </c>
      <c r="BW122" s="576">
        <f t="shared" si="101"/>
        <v>500000000</v>
      </c>
      <c r="BX122" s="576">
        <f t="shared" si="101"/>
        <v>0</v>
      </c>
      <c r="BY122" s="576">
        <f t="shared" si="101"/>
        <v>0</v>
      </c>
      <c r="BZ122" s="576">
        <f>+BZ121</f>
        <v>500000000</v>
      </c>
      <c r="CA122" s="576">
        <f t="shared" ref="CA122:CB124" si="102">+CA121</f>
        <v>0</v>
      </c>
      <c r="CB122" s="576">
        <f t="shared" si="102"/>
        <v>0</v>
      </c>
    </row>
    <row r="123" spans="1:80" s="11" customFormat="1" x14ac:dyDescent="0.2">
      <c r="A123" s="81"/>
      <c r="B123" s="81"/>
      <c r="C123" s="81"/>
      <c r="D123" s="81"/>
      <c r="E123" s="81"/>
      <c r="F123" s="81"/>
      <c r="G123" s="81"/>
      <c r="H123" s="81"/>
      <c r="I123" s="81"/>
      <c r="J123" s="81"/>
      <c r="K123" s="81"/>
      <c r="L123" s="81"/>
      <c r="M123" s="81"/>
      <c r="N123" s="81"/>
      <c r="O123" s="82"/>
      <c r="P123" s="81"/>
      <c r="Q123" s="81"/>
      <c r="R123" s="577">
        <f t="shared" si="101"/>
        <v>0</v>
      </c>
      <c r="S123" s="577">
        <f t="shared" si="101"/>
        <v>0</v>
      </c>
      <c r="T123" s="577">
        <f t="shared" si="101"/>
        <v>0</v>
      </c>
      <c r="U123" s="577">
        <f t="shared" si="101"/>
        <v>0</v>
      </c>
      <c r="V123" s="577">
        <f t="shared" si="101"/>
        <v>0</v>
      </c>
      <c r="W123" s="577">
        <f t="shared" si="101"/>
        <v>0</v>
      </c>
      <c r="X123" s="577">
        <f t="shared" si="101"/>
        <v>0</v>
      </c>
      <c r="Y123" s="577">
        <f t="shared" si="101"/>
        <v>0</v>
      </c>
      <c r="Z123" s="577">
        <f t="shared" si="101"/>
        <v>0</v>
      </c>
      <c r="AA123" s="577">
        <f t="shared" si="101"/>
        <v>0</v>
      </c>
      <c r="AB123" s="577">
        <f t="shared" si="101"/>
        <v>0</v>
      </c>
      <c r="AC123" s="577">
        <f t="shared" si="101"/>
        <v>0</v>
      </c>
      <c r="AD123" s="577">
        <f t="shared" si="101"/>
        <v>0</v>
      </c>
      <c r="AE123" s="577">
        <f t="shared" si="101"/>
        <v>0</v>
      </c>
      <c r="AF123" s="577">
        <f t="shared" si="101"/>
        <v>0</v>
      </c>
      <c r="AG123" s="577">
        <f t="shared" si="101"/>
        <v>0</v>
      </c>
      <c r="AH123" s="577">
        <f t="shared" si="101"/>
        <v>0</v>
      </c>
      <c r="AI123" s="577">
        <f t="shared" si="101"/>
        <v>0</v>
      </c>
      <c r="AJ123" s="577">
        <f t="shared" si="101"/>
        <v>0</v>
      </c>
      <c r="AK123" s="577">
        <f t="shared" si="101"/>
        <v>0</v>
      </c>
      <c r="AL123" s="577">
        <f t="shared" si="101"/>
        <v>0</v>
      </c>
      <c r="AM123" s="577">
        <f t="shared" si="101"/>
        <v>0</v>
      </c>
      <c r="AN123" s="577">
        <f t="shared" si="101"/>
        <v>0</v>
      </c>
      <c r="AO123" s="577">
        <f t="shared" si="101"/>
        <v>0</v>
      </c>
      <c r="AP123" s="577">
        <f t="shared" si="101"/>
        <v>0</v>
      </c>
      <c r="AQ123" s="577">
        <f t="shared" si="101"/>
        <v>0</v>
      </c>
      <c r="AR123" s="577">
        <f t="shared" si="101"/>
        <v>0</v>
      </c>
      <c r="AS123" s="577">
        <f t="shared" si="101"/>
        <v>0</v>
      </c>
      <c r="AT123" s="577">
        <f t="shared" si="101"/>
        <v>0</v>
      </c>
      <c r="AU123" s="577">
        <f t="shared" si="101"/>
        <v>0</v>
      </c>
      <c r="AV123" s="577">
        <f t="shared" si="101"/>
        <v>0</v>
      </c>
      <c r="AW123" s="577">
        <f t="shared" si="101"/>
        <v>0</v>
      </c>
      <c r="AX123" s="577">
        <f t="shared" si="101"/>
        <v>0</v>
      </c>
      <c r="AY123" s="577">
        <f t="shared" si="101"/>
        <v>0</v>
      </c>
      <c r="AZ123" s="577">
        <f t="shared" si="101"/>
        <v>0</v>
      </c>
      <c r="BA123" s="577">
        <f t="shared" si="101"/>
        <v>0</v>
      </c>
      <c r="BB123" s="577">
        <f t="shared" si="101"/>
        <v>0</v>
      </c>
      <c r="BC123" s="577">
        <f t="shared" si="101"/>
        <v>0</v>
      </c>
      <c r="BD123" s="577">
        <f t="shared" si="101"/>
        <v>0</v>
      </c>
      <c r="BE123" s="577">
        <f t="shared" si="101"/>
        <v>0</v>
      </c>
      <c r="BF123" s="577">
        <f t="shared" si="101"/>
        <v>0</v>
      </c>
      <c r="BG123" s="577">
        <f t="shared" si="101"/>
        <v>0</v>
      </c>
      <c r="BH123" s="577">
        <f t="shared" si="101"/>
        <v>0</v>
      </c>
      <c r="BI123" s="577">
        <f t="shared" si="101"/>
        <v>0</v>
      </c>
      <c r="BJ123" s="577">
        <f t="shared" si="101"/>
        <v>0</v>
      </c>
      <c r="BK123" s="577">
        <f t="shared" si="101"/>
        <v>0</v>
      </c>
      <c r="BL123" s="577">
        <f t="shared" si="101"/>
        <v>0</v>
      </c>
      <c r="BM123" s="577">
        <f t="shared" si="101"/>
        <v>0</v>
      </c>
      <c r="BN123" s="577">
        <f t="shared" si="101"/>
        <v>0</v>
      </c>
      <c r="BO123" s="577">
        <f t="shared" si="101"/>
        <v>0</v>
      </c>
      <c r="BP123" s="577">
        <f t="shared" si="101"/>
        <v>0</v>
      </c>
      <c r="BQ123" s="577">
        <f t="shared" si="101"/>
        <v>0</v>
      </c>
      <c r="BR123" s="577">
        <f t="shared" si="101"/>
        <v>0</v>
      </c>
      <c r="BS123" s="577">
        <f t="shared" si="101"/>
        <v>0</v>
      </c>
      <c r="BT123" s="577">
        <f t="shared" si="101"/>
        <v>0</v>
      </c>
      <c r="BU123" s="577">
        <f t="shared" si="101"/>
        <v>0</v>
      </c>
      <c r="BV123" s="577">
        <f t="shared" si="101"/>
        <v>0</v>
      </c>
      <c r="BW123" s="577">
        <f t="shared" si="101"/>
        <v>500000000</v>
      </c>
      <c r="BX123" s="577">
        <f t="shared" si="101"/>
        <v>0</v>
      </c>
      <c r="BY123" s="577">
        <f t="shared" si="101"/>
        <v>0</v>
      </c>
      <c r="BZ123" s="577">
        <f>+BZ122</f>
        <v>500000000</v>
      </c>
      <c r="CA123" s="577">
        <f t="shared" si="102"/>
        <v>0</v>
      </c>
      <c r="CB123" s="577">
        <f t="shared" si="102"/>
        <v>0</v>
      </c>
    </row>
    <row r="124" spans="1:80" s="459" customFormat="1" x14ac:dyDescent="0.2">
      <c r="A124" s="84"/>
      <c r="B124" s="84"/>
      <c r="C124" s="84"/>
      <c r="D124" s="84"/>
      <c r="E124" s="84"/>
      <c r="F124" s="84"/>
      <c r="G124" s="84"/>
      <c r="H124" s="84"/>
      <c r="I124" s="84"/>
      <c r="J124" s="84"/>
      <c r="K124" s="84"/>
      <c r="L124" s="84"/>
      <c r="M124" s="84"/>
      <c r="N124" s="181"/>
      <c r="O124" s="85"/>
      <c r="P124" s="84"/>
      <c r="Q124" s="85"/>
      <c r="R124" s="560">
        <f t="shared" si="101"/>
        <v>0</v>
      </c>
      <c r="S124" s="560">
        <f t="shared" si="101"/>
        <v>0</v>
      </c>
      <c r="T124" s="560">
        <f t="shared" si="101"/>
        <v>0</v>
      </c>
      <c r="U124" s="560">
        <f t="shared" si="101"/>
        <v>0</v>
      </c>
      <c r="V124" s="560">
        <f t="shared" si="101"/>
        <v>0</v>
      </c>
      <c r="W124" s="560">
        <f t="shared" si="101"/>
        <v>0</v>
      </c>
      <c r="X124" s="560">
        <f t="shared" si="101"/>
        <v>0</v>
      </c>
      <c r="Y124" s="560">
        <f t="shared" si="101"/>
        <v>0</v>
      </c>
      <c r="Z124" s="560">
        <f t="shared" si="101"/>
        <v>0</v>
      </c>
      <c r="AA124" s="560">
        <f t="shared" si="101"/>
        <v>0</v>
      </c>
      <c r="AB124" s="560">
        <f t="shared" si="101"/>
        <v>0</v>
      </c>
      <c r="AC124" s="560">
        <f t="shared" si="101"/>
        <v>0</v>
      </c>
      <c r="AD124" s="560">
        <f t="shared" si="101"/>
        <v>0</v>
      </c>
      <c r="AE124" s="560">
        <f t="shared" si="101"/>
        <v>0</v>
      </c>
      <c r="AF124" s="560">
        <f t="shared" si="101"/>
        <v>0</v>
      </c>
      <c r="AG124" s="560">
        <f t="shared" si="101"/>
        <v>0</v>
      </c>
      <c r="AH124" s="560">
        <f t="shared" si="101"/>
        <v>0</v>
      </c>
      <c r="AI124" s="560">
        <f t="shared" si="101"/>
        <v>0</v>
      </c>
      <c r="AJ124" s="560">
        <f t="shared" si="101"/>
        <v>0</v>
      </c>
      <c r="AK124" s="560">
        <f t="shared" si="101"/>
        <v>0</v>
      </c>
      <c r="AL124" s="560">
        <f t="shared" si="101"/>
        <v>0</v>
      </c>
      <c r="AM124" s="560">
        <f t="shared" si="101"/>
        <v>0</v>
      </c>
      <c r="AN124" s="560">
        <f t="shared" si="101"/>
        <v>0</v>
      </c>
      <c r="AO124" s="560">
        <f t="shared" si="101"/>
        <v>0</v>
      </c>
      <c r="AP124" s="560">
        <f t="shared" si="101"/>
        <v>0</v>
      </c>
      <c r="AQ124" s="560">
        <f t="shared" si="101"/>
        <v>0</v>
      </c>
      <c r="AR124" s="560">
        <f t="shared" si="101"/>
        <v>0</v>
      </c>
      <c r="AS124" s="560">
        <f t="shared" si="101"/>
        <v>0</v>
      </c>
      <c r="AT124" s="560">
        <f t="shared" si="101"/>
        <v>0</v>
      </c>
      <c r="AU124" s="560">
        <f t="shared" si="101"/>
        <v>0</v>
      </c>
      <c r="AV124" s="560">
        <f t="shared" si="101"/>
        <v>0</v>
      </c>
      <c r="AW124" s="560">
        <f t="shared" si="101"/>
        <v>0</v>
      </c>
      <c r="AX124" s="560">
        <f t="shared" si="101"/>
        <v>0</v>
      </c>
      <c r="AY124" s="560">
        <f t="shared" si="101"/>
        <v>0</v>
      </c>
      <c r="AZ124" s="560">
        <f t="shared" si="101"/>
        <v>0</v>
      </c>
      <c r="BA124" s="560">
        <f t="shared" si="101"/>
        <v>0</v>
      </c>
      <c r="BB124" s="560">
        <f t="shared" si="101"/>
        <v>0</v>
      </c>
      <c r="BC124" s="560">
        <f t="shared" si="101"/>
        <v>0</v>
      </c>
      <c r="BD124" s="560">
        <f t="shared" si="101"/>
        <v>0</v>
      </c>
      <c r="BE124" s="560">
        <f t="shared" si="101"/>
        <v>0</v>
      </c>
      <c r="BF124" s="560">
        <f t="shared" si="101"/>
        <v>0</v>
      </c>
      <c r="BG124" s="560">
        <f t="shared" si="101"/>
        <v>0</v>
      </c>
      <c r="BH124" s="560">
        <f t="shared" si="101"/>
        <v>0</v>
      </c>
      <c r="BI124" s="560">
        <f t="shared" si="101"/>
        <v>0</v>
      </c>
      <c r="BJ124" s="560">
        <f t="shared" si="101"/>
        <v>0</v>
      </c>
      <c r="BK124" s="560">
        <f t="shared" si="101"/>
        <v>0</v>
      </c>
      <c r="BL124" s="560">
        <f t="shared" si="101"/>
        <v>0</v>
      </c>
      <c r="BM124" s="560">
        <f t="shared" si="101"/>
        <v>0</v>
      </c>
      <c r="BN124" s="560">
        <f t="shared" si="101"/>
        <v>0</v>
      </c>
      <c r="BO124" s="560">
        <f t="shared" si="101"/>
        <v>0</v>
      </c>
      <c r="BP124" s="560">
        <f t="shared" si="101"/>
        <v>0</v>
      </c>
      <c r="BQ124" s="560">
        <f t="shared" si="101"/>
        <v>0</v>
      </c>
      <c r="BR124" s="560">
        <f t="shared" si="101"/>
        <v>0</v>
      </c>
      <c r="BS124" s="560">
        <f t="shared" si="101"/>
        <v>0</v>
      </c>
      <c r="BT124" s="560">
        <f t="shared" si="101"/>
        <v>0</v>
      </c>
      <c r="BU124" s="560">
        <f t="shared" si="101"/>
        <v>0</v>
      </c>
      <c r="BV124" s="560">
        <f t="shared" si="101"/>
        <v>0</v>
      </c>
      <c r="BW124" s="560">
        <f t="shared" si="101"/>
        <v>500000000</v>
      </c>
      <c r="BX124" s="560">
        <f t="shared" si="101"/>
        <v>0</v>
      </c>
      <c r="BY124" s="560">
        <f t="shared" si="101"/>
        <v>0</v>
      </c>
      <c r="BZ124" s="560">
        <f>+BZ123</f>
        <v>500000000</v>
      </c>
      <c r="CA124" s="560">
        <f t="shared" si="102"/>
        <v>0</v>
      </c>
      <c r="CB124" s="560">
        <f t="shared" si="102"/>
        <v>0</v>
      </c>
    </row>
    <row r="125" spans="1:80" s="459" customFormat="1" x14ac:dyDescent="0.2">
      <c r="A125" s="87"/>
      <c r="B125" s="87"/>
      <c r="C125" s="87"/>
      <c r="D125" s="87"/>
      <c r="E125" s="87"/>
      <c r="F125" s="87"/>
      <c r="G125" s="87"/>
      <c r="H125" s="87"/>
      <c r="I125" s="87"/>
      <c r="J125" s="87"/>
      <c r="K125" s="204"/>
      <c r="L125" s="204"/>
      <c r="M125" s="87"/>
      <c r="N125" s="205"/>
      <c r="O125" s="88"/>
      <c r="P125" s="87"/>
      <c r="Q125" s="88"/>
      <c r="R125" s="561">
        <f t="shared" ref="R125:BY125" si="103">+R124+R116+R103</f>
        <v>0</v>
      </c>
      <c r="S125" s="561">
        <f t="shared" si="103"/>
        <v>0</v>
      </c>
      <c r="T125" s="561">
        <f t="shared" si="103"/>
        <v>0</v>
      </c>
      <c r="U125" s="561">
        <f t="shared" si="103"/>
        <v>0</v>
      </c>
      <c r="V125" s="561">
        <f t="shared" si="103"/>
        <v>0</v>
      </c>
      <c r="W125" s="561">
        <f t="shared" si="103"/>
        <v>0</v>
      </c>
      <c r="X125" s="561">
        <f t="shared" si="103"/>
        <v>10961840365</v>
      </c>
      <c r="Y125" s="561">
        <f t="shared" si="103"/>
        <v>2681346078.23</v>
      </c>
      <c r="Z125" s="561">
        <f t="shared" si="103"/>
        <v>245211321.78999999</v>
      </c>
      <c r="AA125" s="561">
        <f t="shared" si="103"/>
        <v>0</v>
      </c>
      <c r="AB125" s="561">
        <f t="shared" si="103"/>
        <v>0</v>
      </c>
      <c r="AC125" s="561">
        <f t="shared" si="103"/>
        <v>0</v>
      </c>
      <c r="AD125" s="561">
        <f t="shared" si="103"/>
        <v>0</v>
      </c>
      <c r="AE125" s="561">
        <f t="shared" si="103"/>
        <v>0</v>
      </c>
      <c r="AF125" s="561">
        <f t="shared" si="103"/>
        <v>0</v>
      </c>
      <c r="AG125" s="561">
        <f t="shared" si="103"/>
        <v>893940463</v>
      </c>
      <c r="AH125" s="561">
        <f t="shared" si="103"/>
        <v>548361612</v>
      </c>
      <c r="AI125" s="561">
        <f t="shared" si="103"/>
        <v>168756538</v>
      </c>
      <c r="AJ125" s="561">
        <f t="shared" si="103"/>
        <v>0</v>
      </c>
      <c r="AK125" s="561">
        <f t="shared" si="103"/>
        <v>0</v>
      </c>
      <c r="AL125" s="561">
        <f t="shared" si="103"/>
        <v>0</v>
      </c>
      <c r="AM125" s="561">
        <f t="shared" si="103"/>
        <v>0</v>
      </c>
      <c r="AN125" s="561">
        <f t="shared" si="103"/>
        <v>0</v>
      </c>
      <c r="AO125" s="561">
        <f t="shared" si="103"/>
        <v>0</v>
      </c>
      <c r="AP125" s="561">
        <f t="shared" si="103"/>
        <v>0</v>
      </c>
      <c r="AQ125" s="561">
        <f t="shared" si="103"/>
        <v>0</v>
      </c>
      <c r="AR125" s="561">
        <f t="shared" si="103"/>
        <v>0</v>
      </c>
      <c r="AS125" s="561">
        <f t="shared" si="103"/>
        <v>0</v>
      </c>
      <c r="AT125" s="561">
        <f t="shared" si="103"/>
        <v>0</v>
      </c>
      <c r="AU125" s="561">
        <f t="shared" si="103"/>
        <v>0</v>
      </c>
      <c r="AV125" s="561">
        <f t="shared" si="103"/>
        <v>0</v>
      </c>
      <c r="AW125" s="561">
        <f t="shared" si="103"/>
        <v>0</v>
      </c>
      <c r="AX125" s="561">
        <f t="shared" si="103"/>
        <v>0</v>
      </c>
      <c r="AY125" s="561">
        <f t="shared" si="103"/>
        <v>0</v>
      </c>
      <c r="AZ125" s="561">
        <f t="shared" si="103"/>
        <v>0</v>
      </c>
      <c r="BA125" s="561">
        <f t="shared" si="103"/>
        <v>0</v>
      </c>
      <c r="BB125" s="561">
        <f t="shared" si="103"/>
        <v>0</v>
      </c>
      <c r="BC125" s="561">
        <f t="shared" si="103"/>
        <v>0</v>
      </c>
      <c r="BD125" s="561">
        <f t="shared" si="103"/>
        <v>0</v>
      </c>
      <c r="BE125" s="561">
        <f t="shared" si="103"/>
        <v>0</v>
      </c>
      <c r="BF125" s="561">
        <f t="shared" si="103"/>
        <v>0</v>
      </c>
      <c r="BG125" s="561">
        <f t="shared" si="103"/>
        <v>0</v>
      </c>
      <c r="BH125" s="561">
        <f t="shared" si="103"/>
        <v>2398473229</v>
      </c>
      <c r="BI125" s="561">
        <f t="shared" si="103"/>
        <v>0</v>
      </c>
      <c r="BJ125" s="561">
        <f t="shared" si="103"/>
        <v>0</v>
      </c>
      <c r="BK125" s="561">
        <f t="shared" si="103"/>
        <v>1405839592</v>
      </c>
      <c r="BL125" s="561">
        <f t="shared" si="103"/>
        <v>169254775</v>
      </c>
      <c r="BM125" s="561">
        <f t="shared" si="103"/>
        <v>35824555</v>
      </c>
      <c r="BN125" s="561">
        <f t="shared" si="103"/>
        <v>0</v>
      </c>
      <c r="BO125" s="561">
        <f t="shared" si="103"/>
        <v>0</v>
      </c>
      <c r="BP125" s="561">
        <f t="shared" si="103"/>
        <v>0</v>
      </c>
      <c r="BQ125" s="561">
        <f t="shared" si="103"/>
        <v>0</v>
      </c>
      <c r="BR125" s="561">
        <f t="shared" si="103"/>
        <v>0</v>
      </c>
      <c r="BS125" s="561">
        <f t="shared" si="103"/>
        <v>0</v>
      </c>
      <c r="BT125" s="561">
        <f t="shared" si="103"/>
        <v>19000000000</v>
      </c>
      <c r="BU125" s="561">
        <f t="shared" si="103"/>
        <v>0</v>
      </c>
      <c r="BV125" s="561">
        <f t="shared" si="103"/>
        <v>0</v>
      </c>
      <c r="BW125" s="561">
        <f t="shared" si="103"/>
        <v>1111890318</v>
      </c>
      <c r="BX125" s="561">
        <f t="shared" si="103"/>
        <v>0</v>
      </c>
      <c r="BY125" s="561">
        <f t="shared" si="103"/>
        <v>0</v>
      </c>
      <c r="BZ125" s="561">
        <f>+BZ124+BZ116+BZ103</f>
        <v>35771983967</v>
      </c>
      <c r="CA125" s="561">
        <f t="shared" ref="CA125:CB125" si="104">+CA124+CA116+CA103</f>
        <v>3398962465.23</v>
      </c>
      <c r="CB125" s="561">
        <f t="shared" si="104"/>
        <v>449792414.78999996</v>
      </c>
    </row>
    <row r="126" spans="1:80" s="11" customFormat="1" x14ac:dyDescent="0.2">
      <c r="A126" s="90"/>
      <c r="B126" s="91"/>
      <c r="C126" s="92"/>
      <c r="D126" s="124"/>
      <c r="E126" s="92"/>
      <c r="F126" s="92"/>
      <c r="G126" s="91"/>
      <c r="H126" s="92"/>
      <c r="I126" s="91"/>
      <c r="J126" s="183"/>
      <c r="K126" s="183"/>
      <c r="L126" s="183"/>
      <c r="M126" s="183"/>
      <c r="N126" s="183"/>
      <c r="O126" s="500"/>
      <c r="P126" s="91"/>
      <c r="Q126" s="92"/>
      <c r="R126" s="543"/>
      <c r="S126" s="543"/>
      <c r="T126" s="543"/>
      <c r="U126" s="544"/>
      <c r="V126" s="544"/>
      <c r="W126" s="544"/>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3"/>
      <c r="AY126" s="544"/>
      <c r="AZ126" s="544"/>
      <c r="BA126" s="544"/>
      <c r="BB126" s="544"/>
      <c r="BC126" s="544"/>
      <c r="BD126" s="544"/>
      <c r="BE126" s="543"/>
      <c r="BF126" s="543"/>
      <c r="BG126" s="543"/>
      <c r="BH126" s="543"/>
      <c r="BI126" s="543"/>
      <c r="BJ126" s="543"/>
      <c r="BK126" s="545"/>
      <c r="BL126" s="545"/>
      <c r="BM126" s="545"/>
      <c r="BN126" s="543"/>
      <c r="BO126" s="543"/>
      <c r="BP126" s="543"/>
      <c r="BQ126" s="543"/>
      <c r="BR126" s="543"/>
      <c r="BS126" s="543"/>
      <c r="BT126" s="543"/>
      <c r="BU126" s="543"/>
      <c r="BV126" s="543"/>
      <c r="BW126" s="544"/>
      <c r="BX126" s="544"/>
      <c r="BY126" s="544"/>
      <c r="BZ126" s="543"/>
      <c r="CA126" s="543"/>
      <c r="CB126" s="543"/>
    </row>
    <row r="127" spans="1:80" s="459" customFormat="1" ht="15.75" x14ac:dyDescent="0.2">
      <c r="A127" s="41" t="s">
        <v>177</v>
      </c>
      <c r="B127" s="42"/>
      <c r="C127" s="43"/>
      <c r="D127" s="148"/>
      <c r="E127" s="42"/>
      <c r="F127" s="42"/>
      <c r="G127" s="42"/>
      <c r="H127" s="43"/>
      <c r="I127" s="42"/>
      <c r="J127" s="42"/>
      <c r="K127" s="42"/>
      <c r="L127" s="42"/>
      <c r="M127" s="42"/>
      <c r="N127" s="42"/>
      <c r="O127" s="43"/>
      <c r="P127" s="42"/>
      <c r="Q127" s="43"/>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7"/>
      <c r="AY127" s="617"/>
      <c r="AZ127" s="617"/>
      <c r="BA127" s="617"/>
      <c r="BB127" s="617"/>
      <c r="BC127" s="617"/>
      <c r="BD127" s="617"/>
      <c r="BE127" s="617"/>
      <c r="BF127" s="617"/>
      <c r="BG127" s="617"/>
      <c r="BH127" s="617"/>
      <c r="BI127" s="617"/>
      <c r="BJ127" s="617"/>
      <c r="BK127" s="618"/>
      <c r="BL127" s="618"/>
      <c r="BM127" s="618"/>
      <c r="BN127" s="619"/>
      <c r="BO127" s="619"/>
      <c r="BP127" s="619"/>
      <c r="BQ127" s="617"/>
      <c r="BR127" s="617"/>
      <c r="BS127" s="617"/>
      <c r="BT127" s="617"/>
      <c r="BU127" s="617"/>
      <c r="BV127" s="617"/>
      <c r="BW127" s="617"/>
      <c r="BX127" s="617"/>
      <c r="BY127" s="617"/>
      <c r="BZ127" s="617" t="s">
        <v>62</v>
      </c>
      <c r="CA127" s="617" t="s">
        <v>62</v>
      </c>
      <c r="CB127" s="617" t="s">
        <v>62</v>
      </c>
    </row>
    <row r="128" spans="1:80" s="459" customFormat="1" ht="15.75" x14ac:dyDescent="0.2">
      <c r="A128" s="44">
        <v>4</v>
      </c>
      <c r="B128" s="45" t="s">
        <v>178</v>
      </c>
      <c r="C128" s="46"/>
      <c r="D128" s="45"/>
      <c r="E128" s="45"/>
      <c r="F128" s="45"/>
      <c r="G128" s="45"/>
      <c r="H128" s="46"/>
      <c r="I128" s="45"/>
      <c r="J128" s="45"/>
      <c r="K128" s="45"/>
      <c r="L128" s="45"/>
      <c r="M128" s="45"/>
      <c r="N128" s="45"/>
      <c r="O128" s="46"/>
      <c r="P128" s="45"/>
      <c r="Q128" s="45"/>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2"/>
      <c r="AY128" s="572"/>
      <c r="AZ128" s="572"/>
      <c r="BA128" s="572"/>
      <c r="BB128" s="572"/>
      <c r="BC128" s="572"/>
      <c r="BD128" s="572"/>
      <c r="BE128" s="572"/>
      <c r="BF128" s="572"/>
      <c r="BG128" s="572"/>
      <c r="BH128" s="572"/>
      <c r="BI128" s="572"/>
      <c r="BJ128" s="572"/>
      <c r="BK128" s="573"/>
      <c r="BL128" s="573"/>
      <c r="BM128" s="573"/>
      <c r="BN128" s="572"/>
      <c r="BO128" s="572"/>
      <c r="BP128" s="572"/>
      <c r="BQ128" s="572"/>
      <c r="BR128" s="572"/>
      <c r="BS128" s="572"/>
      <c r="BT128" s="572"/>
      <c r="BU128" s="572"/>
      <c r="BV128" s="572"/>
      <c r="BW128" s="572"/>
      <c r="BX128" s="572"/>
      <c r="BY128" s="572"/>
      <c r="BZ128" s="572"/>
      <c r="CA128" s="572"/>
      <c r="CB128" s="572"/>
    </row>
    <row r="129" spans="1:80" s="459" customFormat="1" ht="15.75" x14ac:dyDescent="0.2">
      <c r="A129" s="96"/>
      <c r="B129" s="185">
        <v>23</v>
      </c>
      <c r="C129" s="51" t="s">
        <v>179</v>
      </c>
      <c r="D129" s="50"/>
      <c r="E129" s="50"/>
      <c r="F129" s="50"/>
      <c r="G129" s="50"/>
      <c r="H129" s="51"/>
      <c r="I129" s="50"/>
      <c r="J129" s="50"/>
      <c r="K129" s="50"/>
      <c r="L129" s="50"/>
      <c r="M129" s="50"/>
      <c r="N129" s="50"/>
      <c r="O129" s="51"/>
      <c r="P129" s="50"/>
      <c r="Q129" s="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0"/>
      <c r="AY129" s="550"/>
      <c r="AZ129" s="550"/>
      <c r="BA129" s="550"/>
      <c r="BB129" s="550"/>
      <c r="BC129" s="550"/>
      <c r="BD129" s="550"/>
      <c r="BE129" s="550"/>
      <c r="BF129" s="550"/>
      <c r="BG129" s="550"/>
      <c r="BH129" s="550"/>
      <c r="BI129" s="550"/>
      <c r="BJ129" s="550"/>
      <c r="BK129" s="551"/>
      <c r="BL129" s="551"/>
      <c r="BM129" s="551"/>
      <c r="BN129" s="550"/>
      <c r="BO129" s="550"/>
      <c r="BP129" s="550"/>
      <c r="BQ129" s="550"/>
      <c r="BR129" s="550"/>
      <c r="BS129" s="550"/>
      <c r="BT129" s="550"/>
      <c r="BU129" s="550"/>
      <c r="BV129" s="550"/>
      <c r="BW129" s="550"/>
      <c r="BX129" s="550"/>
      <c r="BY129" s="550"/>
      <c r="BZ129" s="550"/>
      <c r="CA129" s="550"/>
      <c r="CB129" s="550"/>
    </row>
    <row r="130" spans="1:80" s="459" customFormat="1" ht="16.5" thickBot="1" x14ac:dyDescent="0.25">
      <c r="A130" s="54"/>
      <c r="B130" s="96"/>
      <c r="C130" s="36"/>
      <c r="D130" s="96"/>
      <c r="E130" s="96"/>
      <c r="F130" s="96"/>
      <c r="G130" s="98">
        <v>75</v>
      </c>
      <c r="H130" s="100" t="s">
        <v>180</v>
      </c>
      <c r="I130" s="100"/>
      <c r="J130" s="100"/>
      <c r="K130" s="100"/>
      <c r="L130" s="100"/>
      <c r="M130" s="100"/>
      <c r="N130" s="100"/>
      <c r="O130" s="212"/>
      <c r="P130" s="100"/>
      <c r="Q130" s="100"/>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c r="BI130" s="336"/>
      <c r="BJ130" s="336"/>
      <c r="BK130" s="552"/>
      <c r="BL130" s="552"/>
      <c r="BM130" s="552"/>
      <c r="BN130" s="336"/>
      <c r="BO130" s="336"/>
      <c r="BP130" s="336"/>
      <c r="BQ130" s="336"/>
      <c r="BR130" s="336"/>
      <c r="BS130" s="336"/>
      <c r="BT130" s="336"/>
      <c r="BU130" s="336"/>
      <c r="BV130" s="336"/>
      <c r="BW130" s="336"/>
      <c r="BX130" s="336"/>
      <c r="BY130" s="336"/>
      <c r="BZ130" s="336"/>
      <c r="CA130" s="336"/>
      <c r="CB130" s="336"/>
    </row>
    <row r="131" spans="1:80" s="11" customFormat="1" ht="104.25" customHeight="1" x14ac:dyDescent="0.2">
      <c r="A131" s="54"/>
      <c r="B131" s="54"/>
      <c r="C131" s="857">
        <v>10</v>
      </c>
      <c r="D131" s="854" t="s">
        <v>181</v>
      </c>
      <c r="E131" s="857" t="s">
        <v>182</v>
      </c>
      <c r="F131" s="857" t="s">
        <v>183</v>
      </c>
      <c r="G131" s="58"/>
      <c r="H131" s="57">
        <v>214</v>
      </c>
      <c r="I131" s="56" t="s">
        <v>184</v>
      </c>
      <c r="J131" s="59" t="s">
        <v>42</v>
      </c>
      <c r="K131" s="206">
        <v>3</v>
      </c>
      <c r="L131" s="60">
        <v>0</v>
      </c>
      <c r="M131" s="850">
        <v>2017003630010</v>
      </c>
      <c r="N131" s="873" t="s">
        <v>185</v>
      </c>
      <c r="O131" s="856" t="s">
        <v>186</v>
      </c>
      <c r="P131" s="853" t="s">
        <v>187</v>
      </c>
      <c r="Q131" s="207" t="s">
        <v>67</v>
      </c>
      <c r="R131" s="539">
        <v>0</v>
      </c>
      <c r="S131" s="539"/>
      <c r="T131" s="539"/>
      <c r="U131" s="539">
        <v>0</v>
      </c>
      <c r="V131" s="539"/>
      <c r="W131" s="539"/>
      <c r="X131" s="539">
        <v>0</v>
      </c>
      <c r="Y131" s="564"/>
      <c r="Z131" s="564"/>
      <c r="AA131" s="578">
        <f>20000000</f>
        <v>20000000</v>
      </c>
      <c r="AB131" s="579"/>
      <c r="AC131" s="579"/>
      <c r="AD131" s="539">
        <v>0</v>
      </c>
      <c r="AE131" s="539"/>
      <c r="AF131" s="539"/>
      <c r="AG131" s="539">
        <v>0</v>
      </c>
      <c r="AH131" s="539"/>
      <c r="AI131" s="539"/>
      <c r="AJ131" s="539">
        <v>0</v>
      </c>
      <c r="AK131" s="539"/>
      <c r="AL131" s="539"/>
      <c r="AM131" s="539"/>
      <c r="AN131" s="539"/>
      <c r="AO131" s="539"/>
      <c r="AP131" s="539"/>
      <c r="AQ131" s="539"/>
      <c r="AR131" s="539"/>
      <c r="AS131" s="539">
        <v>0</v>
      </c>
      <c r="AT131" s="539"/>
      <c r="AU131" s="539"/>
      <c r="AV131" s="539">
        <v>0</v>
      </c>
      <c r="AW131" s="539"/>
      <c r="AX131" s="539"/>
      <c r="AY131" s="539"/>
      <c r="AZ131" s="539"/>
      <c r="BA131" s="539"/>
      <c r="BB131" s="539"/>
      <c r="BC131" s="539"/>
      <c r="BD131" s="539"/>
      <c r="BE131" s="539">
        <v>0</v>
      </c>
      <c r="BF131" s="539"/>
      <c r="BG131" s="539"/>
      <c r="BH131" s="539">
        <v>0</v>
      </c>
      <c r="BI131" s="539"/>
      <c r="BJ131" s="539"/>
      <c r="BK131" s="540">
        <f>22000000+8000000</f>
        <v>30000000</v>
      </c>
      <c r="BL131" s="540"/>
      <c r="BM131" s="540"/>
      <c r="BN131" s="553"/>
      <c r="BO131" s="553"/>
      <c r="BP131" s="553"/>
      <c r="BQ131" s="539">
        <v>0</v>
      </c>
      <c r="BR131" s="541"/>
      <c r="BS131" s="541"/>
      <c r="BT131" s="541"/>
      <c r="BU131" s="541"/>
      <c r="BV131" s="541"/>
      <c r="BW131" s="569">
        <v>0</v>
      </c>
      <c r="BX131" s="569"/>
      <c r="BY131" s="569"/>
      <c r="BZ131" s="539">
        <f t="shared" ref="BZ131:BZ135" si="105">R131+U131+X131+AA131+AD131+AG131+AJ131+AM131+AP131+AS131+AV131+AY131+BB131+BE131+BH131+BK131+BN131+BQ131+BT131+BW131</f>
        <v>50000000</v>
      </c>
      <c r="CA131" s="539">
        <f t="shared" ref="CA131:CA135" si="106">S131+V131+Y131+AB131+AE131+AH131+AK131+AN131+AQ131+AT131+AW131+AZ131+BC131+BF131+BI131+BL131+BO131+BR131+BU131+BX131</f>
        <v>0</v>
      </c>
      <c r="CB131" s="539">
        <f t="shared" ref="CB131:CB135" si="107">T131+W131+Z131+AC131+AF131+AI131+AL131+AO131+AR131+AU131+AX131+BA131+BD131+BG131+BJ131+BM131+BP131+BS131+BV131+BY131</f>
        <v>0</v>
      </c>
    </row>
    <row r="132" spans="1:80" s="11" customFormat="1" ht="69" customHeight="1" x14ac:dyDescent="0.2">
      <c r="A132" s="54"/>
      <c r="B132" s="54"/>
      <c r="C132" s="857"/>
      <c r="D132" s="854"/>
      <c r="E132" s="857"/>
      <c r="F132" s="857"/>
      <c r="G132" s="64"/>
      <c r="H132" s="57">
        <v>215</v>
      </c>
      <c r="I132" s="56" t="s">
        <v>188</v>
      </c>
      <c r="J132" s="59">
        <v>10</v>
      </c>
      <c r="K132" s="206">
        <v>3</v>
      </c>
      <c r="L132" s="60">
        <v>0</v>
      </c>
      <c r="M132" s="851"/>
      <c r="N132" s="874"/>
      <c r="O132" s="857"/>
      <c r="P132" s="854"/>
      <c r="Q132" s="208" t="s">
        <v>46</v>
      </c>
      <c r="R132" s="539">
        <v>0</v>
      </c>
      <c r="S132" s="539"/>
      <c r="T132" s="539"/>
      <c r="U132" s="539">
        <v>0</v>
      </c>
      <c r="V132" s="539"/>
      <c r="W132" s="539"/>
      <c r="X132" s="539">
        <v>0</v>
      </c>
      <c r="Y132" s="580"/>
      <c r="Z132" s="580"/>
      <c r="AA132" s="581">
        <v>70000000</v>
      </c>
      <c r="AB132" s="581"/>
      <c r="AC132" s="581"/>
      <c r="AD132" s="539">
        <v>0</v>
      </c>
      <c r="AE132" s="539"/>
      <c r="AF132" s="539"/>
      <c r="AG132" s="539">
        <v>0</v>
      </c>
      <c r="AH132" s="539"/>
      <c r="AI132" s="539"/>
      <c r="AJ132" s="539">
        <v>0</v>
      </c>
      <c r="AK132" s="539"/>
      <c r="AL132" s="539"/>
      <c r="AM132" s="539"/>
      <c r="AN132" s="539"/>
      <c r="AO132" s="539"/>
      <c r="AP132" s="539"/>
      <c r="AQ132" s="539"/>
      <c r="AR132" s="539"/>
      <c r="AS132" s="539">
        <v>0</v>
      </c>
      <c r="AT132" s="539"/>
      <c r="AU132" s="539"/>
      <c r="AV132" s="539">
        <v>0</v>
      </c>
      <c r="AW132" s="539"/>
      <c r="AX132" s="539"/>
      <c r="AY132" s="539"/>
      <c r="AZ132" s="539"/>
      <c r="BA132" s="539"/>
      <c r="BB132" s="539"/>
      <c r="BC132" s="539"/>
      <c r="BD132" s="539"/>
      <c r="BE132" s="539">
        <v>0</v>
      </c>
      <c r="BF132" s="539"/>
      <c r="BG132" s="539"/>
      <c r="BH132" s="539">
        <v>0</v>
      </c>
      <c r="BI132" s="539"/>
      <c r="BJ132" s="539"/>
      <c r="BK132" s="540"/>
      <c r="BL132" s="540"/>
      <c r="BM132" s="540"/>
      <c r="BN132" s="553"/>
      <c r="BO132" s="553"/>
      <c r="BP132" s="553"/>
      <c r="BQ132" s="539">
        <v>0</v>
      </c>
      <c r="BR132" s="539"/>
      <c r="BS132" s="539"/>
      <c r="BT132" s="539"/>
      <c r="BU132" s="539"/>
      <c r="BV132" s="539"/>
      <c r="BW132" s="539">
        <v>0</v>
      </c>
      <c r="BX132" s="539"/>
      <c r="BY132" s="539"/>
      <c r="BZ132" s="539">
        <f t="shared" si="105"/>
        <v>70000000</v>
      </c>
      <c r="CA132" s="539">
        <f t="shared" si="106"/>
        <v>0</v>
      </c>
      <c r="CB132" s="539">
        <f t="shared" si="107"/>
        <v>0</v>
      </c>
    </row>
    <row r="133" spans="1:80" s="11" customFormat="1" ht="91.5" customHeight="1" x14ac:dyDescent="0.2">
      <c r="A133" s="54"/>
      <c r="B133" s="54"/>
      <c r="C133" s="857"/>
      <c r="D133" s="855"/>
      <c r="E133" s="858"/>
      <c r="F133" s="858"/>
      <c r="G133" s="64"/>
      <c r="H133" s="57">
        <v>216</v>
      </c>
      <c r="I133" s="56" t="s">
        <v>189</v>
      </c>
      <c r="J133" s="131" t="s">
        <v>190</v>
      </c>
      <c r="K133" s="460">
        <v>2</v>
      </c>
      <c r="L133" s="132">
        <v>0</v>
      </c>
      <c r="M133" s="851"/>
      <c r="N133" s="874"/>
      <c r="O133" s="857"/>
      <c r="P133" s="854"/>
      <c r="Q133" s="208" t="s">
        <v>67</v>
      </c>
      <c r="R133" s="539">
        <v>0</v>
      </c>
      <c r="S133" s="539"/>
      <c r="T133" s="539"/>
      <c r="U133" s="539">
        <v>0</v>
      </c>
      <c r="V133" s="539"/>
      <c r="W133" s="539"/>
      <c r="X133" s="539">
        <v>0</v>
      </c>
      <c r="Y133" s="580"/>
      <c r="Z133" s="580"/>
      <c r="AA133" s="581">
        <f>150000000+635000000</f>
        <v>785000000</v>
      </c>
      <c r="AB133" s="581"/>
      <c r="AC133" s="581"/>
      <c r="AD133" s="539">
        <v>0</v>
      </c>
      <c r="AE133" s="539"/>
      <c r="AF133" s="539"/>
      <c r="AG133" s="539">
        <v>0</v>
      </c>
      <c r="AH133" s="539"/>
      <c r="AI133" s="539"/>
      <c r="AJ133" s="539">
        <v>0</v>
      </c>
      <c r="AK133" s="539"/>
      <c r="AL133" s="539"/>
      <c r="AM133" s="539"/>
      <c r="AN133" s="539"/>
      <c r="AO133" s="539"/>
      <c r="AP133" s="539"/>
      <c r="AQ133" s="539"/>
      <c r="AR133" s="539"/>
      <c r="AS133" s="539">
        <v>0</v>
      </c>
      <c r="AT133" s="539"/>
      <c r="AU133" s="539"/>
      <c r="AV133" s="539">
        <v>0</v>
      </c>
      <c r="AW133" s="539"/>
      <c r="AX133" s="539"/>
      <c r="AY133" s="539"/>
      <c r="AZ133" s="539"/>
      <c r="BA133" s="539"/>
      <c r="BB133" s="539"/>
      <c r="BC133" s="539"/>
      <c r="BD133" s="539"/>
      <c r="BE133" s="539">
        <v>0</v>
      </c>
      <c r="BF133" s="539"/>
      <c r="BG133" s="539"/>
      <c r="BH133" s="539">
        <v>0</v>
      </c>
      <c r="BI133" s="539"/>
      <c r="BJ133" s="539"/>
      <c r="BK133" s="540">
        <v>0</v>
      </c>
      <c r="BL133" s="540"/>
      <c r="BM133" s="540"/>
      <c r="BN133" s="553"/>
      <c r="BO133" s="553"/>
      <c r="BP133" s="553"/>
      <c r="BQ133" s="539">
        <v>0</v>
      </c>
      <c r="BR133" s="541"/>
      <c r="BS133" s="541"/>
      <c r="BT133" s="541"/>
      <c r="BU133" s="541"/>
      <c r="BV133" s="541"/>
      <c r="BW133" s="541">
        <v>0</v>
      </c>
      <c r="BX133" s="541"/>
      <c r="BY133" s="541"/>
      <c r="BZ133" s="539">
        <f t="shared" si="105"/>
        <v>785000000</v>
      </c>
      <c r="CA133" s="539">
        <f t="shared" si="106"/>
        <v>0</v>
      </c>
      <c r="CB133" s="539">
        <f t="shared" si="107"/>
        <v>0</v>
      </c>
    </row>
    <row r="134" spans="1:80" s="11" customFormat="1" ht="93" customHeight="1" x14ac:dyDescent="0.2">
      <c r="A134" s="54"/>
      <c r="B134" s="54"/>
      <c r="C134" s="857">
        <v>12</v>
      </c>
      <c r="D134" s="853" t="s">
        <v>191</v>
      </c>
      <c r="E134" s="857">
        <v>3166</v>
      </c>
      <c r="F134" s="857">
        <v>2500</v>
      </c>
      <c r="G134" s="64"/>
      <c r="H134" s="57">
        <v>217</v>
      </c>
      <c r="I134" s="56" t="s">
        <v>192</v>
      </c>
      <c r="J134" s="131" t="s">
        <v>190</v>
      </c>
      <c r="K134" s="460">
        <v>5</v>
      </c>
      <c r="L134" s="133">
        <v>0.1</v>
      </c>
      <c r="M134" s="851"/>
      <c r="N134" s="874"/>
      <c r="O134" s="857"/>
      <c r="P134" s="854"/>
      <c r="Q134" s="207" t="s">
        <v>51</v>
      </c>
      <c r="R134" s="539">
        <v>0</v>
      </c>
      <c r="S134" s="539"/>
      <c r="T134" s="539"/>
      <c r="U134" s="539">
        <v>0</v>
      </c>
      <c r="V134" s="539"/>
      <c r="W134" s="539"/>
      <c r="X134" s="539">
        <v>0</v>
      </c>
      <c r="Y134" s="539"/>
      <c r="Z134" s="539"/>
      <c r="AA134" s="539">
        <f>1693400000+3039835512.38</f>
        <v>4733235512.3800001</v>
      </c>
      <c r="AB134" s="539">
        <v>223864060</v>
      </c>
      <c r="AC134" s="539">
        <v>23600000</v>
      </c>
      <c r="AD134" s="539"/>
      <c r="AE134" s="539"/>
      <c r="AF134" s="539"/>
      <c r="AG134" s="539">
        <v>0</v>
      </c>
      <c r="AH134" s="539"/>
      <c r="AI134" s="539"/>
      <c r="AJ134" s="539">
        <v>0</v>
      </c>
      <c r="AK134" s="539"/>
      <c r="AL134" s="539"/>
      <c r="AM134" s="539"/>
      <c r="AN134" s="539"/>
      <c r="AO134" s="539"/>
      <c r="AP134" s="539"/>
      <c r="AQ134" s="539"/>
      <c r="AR134" s="539"/>
      <c r="AS134" s="539">
        <v>0</v>
      </c>
      <c r="AT134" s="539"/>
      <c r="AU134" s="539"/>
      <c r="AV134" s="539">
        <v>0</v>
      </c>
      <c r="AW134" s="539"/>
      <c r="AX134" s="539"/>
      <c r="AY134" s="539"/>
      <c r="AZ134" s="539"/>
      <c r="BA134" s="539"/>
      <c r="BB134" s="539"/>
      <c r="BC134" s="539"/>
      <c r="BD134" s="539"/>
      <c r="BE134" s="539">
        <v>0</v>
      </c>
      <c r="BF134" s="539"/>
      <c r="BG134" s="539"/>
      <c r="BH134" s="539">
        <v>0</v>
      </c>
      <c r="BI134" s="539"/>
      <c r="BJ134" s="539"/>
      <c r="BK134" s="540">
        <v>0</v>
      </c>
      <c r="BL134" s="540"/>
      <c r="BM134" s="540"/>
      <c r="BN134" s="553"/>
      <c r="BO134" s="553"/>
      <c r="BP134" s="553"/>
      <c r="BQ134" s="539">
        <v>0</v>
      </c>
      <c r="BR134" s="541"/>
      <c r="BS134" s="541"/>
      <c r="BT134" s="541"/>
      <c r="BU134" s="541"/>
      <c r="BV134" s="541"/>
      <c r="BW134" s="541">
        <v>0</v>
      </c>
      <c r="BX134" s="541"/>
      <c r="BY134" s="541"/>
      <c r="BZ134" s="539">
        <f t="shared" si="105"/>
        <v>4733235512.3800001</v>
      </c>
      <c r="CA134" s="539">
        <f t="shared" si="106"/>
        <v>223864060</v>
      </c>
      <c r="CB134" s="539">
        <f t="shared" si="107"/>
        <v>23600000</v>
      </c>
    </row>
    <row r="135" spans="1:80" s="11" customFormat="1" ht="39.75" customHeight="1" x14ac:dyDescent="0.2">
      <c r="A135" s="54"/>
      <c r="B135" s="54"/>
      <c r="C135" s="857"/>
      <c r="D135" s="854"/>
      <c r="E135" s="857"/>
      <c r="F135" s="857"/>
      <c r="G135" s="139"/>
      <c r="H135" s="57">
        <v>218</v>
      </c>
      <c r="I135" s="56" t="s">
        <v>193</v>
      </c>
      <c r="J135" s="59">
        <v>3</v>
      </c>
      <c r="K135" s="60">
        <v>3</v>
      </c>
      <c r="L135" s="60">
        <v>1</v>
      </c>
      <c r="M135" s="852"/>
      <c r="N135" s="875"/>
      <c r="O135" s="858"/>
      <c r="P135" s="855"/>
      <c r="Q135" s="207" t="s">
        <v>51</v>
      </c>
      <c r="R135" s="539">
        <v>0</v>
      </c>
      <c r="S135" s="539"/>
      <c r="T135" s="539"/>
      <c r="U135" s="539">
        <v>0</v>
      </c>
      <c r="V135" s="539"/>
      <c r="W135" s="539"/>
      <c r="X135" s="539">
        <v>0</v>
      </c>
      <c r="Y135" s="580"/>
      <c r="Z135" s="580"/>
      <c r="AA135" s="581">
        <v>260000000</v>
      </c>
      <c r="AB135" s="581">
        <v>120000000</v>
      </c>
      <c r="AC135" s="581">
        <v>28260000</v>
      </c>
      <c r="AD135" s="539">
        <v>0</v>
      </c>
      <c r="AE135" s="539"/>
      <c r="AF135" s="539"/>
      <c r="AG135" s="539">
        <v>0</v>
      </c>
      <c r="AH135" s="539"/>
      <c r="AI135" s="539"/>
      <c r="AJ135" s="539">
        <v>0</v>
      </c>
      <c r="AK135" s="539"/>
      <c r="AL135" s="539"/>
      <c r="AM135" s="539"/>
      <c r="AN135" s="539"/>
      <c r="AO135" s="539"/>
      <c r="AP135" s="539"/>
      <c r="AQ135" s="539"/>
      <c r="AR135" s="539"/>
      <c r="AS135" s="539">
        <v>0</v>
      </c>
      <c r="AT135" s="539"/>
      <c r="AU135" s="539"/>
      <c r="AV135" s="539">
        <v>0</v>
      </c>
      <c r="AW135" s="539"/>
      <c r="AX135" s="539"/>
      <c r="AY135" s="539"/>
      <c r="AZ135" s="539"/>
      <c r="BA135" s="539"/>
      <c r="BB135" s="539"/>
      <c r="BC135" s="539"/>
      <c r="BD135" s="539"/>
      <c r="BE135" s="539">
        <v>0</v>
      </c>
      <c r="BF135" s="539"/>
      <c r="BG135" s="539"/>
      <c r="BH135" s="539">
        <v>0</v>
      </c>
      <c r="BI135" s="539"/>
      <c r="BJ135" s="539"/>
      <c r="BK135" s="540">
        <v>0</v>
      </c>
      <c r="BL135" s="540"/>
      <c r="BM135" s="540"/>
      <c r="BN135" s="553"/>
      <c r="BO135" s="553"/>
      <c r="BP135" s="553"/>
      <c r="BQ135" s="539">
        <v>0</v>
      </c>
      <c r="BR135" s="541"/>
      <c r="BS135" s="541"/>
      <c r="BT135" s="541"/>
      <c r="BU135" s="541"/>
      <c r="BV135" s="541"/>
      <c r="BW135" s="541">
        <v>0</v>
      </c>
      <c r="BX135" s="541"/>
      <c r="BY135" s="541"/>
      <c r="BZ135" s="539">
        <f t="shared" si="105"/>
        <v>260000000</v>
      </c>
      <c r="CA135" s="539">
        <f t="shared" si="106"/>
        <v>120000000</v>
      </c>
      <c r="CB135" s="539">
        <f t="shared" si="107"/>
        <v>28260000</v>
      </c>
    </row>
    <row r="136" spans="1:80" s="459" customFormat="1" ht="15.75" x14ac:dyDescent="0.2">
      <c r="A136" s="54"/>
      <c r="B136" s="54"/>
      <c r="C136" s="510"/>
      <c r="D136" s="518"/>
      <c r="E136" s="510"/>
      <c r="F136" s="510"/>
      <c r="G136" s="77"/>
      <c r="H136" s="78"/>
      <c r="I136" s="77"/>
      <c r="J136" s="79"/>
      <c r="K136" s="105"/>
      <c r="L136" s="105"/>
      <c r="M136" s="105"/>
      <c r="N136" s="79"/>
      <c r="O136" s="78"/>
      <c r="P136" s="77"/>
      <c r="Q136" s="78"/>
      <c r="R136" s="548">
        <f t="shared" ref="R136:BY136" si="108">SUM(R131:R135)</f>
        <v>0</v>
      </c>
      <c r="S136" s="548">
        <f t="shared" si="108"/>
        <v>0</v>
      </c>
      <c r="T136" s="548">
        <f t="shared" si="108"/>
        <v>0</v>
      </c>
      <c r="U136" s="548">
        <f t="shared" si="108"/>
        <v>0</v>
      </c>
      <c r="V136" s="548">
        <f t="shared" si="108"/>
        <v>0</v>
      </c>
      <c r="W136" s="548">
        <f t="shared" si="108"/>
        <v>0</v>
      </c>
      <c r="X136" s="548">
        <f t="shared" si="108"/>
        <v>0</v>
      </c>
      <c r="Y136" s="548">
        <f t="shared" si="108"/>
        <v>0</v>
      </c>
      <c r="Z136" s="548">
        <f t="shared" si="108"/>
        <v>0</v>
      </c>
      <c r="AA136" s="548">
        <f t="shared" si="108"/>
        <v>5868235512.3800001</v>
      </c>
      <c r="AB136" s="548">
        <f t="shared" si="108"/>
        <v>343864060</v>
      </c>
      <c r="AC136" s="548">
        <f t="shared" si="108"/>
        <v>51860000</v>
      </c>
      <c r="AD136" s="548">
        <f t="shared" si="108"/>
        <v>0</v>
      </c>
      <c r="AE136" s="548">
        <f t="shared" si="108"/>
        <v>0</v>
      </c>
      <c r="AF136" s="548">
        <f t="shared" si="108"/>
        <v>0</v>
      </c>
      <c r="AG136" s="548">
        <f t="shared" si="108"/>
        <v>0</v>
      </c>
      <c r="AH136" s="548">
        <f t="shared" si="108"/>
        <v>0</v>
      </c>
      <c r="AI136" s="548">
        <f t="shared" si="108"/>
        <v>0</v>
      </c>
      <c r="AJ136" s="548">
        <f t="shared" si="108"/>
        <v>0</v>
      </c>
      <c r="AK136" s="548">
        <f t="shared" si="108"/>
        <v>0</v>
      </c>
      <c r="AL136" s="548">
        <f t="shared" si="108"/>
        <v>0</v>
      </c>
      <c r="AM136" s="548">
        <f t="shared" si="108"/>
        <v>0</v>
      </c>
      <c r="AN136" s="548">
        <f t="shared" si="108"/>
        <v>0</v>
      </c>
      <c r="AO136" s="548">
        <f t="shared" si="108"/>
        <v>0</v>
      </c>
      <c r="AP136" s="548">
        <f t="shared" si="108"/>
        <v>0</v>
      </c>
      <c r="AQ136" s="548">
        <f t="shared" si="108"/>
        <v>0</v>
      </c>
      <c r="AR136" s="548">
        <f t="shared" si="108"/>
        <v>0</v>
      </c>
      <c r="AS136" s="548">
        <f t="shared" si="108"/>
        <v>0</v>
      </c>
      <c r="AT136" s="548">
        <f t="shared" si="108"/>
        <v>0</v>
      </c>
      <c r="AU136" s="548">
        <f t="shared" si="108"/>
        <v>0</v>
      </c>
      <c r="AV136" s="548">
        <f t="shared" si="108"/>
        <v>0</v>
      </c>
      <c r="AW136" s="548">
        <f t="shared" si="108"/>
        <v>0</v>
      </c>
      <c r="AX136" s="548">
        <f t="shared" si="108"/>
        <v>0</v>
      </c>
      <c r="AY136" s="548">
        <f t="shared" si="108"/>
        <v>0</v>
      </c>
      <c r="AZ136" s="548">
        <f t="shared" si="108"/>
        <v>0</v>
      </c>
      <c r="BA136" s="548">
        <f t="shared" si="108"/>
        <v>0</v>
      </c>
      <c r="BB136" s="548">
        <f t="shared" si="108"/>
        <v>0</v>
      </c>
      <c r="BC136" s="548">
        <f t="shared" si="108"/>
        <v>0</v>
      </c>
      <c r="BD136" s="548">
        <f t="shared" si="108"/>
        <v>0</v>
      </c>
      <c r="BE136" s="548">
        <f t="shared" si="108"/>
        <v>0</v>
      </c>
      <c r="BF136" s="548">
        <f t="shared" si="108"/>
        <v>0</v>
      </c>
      <c r="BG136" s="548">
        <f t="shared" si="108"/>
        <v>0</v>
      </c>
      <c r="BH136" s="548">
        <f t="shared" si="108"/>
        <v>0</v>
      </c>
      <c r="BI136" s="548">
        <f t="shared" si="108"/>
        <v>0</v>
      </c>
      <c r="BJ136" s="548">
        <f t="shared" si="108"/>
        <v>0</v>
      </c>
      <c r="BK136" s="548">
        <f t="shared" si="108"/>
        <v>30000000</v>
      </c>
      <c r="BL136" s="548">
        <f t="shared" si="108"/>
        <v>0</v>
      </c>
      <c r="BM136" s="548">
        <f t="shared" si="108"/>
        <v>0</v>
      </c>
      <c r="BN136" s="548">
        <f t="shared" si="108"/>
        <v>0</v>
      </c>
      <c r="BO136" s="548">
        <f t="shared" si="108"/>
        <v>0</v>
      </c>
      <c r="BP136" s="548">
        <f t="shared" si="108"/>
        <v>0</v>
      </c>
      <c r="BQ136" s="548">
        <f t="shared" si="108"/>
        <v>0</v>
      </c>
      <c r="BR136" s="548">
        <f t="shared" si="108"/>
        <v>0</v>
      </c>
      <c r="BS136" s="548">
        <f t="shared" si="108"/>
        <v>0</v>
      </c>
      <c r="BT136" s="548">
        <f t="shared" si="108"/>
        <v>0</v>
      </c>
      <c r="BU136" s="548">
        <f t="shared" si="108"/>
        <v>0</v>
      </c>
      <c r="BV136" s="548">
        <f t="shared" si="108"/>
        <v>0</v>
      </c>
      <c r="BW136" s="548">
        <f t="shared" si="108"/>
        <v>0</v>
      </c>
      <c r="BX136" s="548">
        <f t="shared" si="108"/>
        <v>0</v>
      </c>
      <c r="BY136" s="548">
        <f t="shared" si="108"/>
        <v>0</v>
      </c>
      <c r="BZ136" s="548">
        <f>SUM(BZ131:BZ135)</f>
        <v>5898235512.3800001</v>
      </c>
      <c r="CA136" s="548">
        <f t="shared" ref="CA136:CB136" si="109">SUM(CA131:CA135)</f>
        <v>343864060</v>
      </c>
      <c r="CB136" s="548">
        <f t="shared" si="109"/>
        <v>51860000</v>
      </c>
    </row>
    <row r="137" spans="1:80" s="11" customFormat="1" ht="15.75" x14ac:dyDescent="0.2">
      <c r="A137" s="54"/>
      <c r="B137" s="54"/>
      <c r="C137" s="166"/>
      <c r="D137" s="91"/>
      <c r="E137" s="532"/>
      <c r="F137" s="532"/>
      <c r="G137" s="91"/>
      <c r="H137" s="532"/>
      <c r="I137" s="91"/>
      <c r="J137" s="93"/>
      <c r="K137" s="104"/>
      <c r="L137" s="104"/>
      <c r="M137" s="104"/>
      <c r="N137" s="93"/>
      <c r="O137" s="532"/>
      <c r="P137" s="91"/>
      <c r="Q137" s="532"/>
      <c r="R137" s="543"/>
      <c r="S137" s="543"/>
      <c r="T137" s="543"/>
      <c r="U137" s="544"/>
      <c r="V137" s="544"/>
      <c r="W137" s="544"/>
      <c r="X137" s="543"/>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4"/>
      <c r="AZ137" s="544"/>
      <c r="BA137" s="544"/>
      <c r="BB137" s="544"/>
      <c r="BC137" s="544"/>
      <c r="BD137" s="544"/>
      <c r="BE137" s="543"/>
      <c r="BF137" s="543"/>
      <c r="BG137" s="543"/>
      <c r="BH137" s="543"/>
      <c r="BI137" s="543"/>
      <c r="BJ137" s="543"/>
      <c r="BK137" s="545"/>
      <c r="BL137" s="545"/>
      <c r="BM137" s="545"/>
      <c r="BN137" s="546"/>
      <c r="BO137" s="546"/>
      <c r="BP137" s="546"/>
      <c r="BQ137" s="543"/>
      <c r="BR137" s="543"/>
      <c r="BS137" s="543"/>
      <c r="BT137" s="543"/>
      <c r="BU137" s="543"/>
      <c r="BV137" s="543"/>
      <c r="BW137" s="544"/>
      <c r="BX137" s="544"/>
      <c r="BY137" s="544"/>
      <c r="BZ137" s="543"/>
      <c r="CA137" s="543"/>
      <c r="CB137" s="547"/>
    </row>
    <row r="138" spans="1:80" s="459" customFormat="1" ht="15.75" x14ac:dyDescent="0.2">
      <c r="A138" s="54"/>
      <c r="B138" s="54"/>
      <c r="C138" s="508"/>
      <c r="D138" s="516"/>
      <c r="E138" s="508"/>
      <c r="F138" s="508"/>
      <c r="G138" s="98">
        <v>76</v>
      </c>
      <c r="H138" s="100" t="s">
        <v>194</v>
      </c>
      <c r="I138" s="197"/>
      <c r="J138" s="197"/>
      <c r="K138" s="114"/>
      <c r="L138" s="114"/>
      <c r="M138" s="114"/>
      <c r="N138" s="197"/>
      <c r="O138" s="505"/>
      <c r="P138" s="197"/>
      <c r="Q138" s="100"/>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6"/>
      <c r="AX138" s="336"/>
      <c r="AY138" s="336"/>
      <c r="AZ138" s="336"/>
      <c r="BA138" s="336"/>
      <c r="BB138" s="336"/>
      <c r="BC138" s="336"/>
      <c r="BD138" s="336"/>
      <c r="BE138" s="336"/>
      <c r="BF138" s="336"/>
      <c r="BG138" s="336"/>
      <c r="BH138" s="336"/>
      <c r="BI138" s="336"/>
      <c r="BJ138" s="336"/>
      <c r="BK138" s="552"/>
      <c r="BL138" s="552"/>
      <c r="BM138" s="552"/>
      <c r="BN138" s="336"/>
      <c r="BO138" s="336"/>
      <c r="BP138" s="336"/>
      <c r="BQ138" s="336"/>
      <c r="BR138" s="336"/>
      <c r="BS138" s="336"/>
      <c r="BT138" s="336"/>
      <c r="BU138" s="336"/>
      <c r="BV138" s="336"/>
      <c r="BW138" s="336"/>
      <c r="BX138" s="336"/>
      <c r="BY138" s="336"/>
      <c r="BZ138" s="338"/>
      <c r="CA138" s="338"/>
      <c r="CB138" s="338"/>
    </row>
    <row r="139" spans="1:80" s="11" customFormat="1" ht="95.25" customHeight="1" x14ac:dyDescent="0.2">
      <c r="A139" s="54"/>
      <c r="B139" s="54"/>
      <c r="C139" s="857">
        <v>10</v>
      </c>
      <c r="D139" s="854" t="s">
        <v>181</v>
      </c>
      <c r="E139" s="857" t="s">
        <v>182</v>
      </c>
      <c r="F139" s="857" t="s">
        <v>183</v>
      </c>
      <c r="G139" s="58"/>
      <c r="H139" s="57">
        <v>219</v>
      </c>
      <c r="I139" s="56" t="s">
        <v>195</v>
      </c>
      <c r="J139" s="59" t="s">
        <v>42</v>
      </c>
      <c r="K139" s="69">
        <v>11</v>
      </c>
      <c r="L139" s="60">
        <v>4</v>
      </c>
      <c r="M139" s="851">
        <v>2017003630011</v>
      </c>
      <c r="N139" s="873" t="s">
        <v>196</v>
      </c>
      <c r="O139" s="856" t="s">
        <v>197</v>
      </c>
      <c r="P139" s="853" t="s">
        <v>198</v>
      </c>
      <c r="Q139" s="57" t="s">
        <v>67</v>
      </c>
      <c r="R139" s="539">
        <v>0</v>
      </c>
      <c r="S139" s="539"/>
      <c r="T139" s="539"/>
      <c r="U139" s="539">
        <v>0</v>
      </c>
      <c r="V139" s="539"/>
      <c r="W139" s="539"/>
      <c r="X139" s="539">
        <v>0</v>
      </c>
      <c r="Y139" s="539"/>
      <c r="Z139" s="539"/>
      <c r="AA139" s="540">
        <f>250000000+250000000</f>
        <v>500000000</v>
      </c>
      <c r="AB139" s="540">
        <v>246400000</v>
      </c>
      <c r="AC139" s="540">
        <v>80120000</v>
      </c>
      <c r="AD139" s="539">
        <v>0</v>
      </c>
      <c r="AE139" s="539"/>
      <c r="AF139" s="539"/>
      <c r="AG139" s="539">
        <v>0</v>
      </c>
      <c r="AH139" s="539"/>
      <c r="AI139" s="539"/>
      <c r="AJ139" s="539">
        <v>0</v>
      </c>
      <c r="AK139" s="539"/>
      <c r="AL139" s="539"/>
      <c r="AM139" s="539"/>
      <c r="AN139" s="539"/>
      <c r="AO139" s="539"/>
      <c r="AP139" s="539"/>
      <c r="AQ139" s="539"/>
      <c r="AR139" s="539"/>
      <c r="AS139" s="539">
        <v>0</v>
      </c>
      <c r="AT139" s="539"/>
      <c r="AU139" s="539"/>
      <c r="AV139" s="539">
        <v>0</v>
      </c>
      <c r="AW139" s="539"/>
      <c r="AX139" s="539"/>
      <c r="AY139" s="539"/>
      <c r="AZ139" s="539"/>
      <c r="BA139" s="539"/>
      <c r="BB139" s="539"/>
      <c r="BC139" s="539"/>
      <c r="BD139" s="539"/>
      <c r="BE139" s="539">
        <v>0</v>
      </c>
      <c r="BF139" s="539"/>
      <c r="BG139" s="539"/>
      <c r="BH139" s="539">
        <v>0</v>
      </c>
      <c r="BI139" s="539"/>
      <c r="BJ139" s="539"/>
      <c r="BK139" s="540"/>
      <c r="BL139" s="540"/>
      <c r="BM139" s="540"/>
      <c r="BN139" s="540"/>
      <c r="BO139" s="540"/>
      <c r="BP139" s="540"/>
      <c r="BQ139" s="539">
        <v>0</v>
      </c>
      <c r="BR139" s="541"/>
      <c r="BS139" s="541"/>
      <c r="BT139" s="541"/>
      <c r="BU139" s="541"/>
      <c r="BV139" s="541"/>
      <c r="BW139" s="541">
        <v>0</v>
      </c>
      <c r="BX139" s="541"/>
      <c r="BY139" s="541"/>
      <c r="BZ139" s="539">
        <f t="shared" ref="BZ139:BZ142" si="110">R139+U139+X139+AA139+AD139+AG139+AJ139+AM139+AP139+AS139+AV139+AY139+BB139+BE139+BH139+BK139+BN139+BQ139+BT139+BW139</f>
        <v>500000000</v>
      </c>
      <c r="CA139" s="539">
        <f t="shared" ref="CA139:CA142" si="111">S139+V139+Y139+AB139+AE139+AH139+AK139+AN139+AQ139+AT139+AW139+AZ139+BC139+BF139+BI139+BL139+BO139+BR139+BU139+BX139</f>
        <v>246400000</v>
      </c>
      <c r="CB139" s="539">
        <f t="shared" ref="CB139:CB142" si="112">T139+W139+Z139+AC139+AF139+AI139+AL139+AO139+AR139+AU139+AX139+BA139+BD139+BG139+BJ139+BM139+BP139+BS139+BV139+BY139</f>
        <v>80120000</v>
      </c>
    </row>
    <row r="140" spans="1:80" s="11" customFormat="1" ht="67.5" customHeight="1" x14ac:dyDescent="0.2">
      <c r="A140" s="54"/>
      <c r="B140" s="54"/>
      <c r="C140" s="858"/>
      <c r="D140" s="855"/>
      <c r="E140" s="858"/>
      <c r="F140" s="858"/>
      <c r="G140" s="64"/>
      <c r="H140" s="57">
        <v>220</v>
      </c>
      <c r="I140" s="56" t="s">
        <v>199</v>
      </c>
      <c r="J140" s="59">
        <v>0</v>
      </c>
      <c r="K140" s="66">
        <v>12</v>
      </c>
      <c r="L140" s="60">
        <v>8</v>
      </c>
      <c r="M140" s="851"/>
      <c r="N140" s="874"/>
      <c r="O140" s="857"/>
      <c r="P140" s="854"/>
      <c r="Q140" s="57" t="s">
        <v>67</v>
      </c>
      <c r="R140" s="539">
        <v>0</v>
      </c>
      <c r="S140" s="539"/>
      <c r="T140" s="539"/>
      <c r="U140" s="539">
        <v>0</v>
      </c>
      <c r="V140" s="539"/>
      <c r="W140" s="539"/>
      <c r="X140" s="539">
        <v>0</v>
      </c>
      <c r="Y140" s="539"/>
      <c r="Z140" s="539"/>
      <c r="AA140" s="540">
        <f>250000000+330000000</f>
        <v>580000000</v>
      </c>
      <c r="AB140" s="540">
        <v>260000000</v>
      </c>
      <c r="AC140" s="540">
        <v>76120000</v>
      </c>
      <c r="AD140" s="539">
        <v>0</v>
      </c>
      <c r="AE140" s="539"/>
      <c r="AF140" s="539"/>
      <c r="AG140" s="539">
        <v>0</v>
      </c>
      <c r="AH140" s="539"/>
      <c r="AI140" s="539"/>
      <c r="AJ140" s="539">
        <v>0</v>
      </c>
      <c r="AK140" s="539"/>
      <c r="AL140" s="539"/>
      <c r="AM140" s="539"/>
      <c r="AN140" s="539"/>
      <c r="AO140" s="539"/>
      <c r="AP140" s="539"/>
      <c r="AQ140" s="539"/>
      <c r="AR140" s="539"/>
      <c r="AS140" s="539">
        <v>0</v>
      </c>
      <c r="AT140" s="539"/>
      <c r="AU140" s="539"/>
      <c r="AV140" s="539">
        <v>0</v>
      </c>
      <c r="AW140" s="539"/>
      <c r="AX140" s="539"/>
      <c r="AY140" s="539"/>
      <c r="AZ140" s="539"/>
      <c r="BA140" s="539"/>
      <c r="BB140" s="539"/>
      <c r="BC140" s="539"/>
      <c r="BD140" s="539"/>
      <c r="BE140" s="539">
        <v>0</v>
      </c>
      <c r="BF140" s="539"/>
      <c r="BG140" s="539"/>
      <c r="BH140" s="539">
        <v>0</v>
      </c>
      <c r="BI140" s="539"/>
      <c r="BJ140" s="539"/>
      <c r="BK140" s="540">
        <f>100000000+80000000</f>
        <v>180000000</v>
      </c>
      <c r="BL140" s="540">
        <v>45000000</v>
      </c>
      <c r="BM140" s="540">
        <v>7500000</v>
      </c>
      <c r="BN140" s="540"/>
      <c r="BO140" s="540"/>
      <c r="BP140" s="540"/>
      <c r="BQ140" s="539">
        <v>0</v>
      </c>
      <c r="BR140" s="541"/>
      <c r="BS140" s="541"/>
      <c r="BT140" s="541"/>
      <c r="BU140" s="541"/>
      <c r="BV140" s="541"/>
      <c r="BW140" s="541">
        <v>0</v>
      </c>
      <c r="BX140" s="541"/>
      <c r="BY140" s="541"/>
      <c r="BZ140" s="539">
        <f t="shared" si="110"/>
        <v>760000000</v>
      </c>
      <c r="CA140" s="539">
        <f t="shared" si="111"/>
        <v>305000000</v>
      </c>
      <c r="CB140" s="539">
        <f t="shared" si="112"/>
        <v>83620000</v>
      </c>
    </row>
    <row r="141" spans="1:80" s="11" customFormat="1" ht="60.75" customHeight="1" x14ac:dyDescent="0.2">
      <c r="A141" s="54"/>
      <c r="B141" s="54"/>
      <c r="C141" s="856">
        <v>12</v>
      </c>
      <c r="D141" s="853" t="s">
        <v>191</v>
      </c>
      <c r="E141" s="856">
        <v>3166</v>
      </c>
      <c r="F141" s="856">
        <v>2500</v>
      </c>
      <c r="G141" s="64"/>
      <c r="H141" s="57">
        <v>221</v>
      </c>
      <c r="I141" s="56" t="s">
        <v>200</v>
      </c>
      <c r="J141" s="59">
        <v>1</v>
      </c>
      <c r="K141" s="60">
        <v>1</v>
      </c>
      <c r="L141" s="60">
        <v>0</v>
      </c>
      <c r="M141" s="851"/>
      <c r="N141" s="874"/>
      <c r="O141" s="857"/>
      <c r="P141" s="854"/>
      <c r="Q141" s="57" t="s">
        <v>51</v>
      </c>
      <c r="R141" s="539">
        <v>0</v>
      </c>
      <c r="S141" s="539"/>
      <c r="T141" s="539"/>
      <c r="U141" s="539">
        <v>0</v>
      </c>
      <c r="V141" s="539"/>
      <c r="W141" s="539"/>
      <c r="X141" s="539">
        <v>0</v>
      </c>
      <c r="Y141" s="539"/>
      <c r="Z141" s="539"/>
      <c r="AA141" s="540">
        <v>23300000</v>
      </c>
      <c r="AB141" s="540"/>
      <c r="AC141" s="540"/>
      <c r="AD141" s="539">
        <v>0</v>
      </c>
      <c r="AE141" s="539"/>
      <c r="AF141" s="539"/>
      <c r="AG141" s="539">
        <v>0</v>
      </c>
      <c r="AH141" s="539"/>
      <c r="AI141" s="539"/>
      <c r="AJ141" s="539">
        <v>0</v>
      </c>
      <c r="AK141" s="539"/>
      <c r="AL141" s="539"/>
      <c r="AM141" s="539"/>
      <c r="AN141" s="539"/>
      <c r="AO141" s="539"/>
      <c r="AP141" s="539"/>
      <c r="AQ141" s="539"/>
      <c r="AR141" s="539"/>
      <c r="AS141" s="539">
        <v>0</v>
      </c>
      <c r="AT141" s="539"/>
      <c r="AU141" s="539"/>
      <c r="AV141" s="539">
        <v>0</v>
      </c>
      <c r="AW141" s="539"/>
      <c r="AX141" s="539"/>
      <c r="AY141" s="539"/>
      <c r="AZ141" s="539"/>
      <c r="BA141" s="539"/>
      <c r="BB141" s="539"/>
      <c r="BC141" s="539"/>
      <c r="BD141" s="539"/>
      <c r="BE141" s="539">
        <v>0</v>
      </c>
      <c r="BF141" s="539"/>
      <c r="BG141" s="539"/>
      <c r="BH141" s="539">
        <v>0</v>
      </c>
      <c r="BI141" s="539"/>
      <c r="BJ141" s="539"/>
      <c r="BK141" s="540">
        <v>8000000</v>
      </c>
      <c r="BL141" s="540"/>
      <c r="BM141" s="540"/>
      <c r="BN141" s="540"/>
      <c r="BO141" s="540"/>
      <c r="BP141" s="540"/>
      <c r="BQ141" s="539">
        <v>0</v>
      </c>
      <c r="BR141" s="541"/>
      <c r="BS141" s="541"/>
      <c r="BT141" s="541"/>
      <c r="BU141" s="541"/>
      <c r="BV141" s="541"/>
      <c r="BW141" s="541">
        <v>0</v>
      </c>
      <c r="BX141" s="541"/>
      <c r="BY141" s="541"/>
      <c r="BZ141" s="539">
        <f t="shared" si="110"/>
        <v>31300000</v>
      </c>
      <c r="CA141" s="539">
        <f t="shared" si="111"/>
        <v>0</v>
      </c>
      <c r="CB141" s="539">
        <f t="shared" si="112"/>
        <v>0</v>
      </c>
    </row>
    <row r="142" spans="1:80" s="11" customFormat="1" ht="64.5" customHeight="1" x14ac:dyDescent="0.2">
      <c r="A142" s="54"/>
      <c r="B142" s="54"/>
      <c r="C142" s="857"/>
      <c r="D142" s="854"/>
      <c r="E142" s="857"/>
      <c r="F142" s="857"/>
      <c r="G142" s="139"/>
      <c r="H142" s="57">
        <v>222</v>
      </c>
      <c r="I142" s="56" t="s">
        <v>201</v>
      </c>
      <c r="J142" s="59">
        <v>1</v>
      </c>
      <c r="K142" s="60">
        <v>1</v>
      </c>
      <c r="L142" s="60">
        <v>0</v>
      </c>
      <c r="M142" s="852"/>
      <c r="N142" s="875"/>
      <c r="O142" s="858"/>
      <c r="P142" s="855"/>
      <c r="Q142" s="57" t="s">
        <v>51</v>
      </c>
      <c r="R142" s="539">
        <v>0</v>
      </c>
      <c r="S142" s="539"/>
      <c r="T142" s="539"/>
      <c r="U142" s="539">
        <v>0</v>
      </c>
      <c r="V142" s="539"/>
      <c r="W142" s="539"/>
      <c r="X142" s="539">
        <v>0</v>
      </c>
      <c r="Y142" s="539"/>
      <c r="Z142" s="539"/>
      <c r="AA142" s="539">
        <v>23300000</v>
      </c>
      <c r="AB142" s="539"/>
      <c r="AC142" s="539"/>
      <c r="AD142" s="539">
        <v>0</v>
      </c>
      <c r="AE142" s="539"/>
      <c r="AF142" s="539"/>
      <c r="AG142" s="539">
        <v>0</v>
      </c>
      <c r="AH142" s="539"/>
      <c r="AI142" s="539"/>
      <c r="AJ142" s="539">
        <v>0</v>
      </c>
      <c r="AK142" s="539"/>
      <c r="AL142" s="539"/>
      <c r="AM142" s="539"/>
      <c r="AN142" s="539"/>
      <c r="AO142" s="539"/>
      <c r="AP142" s="539"/>
      <c r="AQ142" s="539"/>
      <c r="AR142" s="539"/>
      <c r="AS142" s="539">
        <v>0</v>
      </c>
      <c r="AT142" s="539"/>
      <c r="AU142" s="539"/>
      <c r="AV142" s="539">
        <v>0</v>
      </c>
      <c r="AW142" s="539"/>
      <c r="AX142" s="539"/>
      <c r="AY142" s="539"/>
      <c r="AZ142" s="539"/>
      <c r="BA142" s="539"/>
      <c r="BB142" s="539"/>
      <c r="BC142" s="539"/>
      <c r="BD142" s="539"/>
      <c r="BE142" s="539">
        <v>0</v>
      </c>
      <c r="BF142" s="539"/>
      <c r="BG142" s="539"/>
      <c r="BH142" s="539">
        <v>0</v>
      </c>
      <c r="BI142" s="541"/>
      <c r="BJ142" s="541"/>
      <c r="BK142" s="542">
        <v>12000000</v>
      </c>
      <c r="BL142" s="542"/>
      <c r="BM142" s="542"/>
      <c r="BN142" s="542"/>
      <c r="BO142" s="542"/>
      <c r="BP142" s="542"/>
      <c r="BQ142" s="539">
        <v>0</v>
      </c>
      <c r="BR142" s="541"/>
      <c r="BS142" s="541"/>
      <c r="BT142" s="541"/>
      <c r="BU142" s="541"/>
      <c r="BV142" s="541"/>
      <c r="BW142" s="541">
        <v>0</v>
      </c>
      <c r="BX142" s="541"/>
      <c r="BY142" s="541"/>
      <c r="BZ142" s="539">
        <f t="shared" si="110"/>
        <v>35300000</v>
      </c>
      <c r="CA142" s="539">
        <f t="shared" si="111"/>
        <v>0</v>
      </c>
      <c r="CB142" s="539">
        <f t="shared" si="112"/>
        <v>0</v>
      </c>
    </row>
    <row r="143" spans="1:80" s="459" customFormat="1" ht="15.75" x14ac:dyDescent="0.2">
      <c r="A143" s="54"/>
      <c r="B143" s="74"/>
      <c r="C143" s="510"/>
      <c r="D143" s="518"/>
      <c r="E143" s="510"/>
      <c r="F143" s="510"/>
      <c r="G143" s="211"/>
      <c r="H143" s="212"/>
      <c r="I143" s="100"/>
      <c r="J143" s="100"/>
      <c r="K143" s="213"/>
      <c r="L143" s="114"/>
      <c r="M143" s="114"/>
      <c r="N143" s="100"/>
      <c r="O143" s="212"/>
      <c r="P143" s="100"/>
      <c r="Q143" s="100"/>
      <c r="R143" s="582">
        <f t="shared" ref="R143:BY143" si="113">SUM(R139:R142)</f>
        <v>0</v>
      </c>
      <c r="S143" s="582">
        <f t="shared" si="113"/>
        <v>0</v>
      </c>
      <c r="T143" s="582">
        <f t="shared" si="113"/>
        <v>0</v>
      </c>
      <c r="U143" s="582">
        <f t="shared" si="113"/>
        <v>0</v>
      </c>
      <c r="V143" s="582">
        <f t="shared" si="113"/>
        <v>0</v>
      </c>
      <c r="W143" s="582">
        <f t="shared" si="113"/>
        <v>0</v>
      </c>
      <c r="X143" s="582">
        <f t="shared" si="113"/>
        <v>0</v>
      </c>
      <c r="Y143" s="582">
        <f t="shared" si="113"/>
        <v>0</v>
      </c>
      <c r="Z143" s="582">
        <f t="shared" si="113"/>
        <v>0</v>
      </c>
      <c r="AA143" s="582">
        <f t="shared" si="113"/>
        <v>1126600000</v>
      </c>
      <c r="AB143" s="582">
        <f t="shared" si="113"/>
        <v>506400000</v>
      </c>
      <c r="AC143" s="582">
        <f t="shared" si="113"/>
        <v>156240000</v>
      </c>
      <c r="AD143" s="582">
        <f t="shared" si="113"/>
        <v>0</v>
      </c>
      <c r="AE143" s="582">
        <f t="shared" si="113"/>
        <v>0</v>
      </c>
      <c r="AF143" s="582">
        <f t="shared" si="113"/>
        <v>0</v>
      </c>
      <c r="AG143" s="582">
        <f t="shared" si="113"/>
        <v>0</v>
      </c>
      <c r="AH143" s="582">
        <f t="shared" si="113"/>
        <v>0</v>
      </c>
      <c r="AI143" s="582">
        <f t="shared" si="113"/>
        <v>0</v>
      </c>
      <c r="AJ143" s="582">
        <f t="shared" si="113"/>
        <v>0</v>
      </c>
      <c r="AK143" s="582">
        <f t="shared" si="113"/>
        <v>0</v>
      </c>
      <c r="AL143" s="582">
        <f t="shared" si="113"/>
        <v>0</v>
      </c>
      <c r="AM143" s="582">
        <f t="shared" si="113"/>
        <v>0</v>
      </c>
      <c r="AN143" s="582">
        <f t="shared" si="113"/>
        <v>0</v>
      </c>
      <c r="AO143" s="582">
        <f t="shared" si="113"/>
        <v>0</v>
      </c>
      <c r="AP143" s="582">
        <f t="shared" si="113"/>
        <v>0</v>
      </c>
      <c r="AQ143" s="582">
        <f t="shared" si="113"/>
        <v>0</v>
      </c>
      <c r="AR143" s="582">
        <f t="shared" si="113"/>
        <v>0</v>
      </c>
      <c r="AS143" s="582">
        <f t="shared" si="113"/>
        <v>0</v>
      </c>
      <c r="AT143" s="582">
        <f t="shared" si="113"/>
        <v>0</v>
      </c>
      <c r="AU143" s="582">
        <f t="shared" si="113"/>
        <v>0</v>
      </c>
      <c r="AV143" s="582">
        <f t="shared" si="113"/>
        <v>0</v>
      </c>
      <c r="AW143" s="582">
        <f t="shared" si="113"/>
        <v>0</v>
      </c>
      <c r="AX143" s="582">
        <f t="shared" si="113"/>
        <v>0</v>
      </c>
      <c r="AY143" s="582">
        <f t="shared" si="113"/>
        <v>0</v>
      </c>
      <c r="AZ143" s="582">
        <f t="shared" si="113"/>
        <v>0</v>
      </c>
      <c r="BA143" s="582">
        <f t="shared" si="113"/>
        <v>0</v>
      </c>
      <c r="BB143" s="582">
        <f t="shared" si="113"/>
        <v>0</v>
      </c>
      <c r="BC143" s="582">
        <f t="shared" si="113"/>
        <v>0</v>
      </c>
      <c r="BD143" s="582">
        <f t="shared" si="113"/>
        <v>0</v>
      </c>
      <c r="BE143" s="582">
        <f t="shared" si="113"/>
        <v>0</v>
      </c>
      <c r="BF143" s="582">
        <f t="shared" si="113"/>
        <v>0</v>
      </c>
      <c r="BG143" s="582">
        <f t="shared" si="113"/>
        <v>0</v>
      </c>
      <c r="BH143" s="582">
        <f t="shared" si="113"/>
        <v>0</v>
      </c>
      <c r="BI143" s="582">
        <f t="shared" si="113"/>
        <v>0</v>
      </c>
      <c r="BJ143" s="582">
        <f t="shared" si="113"/>
        <v>0</v>
      </c>
      <c r="BK143" s="582">
        <f t="shared" si="113"/>
        <v>200000000</v>
      </c>
      <c r="BL143" s="582">
        <f t="shared" si="113"/>
        <v>45000000</v>
      </c>
      <c r="BM143" s="582">
        <f t="shared" si="113"/>
        <v>7500000</v>
      </c>
      <c r="BN143" s="582">
        <f t="shared" si="113"/>
        <v>0</v>
      </c>
      <c r="BO143" s="582">
        <f t="shared" si="113"/>
        <v>0</v>
      </c>
      <c r="BP143" s="582">
        <f t="shared" si="113"/>
        <v>0</v>
      </c>
      <c r="BQ143" s="582">
        <f t="shared" si="113"/>
        <v>0</v>
      </c>
      <c r="BR143" s="582">
        <f t="shared" si="113"/>
        <v>0</v>
      </c>
      <c r="BS143" s="582">
        <f t="shared" si="113"/>
        <v>0</v>
      </c>
      <c r="BT143" s="582">
        <f t="shared" si="113"/>
        <v>0</v>
      </c>
      <c r="BU143" s="582">
        <f t="shared" si="113"/>
        <v>0</v>
      </c>
      <c r="BV143" s="582">
        <f t="shared" si="113"/>
        <v>0</v>
      </c>
      <c r="BW143" s="582">
        <f t="shared" si="113"/>
        <v>0</v>
      </c>
      <c r="BX143" s="582">
        <f t="shared" si="113"/>
        <v>0</v>
      </c>
      <c r="BY143" s="582">
        <f t="shared" si="113"/>
        <v>0</v>
      </c>
      <c r="BZ143" s="582">
        <f t="shared" ref="BZ143" si="114">SUM(BZ139:BZ142)</f>
        <v>1326600000</v>
      </c>
      <c r="CA143" s="582">
        <f t="shared" ref="CA143:CB143" si="115">SUM(CA139:CA142)</f>
        <v>551400000</v>
      </c>
      <c r="CB143" s="582">
        <f t="shared" si="115"/>
        <v>163740000</v>
      </c>
    </row>
    <row r="144" spans="1:80" s="459" customFormat="1" ht="15.75" x14ac:dyDescent="0.2">
      <c r="A144" s="54"/>
      <c r="B144" s="81"/>
      <c r="C144" s="120"/>
      <c r="D144" s="81"/>
      <c r="E144" s="82"/>
      <c r="F144" s="82"/>
      <c r="G144" s="81"/>
      <c r="H144" s="82"/>
      <c r="I144" s="81"/>
      <c r="J144" s="83"/>
      <c r="K144" s="123"/>
      <c r="L144" s="123"/>
      <c r="M144" s="123"/>
      <c r="N144" s="83"/>
      <c r="O144" s="82"/>
      <c r="P144" s="81"/>
      <c r="Q144" s="82"/>
      <c r="R144" s="554">
        <f t="shared" ref="R144:BY144" si="116">R143+R136</f>
        <v>0</v>
      </c>
      <c r="S144" s="554">
        <f t="shared" si="116"/>
        <v>0</v>
      </c>
      <c r="T144" s="554">
        <f t="shared" si="116"/>
        <v>0</v>
      </c>
      <c r="U144" s="554">
        <f t="shared" si="116"/>
        <v>0</v>
      </c>
      <c r="V144" s="554">
        <f t="shared" si="116"/>
        <v>0</v>
      </c>
      <c r="W144" s="554">
        <f t="shared" si="116"/>
        <v>0</v>
      </c>
      <c r="X144" s="554">
        <f t="shared" si="116"/>
        <v>0</v>
      </c>
      <c r="Y144" s="554">
        <f t="shared" si="116"/>
        <v>0</v>
      </c>
      <c r="Z144" s="554">
        <f t="shared" si="116"/>
        <v>0</v>
      </c>
      <c r="AA144" s="554">
        <f t="shared" si="116"/>
        <v>6994835512.3800001</v>
      </c>
      <c r="AB144" s="554">
        <f t="shared" si="116"/>
        <v>850264060</v>
      </c>
      <c r="AC144" s="554">
        <f t="shared" si="116"/>
        <v>208100000</v>
      </c>
      <c r="AD144" s="554">
        <f t="shared" si="116"/>
        <v>0</v>
      </c>
      <c r="AE144" s="554">
        <f t="shared" si="116"/>
        <v>0</v>
      </c>
      <c r="AF144" s="554">
        <f t="shared" si="116"/>
        <v>0</v>
      </c>
      <c r="AG144" s="554">
        <f t="shared" si="116"/>
        <v>0</v>
      </c>
      <c r="AH144" s="554">
        <f t="shared" si="116"/>
        <v>0</v>
      </c>
      <c r="AI144" s="554">
        <f t="shared" si="116"/>
        <v>0</v>
      </c>
      <c r="AJ144" s="554">
        <f t="shared" si="116"/>
        <v>0</v>
      </c>
      <c r="AK144" s="554">
        <f t="shared" si="116"/>
        <v>0</v>
      </c>
      <c r="AL144" s="554">
        <f t="shared" si="116"/>
        <v>0</v>
      </c>
      <c r="AM144" s="554">
        <f t="shared" si="116"/>
        <v>0</v>
      </c>
      <c r="AN144" s="554">
        <f t="shared" si="116"/>
        <v>0</v>
      </c>
      <c r="AO144" s="554">
        <f t="shared" si="116"/>
        <v>0</v>
      </c>
      <c r="AP144" s="554">
        <f t="shared" si="116"/>
        <v>0</v>
      </c>
      <c r="AQ144" s="554">
        <f t="shared" si="116"/>
        <v>0</v>
      </c>
      <c r="AR144" s="554">
        <f t="shared" si="116"/>
        <v>0</v>
      </c>
      <c r="AS144" s="554">
        <f t="shared" si="116"/>
        <v>0</v>
      </c>
      <c r="AT144" s="554">
        <f t="shared" si="116"/>
        <v>0</v>
      </c>
      <c r="AU144" s="554">
        <f t="shared" si="116"/>
        <v>0</v>
      </c>
      <c r="AV144" s="554">
        <f t="shared" si="116"/>
        <v>0</v>
      </c>
      <c r="AW144" s="554">
        <f t="shared" si="116"/>
        <v>0</v>
      </c>
      <c r="AX144" s="554">
        <f t="shared" si="116"/>
        <v>0</v>
      </c>
      <c r="AY144" s="554">
        <f t="shared" si="116"/>
        <v>0</v>
      </c>
      <c r="AZ144" s="554">
        <f t="shared" si="116"/>
        <v>0</v>
      </c>
      <c r="BA144" s="554">
        <f t="shared" si="116"/>
        <v>0</v>
      </c>
      <c r="BB144" s="554">
        <f t="shared" si="116"/>
        <v>0</v>
      </c>
      <c r="BC144" s="554">
        <f t="shared" si="116"/>
        <v>0</v>
      </c>
      <c r="BD144" s="554">
        <f t="shared" si="116"/>
        <v>0</v>
      </c>
      <c r="BE144" s="554">
        <f t="shared" si="116"/>
        <v>0</v>
      </c>
      <c r="BF144" s="554">
        <f t="shared" si="116"/>
        <v>0</v>
      </c>
      <c r="BG144" s="554">
        <f t="shared" si="116"/>
        <v>0</v>
      </c>
      <c r="BH144" s="554">
        <f t="shared" si="116"/>
        <v>0</v>
      </c>
      <c r="BI144" s="554">
        <f t="shared" si="116"/>
        <v>0</v>
      </c>
      <c r="BJ144" s="554">
        <f t="shared" si="116"/>
        <v>0</v>
      </c>
      <c r="BK144" s="554">
        <f t="shared" si="116"/>
        <v>230000000</v>
      </c>
      <c r="BL144" s="554">
        <f t="shared" si="116"/>
        <v>45000000</v>
      </c>
      <c r="BM144" s="554">
        <f t="shared" si="116"/>
        <v>7500000</v>
      </c>
      <c r="BN144" s="554">
        <f t="shared" si="116"/>
        <v>0</v>
      </c>
      <c r="BO144" s="554">
        <f t="shared" si="116"/>
        <v>0</v>
      </c>
      <c r="BP144" s="554">
        <f t="shared" si="116"/>
        <v>0</v>
      </c>
      <c r="BQ144" s="554">
        <f t="shared" si="116"/>
        <v>0</v>
      </c>
      <c r="BR144" s="554">
        <f t="shared" si="116"/>
        <v>0</v>
      </c>
      <c r="BS144" s="554">
        <f t="shared" si="116"/>
        <v>0</v>
      </c>
      <c r="BT144" s="554">
        <f t="shared" si="116"/>
        <v>0</v>
      </c>
      <c r="BU144" s="554">
        <f t="shared" si="116"/>
        <v>0</v>
      </c>
      <c r="BV144" s="554">
        <f t="shared" si="116"/>
        <v>0</v>
      </c>
      <c r="BW144" s="554">
        <f t="shared" si="116"/>
        <v>0</v>
      </c>
      <c r="BX144" s="554">
        <f t="shared" si="116"/>
        <v>0</v>
      </c>
      <c r="BY144" s="554">
        <f t="shared" si="116"/>
        <v>0</v>
      </c>
      <c r="BZ144" s="554">
        <f t="shared" ref="BZ144" si="117">BZ143+BZ136</f>
        <v>7224835512.3800001</v>
      </c>
      <c r="CA144" s="554">
        <f t="shared" ref="CA144:CB144" si="118">CA143+CA136</f>
        <v>895264060</v>
      </c>
      <c r="CB144" s="554">
        <f t="shared" si="118"/>
        <v>215600000</v>
      </c>
    </row>
    <row r="145" spans="1:80" s="11" customFormat="1" ht="15.75" x14ac:dyDescent="0.2">
      <c r="A145" s="54"/>
      <c r="B145" s="56"/>
      <c r="C145" s="92"/>
      <c r="D145" s="91"/>
      <c r="E145" s="92"/>
      <c r="F145" s="92"/>
      <c r="G145" s="91"/>
      <c r="H145" s="92"/>
      <c r="I145" s="91"/>
      <c r="J145" s="93"/>
      <c r="K145" s="104"/>
      <c r="L145" s="210"/>
      <c r="M145" s="210"/>
      <c r="N145" s="146"/>
      <c r="O145" s="499"/>
      <c r="P145" s="124"/>
      <c r="Q145" s="92"/>
      <c r="R145" s="543"/>
      <c r="S145" s="543"/>
      <c r="T145" s="543"/>
      <c r="U145" s="544"/>
      <c r="V145" s="544"/>
      <c r="W145" s="544"/>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3"/>
      <c r="AY145" s="544"/>
      <c r="AZ145" s="544"/>
      <c r="BA145" s="544"/>
      <c r="BB145" s="544"/>
      <c r="BC145" s="544"/>
      <c r="BD145" s="544"/>
      <c r="BE145" s="543"/>
      <c r="BF145" s="543"/>
      <c r="BG145" s="543"/>
      <c r="BH145" s="543"/>
      <c r="BI145" s="543"/>
      <c r="BJ145" s="543"/>
      <c r="BK145" s="545"/>
      <c r="BL145" s="545"/>
      <c r="BM145" s="545"/>
      <c r="BN145" s="546"/>
      <c r="BO145" s="546"/>
      <c r="BP145" s="546"/>
      <c r="BQ145" s="543"/>
      <c r="BR145" s="543"/>
      <c r="BS145" s="543"/>
      <c r="BT145" s="543"/>
      <c r="BU145" s="543"/>
      <c r="BV145" s="543"/>
      <c r="BW145" s="544"/>
      <c r="BX145" s="544"/>
      <c r="BY145" s="544"/>
      <c r="BZ145" s="543"/>
      <c r="CA145" s="543"/>
      <c r="CB145" s="543"/>
    </row>
    <row r="146" spans="1:80" s="11" customFormat="1" ht="15.75" x14ac:dyDescent="0.2">
      <c r="A146" s="54"/>
      <c r="B146" s="185">
        <v>24</v>
      </c>
      <c r="C146" s="49" t="s">
        <v>202</v>
      </c>
      <c r="D146" s="50"/>
      <c r="E146" s="50"/>
      <c r="F146" s="50"/>
      <c r="G146" s="50"/>
      <c r="H146" s="51"/>
      <c r="I146" s="50"/>
      <c r="J146" s="50"/>
      <c r="K146" s="112"/>
      <c r="L146" s="112"/>
      <c r="M146" s="112"/>
      <c r="N146" s="50"/>
      <c r="O146" s="51"/>
      <c r="P146" s="50"/>
      <c r="Q146" s="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0"/>
      <c r="AY146" s="550"/>
      <c r="AZ146" s="550"/>
      <c r="BA146" s="550"/>
      <c r="BB146" s="550"/>
      <c r="BC146" s="550"/>
      <c r="BD146" s="550"/>
      <c r="BE146" s="550"/>
      <c r="BF146" s="550"/>
      <c r="BG146" s="550"/>
      <c r="BH146" s="550"/>
      <c r="BI146" s="550"/>
      <c r="BJ146" s="550"/>
      <c r="BK146" s="551"/>
      <c r="BL146" s="551"/>
      <c r="BM146" s="551"/>
      <c r="BN146" s="550"/>
      <c r="BO146" s="550"/>
      <c r="BP146" s="550"/>
      <c r="BQ146" s="550"/>
      <c r="BR146" s="550"/>
      <c r="BS146" s="550"/>
      <c r="BT146" s="550"/>
      <c r="BU146" s="550"/>
      <c r="BV146" s="550"/>
      <c r="BW146" s="550"/>
      <c r="BX146" s="550"/>
      <c r="BY146" s="550"/>
      <c r="BZ146" s="555"/>
      <c r="CA146" s="555"/>
      <c r="CB146" s="555"/>
    </row>
    <row r="147" spans="1:80" s="11" customFormat="1" ht="15.75" x14ac:dyDescent="0.2">
      <c r="A147" s="54"/>
      <c r="B147" s="58"/>
      <c r="C147" s="508"/>
      <c r="D147" s="687"/>
      <c r="E147" s="687"/>
      <c r="F147" s="687"/>
      <c r="G147" s="254">
        <v>78</v>
      </c>
      <c r="H147" s="129" t="s">
        <v>203</v>
      </c>
      <c r="I147" s="129"/>
      <c r="J147" s="129"/>
      <c r="K147" s="130"/>
      <c r="L147" s="130"/>
      <c r="M147" s="130"/>
      <c r="N147" s="129"/>
      <c r="O147" s="502"/>
      <c r="P147" s="129"/>
      <c r="Q147" s="129"/>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6"/>
      <c r="AY147" s="556"/>
      <c r="AZ147" s="556"/>
      <c r="BA147" s="556"/>
      <c r="BB147" s="556"/>
      <c r="BC147" s="556"/>
      <c r="BD147" s="556"/>
      <c r="BE147" s="556"/>
      <c r="BF147" s="556"/>
      <c r="BG147" s="556"/>
      <c r="BH147" s="556"/>
      <c r="BI147" s="556"/>
      <c r="BJ147" s="556"/>
      <c r="BK147" s="557"/>
      <c r="BL147" s="557"/>
      <c r="BM147" s="557"/>
      <c r="BN147" s="556"/>
      <c r="BO147" s="556"/>
      <c r="BP147" s="556"/>
      <c r="BQ147" s="556"/>
      <c r="BR147" s="556"/>
      <c r="BS147" s="556"/>
      <c r="BT147" s="556"/>
      <c r="BU147" s="556"/>
      <c r="BV147" s="556"/>
      <c r="BW147" s="556"/>
      <c r="BX147" s="556"/>
      <c r="BY147" s="556"/>
      <c r="BZ147" s="558"/>
      <c r="CA147" s="558"/>
      <c r="CB147" s="558"/>
    </row>
    <row r="148" spans="1:80" s="11" customFormat="1" ht="102.75" customHeight="1" x14ac:dyDescent="0.2">
      <c r="A148" s="54"/>
      <c r="B148" s="64"/>
      <c r="C148" s="857">
        <v>13</v>
      </c>
      <c r="D148" s="854" t="s">
        <v>204</v>
      </c>
      <c r="E148" s="857" t="s">
        <v>205</v>
      </c>
      <c r="F148" s="857" t="s">
        <v>206</v>
      </c>
      <c r="G148" s="58"/>
      <c r="H148" s="57">
        <v>226</v>
      </c>
      <c r="I148" s="56" t="s">
        <v>207</v>
      </c>
      <c r="J148" s="59">
        <v>12</v>
      </c>
      <c r="K148" s="60">
        <v>12</v>
      </c>
      <c r="L148" s="60">
        <v>8</v>
      </c>
      <c r="M148" s="850">
        <v>2017003630018</v>
      </c>
      <c r="N148" s="873" t="s">
        <v>208</v>
      </c>
      <c r="O148" s="856" t="s">
        <v>209</v>
      </c>
      <c r="P148" s="853" t="s">
        <v>210</v>
      </c>
      <c r="Q148" s="207" t="s">
        <v>51</v>
      </c>
      <c r="R148" s="539">
        <v>0</v>
      </c>
      <c r="S148" s="539"/>
      <c r="T148" s="539"/>
      <c r="U148" s="539">
        <v>0</v>
      </c>
      <c r="V148" s="539"/>
      <c r="W148" s="539"/>
      <c r="X148" s="539">
        <v>0</v>
      </c>
      <c r="Y148" s="539"/>
      <c r="Z148" s="539"/>
      <c r="AA148" s="539">
        <v>0</v>
      </c>
      <c r="AB148" s="539"/>
      <c r="AC148" s="539"/>
      <c r="AD148" s="539">
        <v>0</v>
      </c>
      <c r="AE148" s="539"/>
      <c r="AF148" s="539"/>
      <c r="AG148" s="539">
        <v>0</v>
      </c>
      <c r="AH148" s="539"/>
      <c r="AI148" s="539"/>
      <c r="AJ148" s="539">
        <v>0</v>
      </c>
      <c r="AK148" s="539"/>
      <c r="AL148" s="539"/>
      <c r="AM148" s="539"/>
      <c r="AN148" s="539"/>
      <c r="AO148" s="539"/>
      <c r="AP148" s="539"/>
      <c r="AQ148" s="539"/>
      <c r="AR148" s="539"/>
      <c r="AS148" s="539">
        <v>0</v>
      </c>
      <c r="AT148" s="539"/>
      <c r="AU148" s="539"/>
      <c r="AV148" s="539">
        <v>0</v>
      </c>
      <c r="AW148" s="539"/>
      <c r="AX148" s="539"/>
      <c r="AY148" s="539"/>
      <c r="AZ148" s="539"/>
      <c r="BA148" s="539"/>
      <c r="BB148" s="539"/>
      <c r="BC148" s="539"/>
      <c r="BD148" s="539"/>
      <c r="BE148" s="539">
        <v>0</v>
      </c>
      <c r="BF148" s="539"/>
      <c r="BG148" s="539"/>
      <c r="BH148" s="539">
        <v>0</v>
      </c>
      <c r="BI148" s="539"/>
      <c r="BJ148" s="539"/>
      <c r="BK148" s="13">
        <f>170000000+40000000</f>
        <v>210000000</v>
      </c>
      <c r="BL148" s="540">
        <v>68175000</v>
      </c>
      <c r="BM148" s="540">
        <v>32420000</v>
      </c>
      <c r="BN148" s="540"/>
      <c r="BO148" s="540"/>
      <c r="BP148" s="540"/>
      <c r="BQ148" s="539">
        <v>0</v>
      </c>
      <c r="BR148" s="541"/>
      <c r="BS148" s="541"/>
      <c r="BT148" s="541"/>
      <c r="BU148" s="541"/>
      <c r="BV148" s="541"/>
      <c r="BW148" s="541">
        <v>0</v>
      </c>
      <c r="BX148" s="541"/>
      <c r="BY148" s="541"/>
      <c r="BZ148" s="539">
        <f t="shared" ref="BZ148:BZ152" si="119">R148+U148+X148+AA148+AD148+AG148+AJ148+AM148+AP148+AS148+AV148+AY148+BB148+BE148+BH148+BK148+BN148+BQ148+BT148+BW148</f>
        <v>210000000</v>
      </c>
      <c r="CA148" s="539">
        <f t="shared" ref="CA148:CA152" si="120">S148+V148+Y148+AB148+AE148+AH148+AK148+AN148+AQ148+AT148+AW148+AZ148+BC148+BF148+BI148+BL148+BO148+BR148+BU148+BX148</f>
        <v>68175000</v>
      </c>
      <c r="CB148" s="539">
        <f t="shared" ref="CB148:CB152" si="121">T148+W148+Z148+AC148+AF148+AI148+AL148+AO148+AR148+AU148+AX148+BA148+BD148+BG148+BJ148+BM148+BP148+BS148+BV148+BY148</f>
        <v>32420000</v>
      </c>
    </row>
    <row r="149" spans="1:80" s="11" customFormat="1" ht="60.75" customHeight="1" x14ac:dyDescent="0.2">
      <c r="A149" s="54"/>
      <c r="B149" s="64"/>
      <c r="C149" s="857"/>
      <c r="D149" s="854"/>
      <c r="E149" s="857"/>
      <c r="F149" s="857"/>
      <c r="G149" s="64"/>
      <c r="H149" s="57">
        <v>227</v>
      </c>
      <c r="I149" s="56" t="s">
        <v>211</v>
      </c>
      <c r="J149" s="59">
        <v>12</v>
      </c>
      <c r="K149" s="60">
        <v>12</v>
      </c>
      <c r="L149" s="60">
        <v>1</v>
      </c>
      <c r="M149" s="851"/>
      <c r="N149" s="874"/>
      <c r="O149" s="857"/>
      <c r="P149" s="854"/>
      <c r="Q149" s="207" t="s">
        <v>51</v>
      </c>
      <c r="R149" s="539">
        <v>0</v>
      </c>
      <c r="S149" s="539"/>
      <c r="T149" s="539"/>
      <c r="U149" s="539">
        <v>0</v>
      </c>
      <c r="V149" s="539"/>
      <c r="W149" s="539"/>
      <c r="X149" s="539">
        <v>0</v>
      </c>
      <c r="Y149" s="539"/>
      <c r="Z149" s="539"/>
      <c r="AA149" s="539">
        <v>0</v>
      </c>
      <c r="AB149" s="539"/>
      <c r="AC149" s="539"/>
      <c r="AD149" s="539">
        <v>0</v>
      </c>
      <c r="AE149" s="539"/>
      <c r="AF149" s="539"/>
      <c r="AG149" s="539">
        <v>0</v>
      </c>
      <c r="AH149" s="539"/>
      <c r="AI149" s="539"/>
      <c r="AJ149" s="539">
        <v>0</v>
      </c>
      <c r="AK149" s="539"/>
      <c r="AL149" s="539"/>
      <c r="AM149" s="539"/>
      <c r="AN149" s="539"/>
      <c r="AO149" s="539"/>
      <c r="AP149" s="539"/>
      <c r="AQ149" s="539"/>
      <c r="AR149" s="539"/>
      <c r="AS149" s="539">
        <v>0</v>
      </c>
      <c r="AT149" s="539"/>
      <c r="AU149" s="539"/>
      <c r="AV149" s="539">
        <v>0</v>
      </c>
      <c r="AW149" s="539"/>
      <c r="AX149" s="539"/>
      <c r="AY149" s="539"/>
      <c r="AZ149" s="539"/>
      <c r="BA149" s="539"/>
      <c r="BB149" s="539"/>
      <c r="BC149" s="539"/>
      <c r="BD149" s="539"/>
      <c r="BE149" s="539">
        <v>0</v>
      </c>
      <c r="BF149" s="539"/>
      <c r="BG149" s="539"/>
      <c r="BH149" s="539">
        <v>0</v>
      </c>
      <c r="BI149" s="539"/>
      <c r="BJ149" s="539"/>
      <c r="BK149" s="13">
        <f>140000000+50000000</f>
        <v>190000000</v>
      </c>
      <c r="BL149" s="540">
        <v>19500000</v>
      </c>
      <c r="BM149" s="540">
        <v>9500000</v>
      </c>
      <c r="BN149" s="540"/>
      <c r="BO149" s="540"/>
      <c r="BP149" s="540"/>
      <c r="BQ149" s="539">
        <v>0</v>
      </c>
      <c r="BR149" s="541"/>
      <c r="BS149" s="541"/>
      <c r="BT149" s="541"/>
      <c r="BU149" s="541"/>
      <c r="BV149" s="541"/>
      <c r="BW149" s="541">
        <v>0</v>
      </c>
      <c r="BX149" s="541"/>
      <c r="BY149" s="541"/>
      <c r="BZ149" s="539">
        <f t="shared" si="119"/>
        <v>190000000</v>
      </c>
      <c r="CA149" s="539">
        <f t="shared" si="120"/>
        <v>19500000</v>
      </c>
      <c r="CB149" s="539">
        <f t="shared" si="121"/>
        <v>9500000</v>
      </c>
    </row>
    <row r="150" spans="1:80" s="11" customFormat="1" ht="90" customHeight="1" x14ac:dyDescent="0.2">
      <c r="A150" s="54"/>
      <c r="B150" s="64"/>
      <c r="C150" s="857"/>
      <c r="D150" s="854"/>
      <c r="E150" s="857"/>
      <c r="F150" s="857"/>
      <c r="G150" s="64"/>
      <c r="H150" s="57">
        <v>228</v>
      </c>
      <c r="I150" s="56" t="s">
        <v>212</v>
      </c>
      <c r="J150" s="59">
        <v>2</v>
      </c>
      <c r="K150" s="60">
        <v>2</v>
      </c>
      <c r="L150" s="135">
        <v>0.25</v>
      </c>
      <c r="M150" s="851"/>
      <c r="N150" s="874"/>
      <c r="O150" s="857"/>
      <c r="P150" s="854"/>
      <c r="Q150" s="207" t="s">
        <v>51</v>
      </c>
      <c r="R150" s="539">
        <v>0</v>
      </c>
      <c r="S150" s="539"/>
      <c r="T150" s="539"/>
      <c r="U150" s="539">
        <v>0</v>
      </c>
      <c r="V150" s="539"/>
      <c r="W150" s="539"/>
      <c r="X150" s="539">
        <v>0</v>
      </c>
      <c r="Y150" s="539"/>
      <c r="Z150" s="539"/>
      <c r="AA150" s="539">
        <v>0</v>
      </c>
      <c r="AB150" s="539"/>
      <c r="AC150" s="539"/>
      <c r="AD150" s="539">
        <v>0</v>
      </c>
      <c r="AE150" s="539"/>
      <c r="AF150" s="539"/>
      <c r="AG150" s="539">
        <v>0</v>
      </c>
      <c r="AH150" s="539"/>
      <c r="AI150" s="539"/>
      <c r="AJ150" s="539">
        <v>0</v>
      </c>
      <c r="AK150" s="539"/>
      <c r="AL150" s="539"/>
      <c r="AM150" s="539"/>
      <c r="AN150" s="539"/>
      <c r="AO150" s="539"/>
      <c r="AP150" s="539"/>
      <c r="AQ150" s="539"/>
      <c r="AR150" s="539"/>
      <c r="AS150" s="539">
        <v>0</v>
      </c>
      <c r="AT150" s="539"/>
      <c r="AU150" s="539"/>
      <c r="AV150" s="539">
        <v>0</v>
      </c>
      <c r="AW150" s="539"/>
      <c r="AX150" s="539"/>
      <c r="AY150" s="539"/>
      <c r="AZ150" s="539"/>
      <c r="BA150" s="539"/>
      <c r="BB150" s="539"/>
      <c r="BC150" s="539"/>
      <c r="BD150" s="539"/>
      <c r="BE150" s="539">
        <v>0</v>
      </c>
      <c r="BF150" s="539"/>
      <c r="BG150" s="539"/>
      <c r="BH150" s="539">
        <v>0</v>
      </c>
      <c r="BI150" s="539"/>
      <c r="BJ150" s="539"/>
      <c r="BK150" s="13">
        <f>30000000+5000000</f>
        <v>35000000</v>
      </c>
      <c r="BL150" s="540">
        <v>5597794</v>
      </c>
      <c r="BM150" s="540">
        <v>4782794</v>
      </c>
      <c r="BN150" s="540"/>
      <c r="BO150" s="540"/>
      <c r="BP150" s="540"/>
      <c r="BQ150" s="539">
        <v>0</v>
      </c>
      <c r="BR150" s="541"/>
      <c r="BS150" s="541"/>
      <c r="BT150" s="541"/>
      <c r="BU150" s="541"/>
      <c r="BV150" s="541"/>
      <c r="BW150" s="541">
        <v>0</v>
      </c>
      <c r="BX150" s="541"/>
      <c r="BY150" s="541"/>
      <c r="BZ150" s="539">
        <f t="shared" si="119"/>
        <v>35000000</v>
      </c>
      <c r="CA150" s="539">
        <f t="shared" si="120"/>
        <v>5597794</v>
      </c>
      <c r="CB150" s="539">
        <f t="shared" si="121"/>
        <v>4782794</v>
      </c>
    </row>
    <row r="151" spans="1:80" s="11" customFormat="1" ht="91.5" customHeight="1" x14ac:dyDescent="0.2">
      <c r="A151" s="54"/>
      <c r="B151" s="64"/>
      <c r="C151" s="857"/>
      <c r="D151" s="854"/>
      <c r="E151" s="857"/>
      <c r="F151" s="857"/>
      <c r="G151" s="64"/>
      <c r="H151" s="57">
        <v>229</v>
      </c>
      <c r="I151" s="56" t="s">
        <v>213</v>
      </c>
      <c r="J151" s="214">
        <v>13</v>
      </c>
      <c r="K151" s="60">
        <v>13</v>
      </c>
      <c r="L151" s="60">
        <v>1</v>
      </c>
      <c r="M151" s="851"/>
      <c r="N151" s="874"/>
      <c r="O151" s="857"/>
      <c r="P151" s="854"/>
      <c r="Q151" s="207" t="s">
        <v>51</v>
      </c>
      <c r="R151" s="539">
        <v>0</v>
      </c>
      <c r="S151" s="539"/>
      <c r="T151" s="539"/>
      <c r="U151" s="539">
        <v>0</v>
      </c>
      <c r="V151" s="539"/>
      <c r="W151" s="539"/>
      <c r="X151" s="539">
        <v>0</v>
      </c>
      <c r="Y151" s="539"/>
      <c r="Z151" s="539"/>
      <c r="AA151" s="539">
        <v>0</v>
      </c>
      <c r="AB151" s="539"/>
      <c r="AC151" s="539"/>
      <c r="AD151" s="539">
        <v>0</v>
      </c>
      <c r="AE151" s="539"/>
      <c r="AF151" s="539"/>
      <c r="AG151" s="539">
        <v>0</v>
      </c>
      <c r="AH151" s="539"/>
      <c r="AI151" s="539"/>
      <c r="AJ151" s="539">
        <v>0</v>
      </c>
      <c r="AK151" s="539"/>
      <c r="AL151" s="539"/>
      <c r="AM151" s="539"/>
      <c r="AN151" s="539"/>
      <c r="AO151" s="539"/>
      <c r="AP151" s="539"/>
      <c r="AQ151" s="539"/>
      <c r="AR151" s="539"/>
      <c r="AS151" s="539">
        <v>0</v>
      </c>
      <c r="AT151" s="539"/>
      <c r="AU151" s="539"/>
      <c r="AV151" s="539">
        <v>0</v>
      </c>
      <c r="AW151" s="539"/>
      <c r="AX151" s="539"/>
      <c r="AY151" s="539"/>
      <c r="AZ151" s="539"/>
      <c r="BA151" s="539"/>
      <c r="BB151" s="539"/>
      <c r="BC151" s="539"/>
      <c r="BD151" s="539"/>
      <c r="BE151" s="539">
        <v>0</v>
      </c>
      <c r="BF151" s="539"/>
      <c r="BG151" s="539"/>
      <c r="BH151" s="539">
        <v>0</v>
      </c>
      <c r="BI151" s="539"/>
      <c r="BJ151" s="539"/>
      <c r="BK151" s="13">
        <f>35000000+2500000</f>
        <v>37500000</v>
      </c>
      <c r="BL151" s="540">
        <v>33100000</v>
      </c>
      <c r="BM151" s="540">
        <v>8460000</v>
      </c>
      <c r="BN151" s="540"/>
      <c r="BO151" s="540"/>
      <c r="BP151" s="540"/>
      <c r="BQ151" s="539">
        <v>0</v>
      </c>
      <c r="BR151" s="541"/>
      <c r="BS151" s="541"/>
      <c r="BT151" s="541"/>
      <c r="BU151" s="541"/>
      <c r="BV151" s="541"/>
      <c r="BW151" s="541">
        <v>0</v>
      </c>
      <c r="BX151" s="541"/>
      <c r="BY151" s="541"/>
      <c r="BZ151" s="539">
        <f t="shared" si="119"/>
        <v>37500000</v>
      </c>
      <c r="CA151" s="539">
        <f t="shared" si="120"/>
        <v>33100000</v>
      </c>
      <c r="CB151" s="539">
        <f t="shared" si="121"/>
        <v>8460000</v>
      </c>
    </row>
    <row r="152" spans="1:80" s="11" customFormat="1" ht="102" customHeight="1" x14ac:dyDescent="0.2">
      <c r="A152" s="54"/>
      <c r="B152" s="64"/>
      <c r="C152" s="857"/>
      <c r="D152" s="854"/>
      <c r="E152" s="857"/>
      <c r="F152" s="857"/>
      <c r="G152" s="64"/>
      <c r="H152" s="57">
        <v>230</v>
      </c>
      <c r="I152" s="56" t="s">
        <v>214</v>
      </c>
      <c r="J152" s="59">
        <v>0</v>
      </c>
      <c r="K152" s="60">
        <v>1</v>
      </c>
      <c r="L152" s="135">
        <v>0.25</v>
      </c>
      <c r="M152" s="852"/>
      <c r="N152" s="875"/>
      <c r="O152" s="858"/>
      <c r="P152" s="855"/>
      <c r="Q152" s="207" t="s">
        <v>51</v>
      </c>
      <c r="R152" s="539">
        <v>0</v>
      </c>
      <c r="S152" s="539"/>
      <c r="T152" s="539"/>
      <c r="U152" s="539">
        <v>0</v>
      </c>
      <c r="V152" s="539"/>
      <c r="W152" s="539"/>
      <c r="X152" s="539">
        <v>0</v>
      </c>
      <c r="Y152" s="539"/>
      <c r="Z152" s="539"/>
      <c r="AA152" s="539">
        <v>0</v>
      </c>
      <c r="AB152" s="539"/>
      <c r="AC152" s="539"/>
      <c r="AD152" s="539">
        <v>0</v>
      </c>
      <c r="AE152" s="539"/>
      <c r="AF152" s="539"/>
      <c r="AG152" s="539">
        <v>0</v>
      </c>
      <c r="AH152" s="539"/>
      <c r="AI152" s="539"/>
      <c r="AJ152" s="539">
        <v>0</v>
      </c>
      <c r="AK152" s="539"/>
      <c r="AL152" s="539"/>
      <c r="AM152" s="539"/>
      <c r="AN152" s="539"/>
      <c r="AO152" s="539"/>
      <c r="AP152" s="539"/>
      <c r="AQ152" s="539"/>
      <c r="AR152" s="539"/>
      <c r="AS152" s="539">
        <v>0</v>
      </c>
      <c r="AT152" s="539"/>
      <c r="AU152" s="539"/>
      <c r="AV152" s="539">
        <v>0</v>
      </c>
      <c r="AW152" s="539"/>
      <c r="AX152" s="539"/>
      <c r="AY152" s="539"/>
      <c r="AZ152" s="539"/>
      <c r="BA152" s="539"/>
      <c r="BB152" s="539"/>
      <c r="BC152" s="539"/>
      <c r="BD152" s="539"/>
      <c r="BE152" s="539">
        <v>0</v>
      </c>
      <c r="BF152" s="539"/>
      <c r="BG152" s="539"/>
      <c r="BH152" s="539">
        <v>0</v>
      </c>
      <c r="BI152" s="539"/>
      <c r="BJ152" s="539"/>
      <c r="BK152" s="13">
        <f>24000000+2500000</f>
        <v>26500000</v>
      </c>
      <c r="BL152" s="540">
        <v>20000000</v>
      </c>
      <c r="BM152" s="540">
        <v>8360000</v>
      </c>
      <c r="BN152" s="540"/>
      <c r="BO152" s="540"/>
      <c r="BP152" s="540"/>
      <c r="BQ152" s="539">
        <v>0</v>
      </c>
      <c r="BR152" s="541"/>
      <c r="BS152" s="541"/>
      <c r="BT152" s="541"/>
      <c r="BU152" s="541"/>
      <c r="BV152" s="541"/>
      <c r="BW152" s="541">
        <v>0</v>
      </c>
      <c r="BX152" s="541"/>
      <c r="BY152" s="541"/>
      <c r="BZ152" s="539">
        <f t="shared" si="119"/>
        <v>26500000</v>
      </c>
      <c r="CA152" s="539">
        <f t="shared" si="120"/>
        <v>20000000</v>
      </c>
      <c r="CB152" s="539">
        <f t="shared" si="121"/>
        <v>8360000</v>
      </c>
    </row>
    <row r="153" spans="1:80" s="459" customFormat="1" ht="15.75" x14ac:dyDescent="0.2">
      <c r="A153" s="54"/>
      <c r="B153" s="64"/>
      <c r="C153" s="510"/>
      <c r="D153" s="518"/>
      <c r="E153" s="510"/>
      <c r="F153" s="510"/>
      <c r="G153" s="77"/>
      <c r="H153" s="78"/>
      <c r="I153" s="77"/>
      <c r="J153" s="79"/>
      <c r="K153" s="215"/>
      <c r="L153" s="216"/>
      <c r="M153" s="216"/>
      <c r="N153" s="217"/>
      <c r="O153" s="78"/>
      <c r="P153" s="77"/>
      <c r="Q153" s="78"/>
      <c r="R153" s="548">
        <f t="shared" ref="R153:BZ153" si="122">SUM(R148:R152)</f>
        <v>0</v>
      </c>
      <c r="S153" s="548">
        <f t="shared" si="122"/>
        <v>0</v>
      </c>
      <c r="T153" s="548">
        <f t="shared" si="122"/>
        <v>0</v>
      </c>
      <c r="U153" s="548">
        <f t="shared" si="122"/>
        <v>0</v>
      </c>
      <c r="V153" s="548">
        <f t="shared" si="122"/>
        <v>0</v>
      </c>
      <c r="W153" s="548">
        <f t="shared" si="122"/>
        <v>0</v>
      </c>
      <c r="X153" s="548">
        <f t="shared" si="122"/>
        <v>0</v>
      </c>
      <c r="Y153" s="548">
        <f t="shared" si="122"/>
        <v>0</v>
      </c>
      <c r="Z153" s="548">
        <f t="shared" si="122"/>
        <v>0</v>
      </c>
      <c r="AA153" s="548">
        <f t="shared" si="122"/>
        <v>0</v>
      </c>
      <c r="AB153" s="548">
        <f t="shared" si="122"/>
        <v>0</v>
      </c>
      <c r="AC153" s="548">
        <f t="shared" si="122"/>
        <v>0</v>
      </c>
      <c r="AD153" s="548">
        <f t="shared" si="122"/>
        <v>0</v>
      </c>
      <c r="AE153" s="548">
        <f t="shared" si="122"/>
        <v>0</v>
      </c>
      <c r="AF153" s="548">
        <f t="shared" si="122"/>
        <v>0</v>
      </c>
      <c r="AG153" s="548">
        <f t="shared" si="122"/>
        <v>0</v>
      </c>
      <c r="AH153" s="548">
        <f t="shared" si="122"/>
        <v>0</v>
      </c>
      <c r="AI153" s="548">
        <f t="shared" si="122"/>
        <v>0</v>
      </c>
      <c r="AJ153" s="548">
        <f t="shared" si="122"/>
        <v>0</v>
      </c>
      <c r="AK153" s="548">
        <f t="shared" si="122"/>
        <v>0</v>
      </c>
      <c r="AL153" s="548">
        <f t="shared" si="122"/>
        <v>0</v>
      </c>
      <c r="AM153" s="548">
        <f t="shared" si="122"/>
        <v>0</v>
      </c>
      <c r="AN153" s="548">
        <f t="shared" si="122"/>
        <v>0</v>
      </c>
      <c r="AO153" s="548">
        <f t="shared" si="122"/>
        <v>0</v>
      </c>
      <c r="AP153" s="548">
        <f t="shared" si="122"/>
        <v>0</v>
      </c>
      <c r="AQ153" s="548">
        <f t="shared" si="122"/>
        <v>0</v>
      </c>
      <c r="AR153" s="548">
        <f t="shared" si="122"/>
        <v>0</v>
      </c>
      <c r="AS153" s="548">
        <f t="shared" si="122"/>
        <v>0</v>
      </c>
      <c r="AT153" s="548">
        <f t="shared" si="122"/>
        <v>0</v>
      </c>
      <c r="AU153" s="548">
        <f t="shared" si="122"/>
        <v>0</v>
      </c>
      <c r="AV153" s="548">
        <f t="shared" si="122"/>
        <v>0</v>
      </c>
      <c r="AW153" s="548">
        <f t="shared" si="122"/>
        <v>0</v>
      </c>
      <c r="AX153" s="548">
        <f t="shared" si="122"/>
        <v>0</v>
      </c>
      <c r="AY153" s="548">
        <f t="shared" si="122"/>
        <v>0</v>
      </c>
      <c r="AZ153" s="548">
        <f t="shared" si="122"/>
        <v>0</v>
      </c>
      <c r="BA153" s="548">
        <f t="shared" si="122"/>
        <v>0</v>
      </c>
      <c r="BB153" s="548">
        <f t="shared" si="122"/>
        <v>0</v>
      </c>
      <c r="BC153" s="548">
        <f t="shared" si="122"/>
        <v>0</v>
      </c>
      <c r="BD153" s="548">
        <f t="shared" si="122"/>
        <v>0</v>
      </c>
      <c r="BE153" s="548">
        <f t="shared" si="122"/>
        <v>0</v>
      </c>
      <c r="BF153" s="548">
        <f t="shared" si="122"/>
        <v>0</v>
      </c>
      <c r="BG153" s="548">
        <f t="shared" si="122"/>
        <v>0</v>
      </c>
      <c r="BH153" s="548">
        <f t="shared" si="122"/>
        <v>0</v>
      </c>
      <c r="BI153" s="548">
        <f t="shared" si="122"/>
        <v>0</v>
      </c>
      <c r="BJ153" s="548">
        <f t="shared" si="122"/>
        <v>0</v>
      </c>
      <c r="BK153" s="548">
        <f t="shared" si="122"/>
        <v>499000000</v>
      </c>
      <c r="BL153" s="548">
        <f t="shared" si="122"/>
        <v>146372794</v>
      </c>
      <c r="BM153" s="548">
        <f t="shared" si="122"/>
        <v>63522794</v>
      </c>
      <c r="BN153" s="548">
        <f t="shared" si="122"/>
        <v>0</v>
      </c>
      <c r="BO153" s="548">
        <f t="shared" si="122"/>
        <v>0</v>
      </c>
      <c r="BP153" s="548">
        <f t="shared" si="122"/>
        <v>0</v>
      </c>
      <c r="BQ153" s="548">
        <f t="shared" si="122"/>
        <v>0</v>
      </c>
      <c r="BR153" s="548">
        <f t="shared" si="122"/>
        <v>0</v>
      </c>
      <c r="BS153" s="548">
        <f t="shared" si="122"/>
        <v>0</v>
      </c>
      <c r="BT153" s="548">
        <f t="shared" si="122"/>
        <v>0</v>
      </c>
      <c r="BU153" s="548">
        <f t="shared" si="122"/>
        <v>0</v>
      </c>
      <c r="BV153" s="548">
        <f t="shared" si="122"/>
        <v>0</v>
      </c>
      <c r="BW153" s="548">
        <f t="shared" si="122"/>
        <v>0</v>
      </c>
      <c r="BX153" s="548">
        <f t="shared" si="122"/>
        <v>0</v>
      </c>
      <c r="BY153" s="548">
        <f t="shared" si="122"/>
        <v>0</v>
      </c>
      <c r="BZ153" s="548">
        <f t="shared" si="122"/>
        <v>499000000</v>
      </c>
      <c r="CA153" s="548">
        <f t="shared" ref="CA153:CB153" si="123">SUM(CA148:CA152)</f>
        <v>146372794</v>
      </c>
      <c r="CB153" s="548">
        <f t="shared" si="123"/>
        <v>63522794</v>
      </c>
    </row>
    <row r="154" spans="1:80" s="11" customFormat="1" ht="15.75" x14ac:dyDescent="0.2">
      <c r="A154" s="54"/>
      <c r="B154" s="64"/>
      <c r="C154" s="92"/>
      <c r="D154" s="91"/>
      <c r="E154" s="92"/>
      <c r="F154" s="92"/>
      <c r="G154" s="91"/>
      <c r="H154" s="92"/>
      <c r="I154" s="91"/>
      <c r="J154" s="93"/>
      <c r="K154" s="218"/>
      <c r="L154" s="219"/>
      <c r="M154" s="219"/>
      <c r="N154" s="220"/>
      <c r="O154" s="499"/>
      <c r="P154" s="124"/>
      <c r="Q154" s="92"/>
      <c r="R154" s="543"/>
      <c r="S154" s="543"/>
      <c r="T154" s="543"/>
      <c r="U154" s="544"/>
      <c r="V154" s="544"/>
      <c r="W154" s="544"/>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3"/>
      <c r="AY154" s="544"/>
      <c r="AZ154" s="544"/>
      <c r="BA154" s="544"/>
      <c r="BB154" s="544"/>
      <c r="BC154" s="544"/>
      <c r="BD154" s="544"/>
      <c r="BE154" s="543"/>
      <c r="BF154" s="543"/>
      <c r="BG154" s="543"/>
      <c r="BH154" s="543"/>
      <c r="BI154" s="583"/>
      <c r="BJ154" s="583"/>
      <c r="BK154" s="584"/>
      <c r="BL154" s="584"/>
      <c r="BM154" s="584"/>
      <c r="BN154" s="583"/>
      <c r="BO154" s="583"/>
      <c r="BP154" s="583"/>
      <c r="BQ154" s="543"/>
      <c r="BR154" s="543"/>
      <c r="BS154" s="543"/>
      <c r="BT154" s="543"/>
      <c r="BU154" s="543"/>
      <c r="BV154" s="543"/>
      <c r="BW154" s="544"/>
      <c r="BX154" s="544"/>
      <c r="BY154" s="544"/>
      <c r="BZ154" s="543"/>
      <c r="CA154" s="543"/>
      <c r="CB154" s="543"/>
    </row>
    <row r="155" spans="1:80" s="459" customFormat="1" ht="15.75" x14ac:dyDescent="0.2">
      <c r="A155" s="54"/>
      <c r="B155" s="64"/>
      <c r="C155" s="508"/>
      <c r="D155" s="516"/>
      <c r="E155" s="508"/>
      <c r="F155" s="508"/>
      <c r="G155" s="169">
        <v>79</v>
      </c>
      <c r="H155" s="211" t="s">
        <v>215</v>
      </c>
      <c r="I155" s="100"/>
      <c r="J155" s="100"/>
      <c r="K155" s="114"/>
      <c r="L155" s="114"/>
      <c r="M155" s="114"/>
      <c r="N155" s="100"/>
      <c r="O155" s="212"/>
      <c r="P155" s="100"/>
      <c r="Q155" s="100"/>
      <c r="R155" s="585"/>
      <c r="S155" s="585"/>
      <c r="T155" s="585"/>
      <c r="U155" s="585"/>
      <c r="V155" s="585"/>
      <c r="W155" s="585"/>
      <c r="X155" s="585"/>
      <c r="Y155" s="585"/>
      <c r="Z155" s="585"/>
      <c r="AA155" s="585"/>
      <c r="AB155" s="585"/>
      <c r="AC155" s="585"/>
      <c r="AD155" s="585"/>
      <c r="AE155" s="585"/>
      <c r="AF155" s="585"/>
      <c r="AG155" s="585"/>
      <c r="AH155" s="585"/>
      <c r="AI155" s="585"/>
      <c r="AJ155" s="585"/>
      <c r="AK155" s="585"/>
      <c r="AL155" s="585"/>
      <c r="AM155" s="585"/>
      <c r="AN155" s="585"/>
      <c r="AO155" s="585"/>
      <c r="AP155" s="585"/>
      <c r="AQ155" s="585"/>
      <c r="AR155" s="585"/>
      <c r="AS155" s="585"/>
      <c r="AT155" s="585"/>
      <c r="AU155" s="585"/>
      <c r="AV155" s="585"/>
      <c r="AW155" s="585"/>
      <c r="AX155" s="585"/>
      <c r="AY155" s="585"/>
      <c r="AZ155" s="585"/>
      <c r="BA155" s="585"/>
      <c r="BB155" s="585"/>
      <c r="BC155" s="585"/>
      <c r="BD155" s="585"/>
      <c r="BE155" s="585"/>
      <c r="BF155" s="585"/>
      <c r="BG155" s="585"/>
      <c r="BH155" s="585"/>
      <c r="BI155" s="585"/>
      <c r="BJ155" s="585"/>
      <c r="BK155" s="586"/>
      <c r="BL155" s="586"/>
      <c r="BM155" s="586"/>
      <c r="BN155" s="585"/>
      <c r="BO155" s="585"/>
      <c r="BP155" s="585"/>
      <c r="BQ155" s="585"/>
      <c r="BR155" s="585"/>
      <c r="BS155" s="585"/>
      <c r="BT155" s="585"/>
      <c r="BU155" s="585"/>
      <c r="BV155" s="585"/>
      <c r="BW155" s="585"/>
      <c r="BX155" s="585"/>
      <c r="BY155" s="585"/>
      <c r="BZ155" s="338"/>
      <c r="CA155" s="338"/>
      <c r="CB155" s="338"/>
    </row>
    <row r="156" spans="1:80" s="11" customFormat="1" ht="83.25" customHeight="1" x14ac:dyDescent="0.2">
      <c r="A156" s="54"/>
      <c r="B156" s="64"/>
      <c r="C156" s="857">
        <v>13</v>
      </c>
      <c r="D156" s="854" t="s">
        <v>204</v>
      </c>
      <c r="E156" s="857" t="s">
        <v>205</v>
      </c>
      <c r="F156" s="857" t="s">
        <v>206</v>
      </c>
      <c r="G156" s="58"/>
      <c r="H156" s="57">
        <v>231</v>
      </c>
      <c r="I156" s="56" t="s">
        <v>216</v>
      </c>
      <c r="J156" s="59">
        <v>1</v>
      </c>
      <c r="K156" s="60">
        <v>1</v>
      </c>
      <c r="L156" s="135">
        <v>0.15</v>
      </c>
      <c r="M156" s="850">
        <v>2017003630012</v>
      </c>
      <c r="N156" s="873" t="s">
        <v>208</v>
      </c>
      <c r="O156" s="856" t="s">
        <v>217</v>
      </c>
      <c r="P156" s="853" t="s">
        <v>218</v>
      </c>
      <c r="Q156" s="57" t="s">
        <v>51</v>
      </c>
      <c r="R156" s="539">
        <v>0</v>
      </c>
      <c r="S156" s="539"/>
      <c r="T156" s="539"/>
      <c r="U156" s="539">
        <v>0</v>
      </c>
      <c r="V156" s="539"/>
      <c r="W156" s="539"/>
      <c r="X156" s="539">
        <v>0</v>
      </c>
      <c r="Y156" s="539"/>
      <c r="Z156" s="539"/>
      <c r="AA156" s="539">
        <v>0</v>
      </c>
      <c r="AB156" s="539"/>
      <c r="AC156" s="539"/>
      <c r="AD156" s="539">
        <v>0</v>
      </c>
      <c r="AE156" s="539"/>
      <c r="AF156" s="539"/>
      <c r="AG156" s="539">
        <v>0</v>
      </c>
      <c r="AH156" s="539"/>
      <c r="AI156" s="539"/>
      <c r="AJ156" s="539">
        <v>0</v>
      </c>
      <c r="AK156" s="539"/>
      <c r="AL156" s="539"/>
      <c r="AM156" s="539"/>
      <c r="AN156" s="539"/>
      <c r="AO156" s="539"/>
      <c r="AP156" s="539"/>
      <c r="AQ156" s="539"/>
      <c r="AR156" s="539"/>
      <c r="AS156" s="539">
        <v>0</v>
      </c>
      <c r="AT156" s="539"/>
      <c r="AU156" s="539"/>
      <c r="AV156" s="539">
        <v>0</v>
      </c>
      <c r="AW156" s="539"/>
      <c r="AX156" s="539"/>
      <c r="AY156" s="539"/>
      <c r="AZ156" s="539"/>
      <c r="BA156" s="539"/>
      <c r="BB156" s="539"/>
      <c r="BC156" s="539"/>
      <c r="BD156" s="539"/>
      <c r="BE156" s="539">
        <v>0</v>
      </c>
      <c r="BF156" s="539"/>
      <c r="BG156" s="539"/>
      <c r="BH156" s="539">
        <v>0</v>
      </c>
      <c r="BI156" s="539"/>
      <c r="BJ156" s="539"/>
      <c r="BK156" s="540">
        <f>2250000+5000000</f>
        <v>7250000</v>
      </c>
      <c r="BL156" s="540">
        <v>1500000</v>
      </c>
      <c r="BM156" s="540"/>
      <c r="BN156" s="540"/>
      <c r="BO156" s="540"/>
      <c r="BP156" s="540"/>
      <c r="BQ156" s="539">
        <v>0</v>
      </c>
      <c r="BR156" s="541"/>
      <c r="BS156" s="541"/>
      <c r="BT156" s="541"/>
      <c r="BU156" s="541"/>
      <c r="BV156" s="541"/>
      <c r="BW156" s="541">
        <v>0</v>
      </c>
      <c r="BX156" s="541"/>
      <c r="BY156" s="541"/>
      <c r="BZ156" s="539">
        <f t="shared" ref="BZ156:BZ158" si="124">R156+U156+X156+AA156+AD156+AG156+AJ156+AM156+AP156+AS156+AV156+AY156+BB156+BE156+BH156+BK156+BN156+BQ156+BT156+BW156</f>
        <v>7250000</v>
      </c>
      <c r="CA156" s="539">
        <f t="shared" ref="CA156:CA158" si="125">S156+V156+Y156+AB156+AE156+AH156+AK156+AN156+AQ156+AT156+AW156+AZ156+BC156+BF156+BI156+BL156+BO156+BR156+BU156+BX156</f>
        <v>1500000</v>
      </c>
      <c r="CB156" s="539">
        <f t="shared" ref="CB156:CB158" si="126">T156+W156+Z156+AC156+AF156+AI156+AL156+AO156+AR156+AU156+AX156+BA156+BD156+BG156+BJ156+BM156+BP156+BS156+BV156+BY156</f>
        <v>0</v>
      </c>
    </row>
    <row r="157" spans="1:80" s="11" customFormat="1" ht="81" customHeight="1" x14ac:dyDescent="0.2">
      <c r="A157" s="54"/>
      <c r="B157" s="64"/>
      <c r="C157" s="857"/>
      <c r="D157" s="854"/>
      <c r="E157" s="857"/>
      <c r="F157" s="857"/>
      <c r="G157" s="64"/>
      <c r="H157" s="57">
        <v>232</v>
      </c>
      <c r="I157" s="56" t="s">
        <v>219</v>
      </c>
      <c r="J157" s="59">
        <v>12</v>
      </c>
      <c r="K157" s="60">
        <v>12</v>
      </c>
      <c r="L157" s="60">
        <v>3</v>
      </c>
      <c r="M157" s="851"/>
      <c r="N157" s="874"/>
      <c r="O157" s="857"/>
      <c r="P157" s="854"/>
      <c r="Q157" s="57" t="s">
        <v>51</v>
      </c>
      <c r="R157" s="539">
        <v>0</v>
      </c>
      <c r="S157" s="539"/>
      <c r="T157" s="539"/>
      <c r="U157" s="539">
        <v>0</v>
      </c>
      <c r="V157" s="539"/>
      <c r="W157" s="539"/>
      <c r="X157" s="539">
        <v>0</v>
      </c>
      <c r="Y157" s="539"/>
      <c r="Z157" s="539"/>
      <c r="AA157" s="539">
        <v>0</v>
      </c>
      <c r="AB157" s="539"/>
      <c r="AC157" s="539"/>
      <c r="AD157" s="539">
        <v>0</v>
      </c>
      <c r="AE157" s="539"/>
      <c r="AF157" s="539"/>
      <c r="AG157" s="539">
        <v>0</v>
      </c>
      <c r="AH157" s="539"/>
      <c r="AI157" s="539"/>
      <c r="AJ157" s="539">
        <v>0</v>
      </c>
      <c r="AK157" s="539"/>
      <c r="AL157" s="539"/>
      <c r="AM157" s="539"/>
      <c r="AN157" s="539"/>
      <c r="AO157" s="539"/>
      <c r="AP157" s="539"/>
      <c r="AQ157" s="539"/>
      <c r="AR157" s="539"/>
      <c r="AS157" s="539">
        <v>0</v>
      </c>
      <c r="AT157" s="539"/>
      <c r="AU157" s="539"/>
      <c r="AV157" s="539">
        <v>0</v>
      </c>
      <c r="AW157" s="539"/>
      <c r="AX157" s="539"/>
      <c r="AY157" s="539"/>
      <c r="AZ157" s="539"/>
      <c r="BA157" s="539"/>
      <c r="BB157" s="539"/>
      <c r="BC157" s="539"/>
      <c r="BD157" s="539"/>
      <c r="BE157" s="539">
        <v>0</v>
      </c>
      <c r="BF157" s="539"/>
      <c r="BG157" s="539"/>
      <c r="BH157" s="539">
        <v>0</v>
      </c>
      <c r="BI157" s="539"/>
      <c r="BJ157" s="539"/>
      <c r="BK157" s="540">
        <f>13800000+10000000</f>
        <v>23800000</v>
      </c>
      <c r="BL157" s="540">
        <v>750000</v>
      </c>
      <c r="BM157" s="540"/>
      <c r="BN157" s="540"/>
      <c r="BO157" s="540"/>
      <c r="BP157" s="540"/>
      <c r="BQ157" s="539">
        <v>0</v>
      </c>
      <c r="BR157" s="541"/>
      <c r="BS157" s="541"/>
      <c r="BT157" s="541"/>
      <c r="BU157" s="541"/>
      <c r="BV157" s="541"/>
      <c r="BW157" s="541">
        <v>0</v>
      </c>
      <c r="BX157" s="541"/>
      <c r="BY157" s="541"/>
      <c r="BZ157" s="539">
        <f t="shared" si="124"/>
        <v>23800000</v>
      </c>
      <c r="CA157" s="539">
        <f t="shared" si="125"/>
        <v>750000</v>
      </c>
      <c r="CB157" s="539">
        <f t="shared" si="126"/>
        <v>0</v>
      </c>
    </row>
    <row r="158" spans="1:80" s="11" customFormat="1" ht="52.5" customHeight="1" x14ac:dyDescent="0.2">
      <c r="A158" s="54"/>
      <c r="B158" s="64"/>
      <c r="C158" s="857"/>
      <c r="D158" s="854"/>
      <c r="E158" s="857"/>
      <c r="F158" s="857"/>
      <c r="G158" s="64"/>
      <c r="H158" s="57">
        <v>233</v>
      </c>
      <c r="I158" s="56" t="s">
        <v>220</v>
      </c>
      <c r="J158" s="59">
        <v>1</v>
      </c>
      <c r="K158" s="60">
        <v>1</v>
      </c>
      <c r="L158" s="135">
        <v>0.25</v>
      </c>
      <c r="M158" s="852"/>
      <c r="N158" s="875"/>
      <c r="O158" s="858"/>
      <c r="P158" s="855"/>
      <c r="Q158" s="57" t="s">
        <v>51</v>
      </c>
      <c r="R158" s="539">
        <v>0</v>
      </c>
      <c r="S158" s="539"/>
      <c r="T158" s="539"/>
      <c r="U158" s="539">
        <v>0</v>
      </c>
      <c r="V158" s="539"/>
      <c r="W158" s="539"/>
      <c r="X158" s="539">
        <v>0</v>
      </c>
      <c r="Y158" s="539"/>
      <c r="Z158" s="539"/>
      <c r="AA158" s="539">
        <v>0</v>
      </c>
      <c r="AB158" s="539"/>
      <c r="AC158" s="539"/>
      <c r="AD158" s="539">
        <v>0</v>
      </c>
      <c r="AE158" s="539"/>
      <c r="AF158" s="539"/>
      <c r="AG158" s="539">
        <v>0</v>
      </c>
      <c r="AH158" s="539"/>
      <c r="AI158" s="539"/>
      <c r="AJ158" s="539">
        <v>0</v>
      </c>
      <c r="AK158" s="539"/>
      <c r="AL158" s="539"/>
      <c r="AM158" s="539"/>
      <c r="AN158" s="539"/>
      <c r="AO158" s="539"/>
      <c r="AP158" s="539"/>
      <c r="AQ158" s="539"/>
      <c r="AR158" s="539"/>
      <c r="AS158" s="539">
        <v>0</v>
      </c>
      <c r="AT158" s="539"/>
      <c r="AU158" s="539"/>
      <c r="AV158" s="539">
        <v>0</v>
      </c>
      <c r="AW158" s="539"/>
      <c r="AX158" s="539"/>
      <c r="AY158" s="539"/>
      <c r="AZ158" s="539"/>
      <c r="BA158" s="539"/>
      <c r="BB158" s="539"/>
      <c r="BC158" s="539"/>
      <c r="BD158" s="539"/>
      <c r="BE158" s="539">
        <v>0</v>
      </c>
      <c r="BF158" s="539"/>
      <c r="BG158" s="539"/>
      <c r="BH158" s="539">
        <v>0</v>
      </c>
      <c r="BI158" s="539"/>
      <c r="BJ158" s="539"/>
      <c r="BK158" s="540">
        <f>10950000+10000000</f>
        <v>20950000</v>
      </c>
      <c r="BL158" s="540">
        <v>5600000</v>
      </c>
      <c r="BM158" s="540"/>
      <c r="BN158" s="540"/>
      <c r="BO158" s="540"/>
      <c r="BP158" s="540"/>
      <c r="BQ158" s="539">
        <v>0</v>
      </c>
      <c r="BR158" s="541"/>
      <c r="BS158" s="541"/>
      <c r="BT158" s="541"/>
      <c r="BU158" s="541"/>
      <c r="BV158" s="541"/>
      <c r="BW158" s="541">
        <v>0</v>
      </c>
      <c r="BX158" s="541"/>
      <c r="BY158" s="541"/>
      <c r="BZ158" s="539">
        <f t="shared" si="124"/>
        <v>20950000</v>
      </c>
      <c r="CA158" s="539">
        <f t="shared" si="125"/>
        <v>5600000</v>
      </c>
      <c r="CB158" s="539">
        <f t="shared" si="126"/>
        <v>0</v>
      </c>
    </row>
    <row r="159" spans="1:80" s="459" customFormat="1" ht="15.75" x14ac:dyDescent="0.2">
      <c r="A159" s="54"/>
      <c r="B159" s="64"/>
      <c r="C159" s="510"/>
      <c r="D159" s="518"/>
      <c r="E159" s="510"/>
      <c r="F159" s="510"/>
      <c r="G159" s="77"/>
      <c r="H159" s="78"/>
      <c r="I159" s="77"/>
      <c r="J159" s="79"/>
      <c r="K159" s="105"/>
      <c r="L159" s="105"/>
      <c r="M159" s="105"/>
      <c r="N159" s="79"/>
      <c r="O159" s="78"/>
      <c r="P159" s="77"/>
      <c r="Q159" s="78"/>
      <c r="R159" s="548">
        <f t="shared" ref="R159:BY159" si="127">SUM(R156:R158)</f>
        <v>0</v>
      </c>
      <c r="S159" s="548">
        <f t="shared" si="127"/>
        <v>0</v>
      </c>
      <c r="T159" s="548">
        <f t="shared" si="127"/>
        <v>0</v>
      </c>
      <c r="U159" s="548">
        <f t="shared" si="127"/>
        <v>0</v>
      </c>
      <c r="V159" s="548">
        <f t="shared" si="127"/>
        <v>0</v>
      </c>
      <c r="W159" s="548">
        <f t="shared" si="127"/>
        <v>0</v>
      </c>
      <c r="X159" s="548">
        <f t="shared" si="127"/>
        <v>0</v>
      </c>
      <c r="Y159" s="548">
        <f t="shared" si="127"/>
        <v>0</v>
      </c>
      <c r="Z159" s="548">
        <f t="shared" si="127"/>
        <v>0</v>
      </c>
      <c r="AA159" s="548">
        <f t="shared" si="127"/>
        <v>0</v>
      </c>
      <c r="AB159" s="548">
        <f t="shared" si="127"/>
        <v>0</v>
      </c>
      <c r="AC159" s="548">
        <f t="shared" si="127"/>
        <v>0</v>
      </c>
      <c r="AD159" s="548">
        <f t="shared" si="127"/>
        <v>0</v>
      </c>
      <c r="AE159" s="548">
        <f t="shared" si="127"/>
        <v>0</v>
      </c>
      <c r="AF159" s="548">
        <f t="shared" si="127"/>
        <v>0</v>
      </c>
      <c r="AG159" s="548">
        <f t="shared" si="127"/>
        <v>0</v>
      </c>
      <c r="AH159" s="548">
        <f t="shared" si="127"/>
        <v>0</v>
      </c>
      <c r="AI159" s="548">
        <f t="shared" si="127"/>
        <v>0</v>
      </c>
      <c r="AJ159" s="548">
        <f t="shared" si="127"/>
        <v>0</v>
      </c>
      <c r="AK159" s="548">
        <f t="shared" si="127"/>
        <v>0</v>
      </c>
      <c r="AL159" s="548">
        <f t="shared" si="127"/>
        <v>0</v>
      </c>
      <c r="AM159" s="548">
        <f t="shared" si="127"/>
        <v>0</v>
      </c>
      <c r="AN159" s="548">
        <f t="shared" si="127"/>
        <v>0</v>
      </c>
      <c r="AO159" s="548">
        <f t="shared" si="127"/>
        <v>0</v>
      </c>
      <c r="AP159" s="548">
        <f t="shared" si="127"/>
        <v>0</v>
      </c>
      <c r="AQ159" s="548">
        <f t="shared" si="127"/>
        <v>0</v>
      </c>
      <c r="AR159" s="548">
        <f t="shared" si="127"/>
        <v>0</v>
      </c>
      <c r="AS159" s="548">
        <f t="shared" si="127"/>
        <v>0</v>
      </c>
      <c r="AT159" s="548">
        <f t="shared" si="127"/>
        <v>0</v>
      </c>
      <c r="AU159" s="548">
        <f t="shared" si="127"/>
        <v>0</v>
      </c>
      <c r="AV159" s="548">
        <f t="shared" si="127"/>
        <v>0</v>
      </c>
      <c r="AW159" s="548">
        <f t="shared" si="127"/>
        <v>0</v>
      </c>
      <c r="AX159" s="548">
        <f t="shared" si="127"/>
        <v>0</v>
      </c>
      <c r="AY159" s="548">
        <f t="shared" si="127"/>
        <v>0</v>
      </c>
      <c r="AZ159" s="548">
        <f t="shared" si="127"/>
        <v>0</v>
      </c>
      <c r="BA159" s="548">
        <f t="shared" si="127"/>
        <v>0</v>
      </c>
      <c r="BB159" s="548">
        <f t="shared" si="127"/>
        <v>0</v>
      </c>
      <c r="BC159" s="548">
        <f t="shared" si="127"/>
        <v>0</v>
      </c>
      <c r="BD159" s="548">
        <f t="shared" si="127"/>
        <v>0</v>
      </c>
      <c r="BE159" s="548">
        <f t="shared" si="127"/>
        <v>0</v>
      </c>
      <c r="BF159" s="548">
        <f t="shared" si="127"/>
        <v>0</v>
      </c>
      <c r="BG159" s="548">
        <f t="shared" si="127"/>
        <v>0</v>
      </c>
      <c r="BH159" s="548">
        <f t="shared" si="127"/>
        <v>0</v>
      </c>
      <c r="BI159" s="548">
        <f t="shared" si="127"/>
        <v>0</v>
      </c>
      <c r="BJ159" s="548">
        <f t="shared" si="127"/>
        <v>0</v>
      </c>
      <c r="BK159" s="548">
        <f t="shared" si="127"/>
        <v>52000000</v>
      </c>
      <c r="BL159" s="548">
        <f t="shared" si="127"/>
        <v>7850000</v>
      </c>
      <c r="BM159" s="548">
        <f t="shared" si="127"/>
        <v>0</v>
      </c>
      <c r="BN159" s="548">
        <f t="shared" si="127"/>
        <v>0</v>
      </c>
      <c r="BO159" s="548">
        <f t="shared" si="127"/>
        <v>0</v>
      </c>
      <c r="BP159" s="548">
        <f t="shared" si="127"/>
        <v>0</v>
      </c>
      <c r="BQ159" s="548">
        <f t="shared" si="127"/>
        <v>0</v>
      </c>
      <c r="BR159" s="548">
        <f t="shared" si="127"/>
        <v>0</v>
      </c>
      <c r="BS159" s="548">
        <f t="shared" si="127"/>
        <v>0</v>
      </c>
      <c r="BT159" s="548">
        <f t="shared" si="127"/>
        <v>0</v>
      </c>
      <c r="BU159" s="548">
        <f t="shared" si="127"/>
        <v>0</v>
      </c>
      <c r="BV159" s="548">
        <f t="shared" si="127"/>
        <v>0</v>
      </c>
      <c r="BW159" s="548">
        <f t="shared" si="127"/>
        <v>0</v>
      </c>
      <c r="BX159" s="548">
        <f t="shared" si="127"/>
        <v>0</v>
      </c>
      <c r="BY159" s="548">
        <f t="shared" si="127"/>
        <v>0</v>
      </c>
      <c r="BZ159" s="548">
        <f>SUM(BZ156:BZ158)</f>
        <v>52000000</v>
      </c>
      <c r="CA159" s="548">
        <f t="shared" ref="CA159:CB159" si="128">SUM(CA156:CA158)</f>
        <v>7850000</v>
      </c>
      <c r="CB159" s="548">
        <f t="shared" si="128"/>
        <v>0</v>
      </c>
    </row>
    <row r="160" spans="1:80" s="11" customFormat="1" ht="15.75" x14ac:dyDescent="0.2">
      <c r="A160" s="54"/>
      <c r="B160" s="64"/>
      <c r="C160" s="92"/>
      <c r="D160" s="91"/>
      <c r="E160" s="92"/>
      <c r="F160" s="92"/>
      <c r="G160" s="91"/>
      <c r="H160" s="92"/>
      <c r="I160" s="91"/>
      <c r="J160" s="93"/>
      <c r="K160" s="104"/>
      <c r="L160" s="210"/>
      <c r="M160" s="210"/>
      <c r="N160" s="146"/>
      <c r="O160" s="499"/>
      <c r="P160" s="124"/>
      <c r="Q160" s="92"/>
      <c r="R160" s="543"/>
      <c r="S160" s="543"/>
      <c r="T160" s="543"/>
      <c r="U160" s="544"/>
      <c r="V160" s="544"/>
      <c r="W160" s="544"/>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3"/>
      <c r="AY160" s="544"/>
      <c r="AZ160" s="544"/>
      <c r="BA160" s="544"/>
      <c r="BB160" s="544"/>
      <c r="BC160" s="544"/>
      <c r="BD160" s="544"/>
      <c r="BE160" s="543"/>
      <c r="BF160" s="543"/>
      <c r="BG160" s="543"/>
      <c r="BH160" s="543"/>
      <c r="BI160" s="583"/>
      <c r="BJ160" s="583"/>
      <c r="BK160" s="584"/>
      <c r="BL160" s="584"/>
      <c r="BM160" s="584"/>
      <c r="BN160" s="587"/>
      <c r="BO160" s="587"/>
      <c r="BP160" s="587"/>
      <c r="BQ160" s="543"/>
      <c r="BR160" s="543"/>
      <c r="BS160" s="543"/>
      <c r="BT160" s="543"/>
      <c r="BU160" s="543"/>
      <c r="BV160" s="543"/>
      <c r="BW160" s="544"/>
      <c r="BX160" s="544"/>
      <c r="BY160" s="544"/>
      <c r="BZ160" s="547"/>
      <c r="CA160" s="547"/>
      <c r="CB160" s="547"/>
    </row>
    <row r="161" spans="1:80" s="459" customFormat="1" ht="15.75" x14ac:dyDescent="0.2">
      <c r="A161" s="54"/>
      <c r="B161" s="64"/>
      <c r="C161" s="508"/>
      <c r="D161" s="516"/>
      <c r="E161" s="508"/>
      <c r="F161" s="508"/>
      <c r="G161" s="169">
        <v>80</v>
      </c>
      <c r="H161" s="211" t="s">
        <v>221</v>
      </c>
      <c r="I161" s="100"/>
      <c r="J161" s="100"/>
      <c r="K161" s="114"/>
      <c r="L161" s="114"/>
      <c r="M161" s="114"/>
      <c r="N161" s="100"/>
      <c r="O161" s="212"/>
      <c r="P161" s="100"/>
      <c r="Q161" s="100"/>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6"/>
      <c r="AY161" s="336"/>
      <c r="AZ161" s="336"/>
      <c r="BA161" s="336"/>
      <c r="BB161" s="336"/>
      <c r="BC161" s="336"/>
      <c r="BD161" s="336"/>
      <c r="BE161" s="336"/>
      <c r="BF161" s="336"/>
      <c r="BG161" s="336"/>
      <c r="BH161" s="336"/>
      <c r="BI161" s="336"/>
      <c r="BJ161" s="336"/>
      <c r="BK161" s="552"/>
      <c r="BL161" s="552"/>
      <c r="BM161" s="552"/>
      <c r="BN161" s="336"/>
      <c r="BO161" s="336"/>
      <c r="BP161" s="336"/>
      <c r="BQ161" s="336"/>
      <c r="BR161" s="336"/>
      <c r="BS161" s="336"/>
      <c r="BT161" s="336"/>
      <c r="BU161" s="336"/>
      <c r="BV161" s="336"/>
      <c r="BW161" s="336"/>
      <c r="BX161" s="336"/>
      <c r="BY161" s="336"/>
      <c r="BZ161" s="338"/>
      <c r="CA161" s="338"/>
      <c r="CB161" s="338"/>
    </row>
    <row r="162" spans="1:80" s="11" customFormat="1" ht="124.5" customHeight="1" x14ac:dyDescent="0.2">
      <c r="A162" s="54"/>
      <c r="B162" s="64"/>
      <c r="C162" s="857">
        <v>13</v>
      </c>
      <c r="D162" s="854" t="s">
        <v>204</v>
      </c>
      <c r="E162" s="857">
        <v>71.040000000000006</v>
      </c>
      <c r="F162" s="857">
        <v>88.17</v>
      </c>
      <c r="G162" s="58"/>
      <c r="H162" s="57">
        <v>234</v>
      </c>
      <c r="I162" s="56" t="s">
        <v>222</v>
      </c>
      <c r="J162" s="59" t="s">
        <v>42</v>
      </c>
      <c r="K162" s="73">
        <v>2</v>
      </c>
      <c r="L162" s="135">
        <v>0.25</v>
      </c>
      <c r="M162" s="850">
        <v>2017003630013</v>
      </c>
      <c r="N162" s="873" t="s">
        <v>208</v>
      </c>
      <c r="O162" s="856" t="s">
        <v>223</v>
      </c>
      <c r="P162" s="853" t="s">
        <v>224</v>
      </c>
      <c r="Q162" s="57" t="s">
        <v>67</v>
      </c>
      <c r="R162" s="539">
        <v>0</v>
      </c>
      <c r="S162" s="539"/>
      <c r="T162" s="539"/>
      <c r="U162" s="539">
        <v>0</v>
      </c>
      <c r="V162" s="539"/>
      <c r="W162" s="539"/>
      <c r="X162" s="539">
        <v>0</v>
      </c>
      <c r="Y162" s="539"/>
      <c r="Z162" s="539"/>
      <c r="AA162" s="539">
        <v>0</v>
      </c>
      <c r="AB162" s="539"/>
      <c r="AC162" s="539"/>
      <c r="AD162" s="539">
        <v>0</v>
      </c>
      <c r="AE162" s="539"/>
      <c r="AF162" s="539"/>
      <c r="AG162" s="539">
        <v>0</v>
      </c>
      <c r="AH162" s="539"/>
      <c r="AI162" s="539"/>
      <c r="AJ162" s="539">
        <v>0</v>
      </c>
      <c r="AK162" s="539"/>
      <c r="AL162" s="539"/>
      <c r="AM162" s="539"/>
      <c r="AN162" s="539"/>
      <c r="AO162" s="539"/>
      <c r="AP162" s="539"/>
      <c r="AQ162" s="539"/>
      <c r="AR162" s="539"/>
      <c r="AS162" s="539">
        <v>0</v>
      </c>
      <c r="AT162" s="539"/>
      <c r="AU162" s="539"/>
      <c r="AV162" s="539">
        <v>0</v>
      </c>
      <c r="AW162" s="539"/>
      <c r="AX162" s="539"/>
      <c r="AY162" s="539"/>
      <c r="AZ162" s="539"/>
      <c r="BA162" s="539"/>
      <c r="BB162" s="539"/>
      <c r="BC162" s="539"/>
      <c r="BD162" s="539"/>
      <c r="BE162" s="539">
        <v>0</v>
      </c>
      <c r="BF162" s="539"/>
      <c r="BG162" s="539"/>
      <c r="BH162" s="539">
        <v>0</v>
      </c>
      <c r="BI162" s="539"/>
      <c r="BJ162" s="539"/>
      <c r="BK162" s="540">
        <f>10000000+14000000</f>
        <v>24000000</v>
      </c>
      <c r="BL162" s="540">
        <v>5000000</v>
      </c>
      <c r="BM162" s="540"/>
      <c r="BN162" s="540"/>
      <c r="BO162" s="540"/>
      <c r="BP162" s="540"/>
      <c r="BQ162" s="539">
        <v>0</v>
      </c>
      <c r="BR162" s="541"/>
      <c r="BS162" s="541"/>
      <c r="BT162" s="541"/>
      <c r="BU162" s="541"/>
      <c r="BV162" s="541"/>
      <c r="BW162" s="541">
        <v>0</v>
      </c>
      <c r="BX162" s="541"/>
      <c r="BY162" s="541"/>
      <c r="BZ162" s="539">
        <f t="shared" ref="BZ162:BZ163" si="129">R162+U162+X162+AA162+AD162+AG162+AJ162+AM162+AP162+AS162+AV162+AY162+BB162+BE162+BH162+BK162+BN162+BQ162+BT162+BW162</f>
        <v>24000000</v>
      </c>
      <c r="CA162" s="539">
        <f t="shared" ref="CA162:CA163" si="130">S162+V162+Y162+AB162+AE162+AH162+AK162+AN162+AQ162+AT162+AW162+AZ162+BC162+BF162+BI162+BL162+BO162+BR162+BU162+BX162</f>
        <v>5000000</v>
      </c>
      <c r="CB162" s="539">
        <f t="shared" ref="CB162:CB163" si="131">T162+W162+Z162+AC162+AF162+AI162+AL162+AO162+AR162+AU162+AX162+BA162+BD162+BG162+BJ162+BM162+BP162+BS162+BV162+BY162</f>
        <v>0</v>
      </c>
    </row>
    <row r="163" spans="1:80" s="11" customFormat="1" ht="109.5" customHeight="1" x14ac:dyDescent="0.2">
      <c r="A163" s="54"/>
      <c r="B163" s="64"/>
      <c r="C163" s="857"/>
      <c r="D163" s="854"/>
      <c r="E163" s="857"/>
      <c r="F163" s="857"/>
      <c r="G163" s="64"/>
      <c r="H163" s="57">
        <v>235</v>
      </c>
      <c r="I163" s="56" t="s">
        <v>225</v>
      </c>
      <c r="J163" s="59" t="s">
        <v>42</v>
      </c>
      <c r="K163" s="69">
        <v>2</v>
      </c>
      <c r="L163" s="135">
        <v>0.25</v>
      </c>
      <c r="M163" s="852"/>
      <c r="N163" s="875"/>
      <c r="O163" s="858"/>
      <c r="P163" s="855"/>
      <c r="Q163" s="57" t="s">
        <v>67</v>
      </c>
      <c r="R163" s="539">
        <v>0</v>
      </c>
      <c r="S163" s="539"/>
      <c r="T163" s="539"/>
      <c r="U163" s="539">
        <v>0</v>
      </c>
      <c r="V163" s="539"/>
      <c r="W163" s="539"/>
      <c r="X163" s="539">
        <v>0</v>
      </c>
      <c r="Y163" s="539"/>
      <c r="Z163" s="539"/>
      <c r="AA163" s="539">
        <v>0</v>
      </c>
      <c r="AB163" s="539"/>
      <c r="AC163" s="539"/>
      <c r="AD163" s="539">
        <v>0</v>
      </c>
      <c r="AE163" s="539"/>
      <c r="AF163" s="539"/>
      <c r="AG163" s="539">
        <v>0</v>
      </c>
      <c r="AH163" s="539"/>
      <c r="AI163" s="539"/>
      <c r="AJ163" s="539">
        <v>0</v>
      </c>
      <c r="AK163" s="539"/>
      <c r="AL163" s="539"/>
      <c r="AM163" s="539"/>
      <c r="AN163" s="539"/>
      <c r="AO163" s="539"/>
      <c r="AP163" s="539"/>
      <c r="AQ163" s="539"/>
      <c r="AR163" s="539"/>
      <c r="AS163" s="539">
        <v>0</v>
      </c>
      <c r="AT163" s="539"/>
      <c r="AU163" s="539"/>
      <c r="AV163" s="539">
        <v>0</v>
      </c>
      <c r="AW163" s="539"/>
      <c r="AX163" s="539"/>
      <c r="AY163" s="539"/>
      <c r="AZ163" s="539"/>
      <c r="BA163" s="539"/>
      <c r="BB163" s="539"/>
      <c r="BC163" s="539"/>
      <c r="BD163" s="539"/>
      <c r="BE163" s="539">
        <v>0</v>
      </c>
      <c r="BF163" s="539"/>
      <c r="BG163" s="539"/>
      <c r="BH163" s="539">
        <v>0</v>
      </c>
      <c r="BI163" s="539"/>
      <c r="BJ163" s="539"/>
      <c r="BK163" s="540">
        <f>18000000+21000000</f>
        <v>39000000</v>
      </c>
      <c r="BL163" s="540">
        <v>3500000</v>
      </c>
      <c r="BM163" s="540"/>
      <c r="BN163" s="540"/>
      <c r="BO163" s="540"/>
      <c r="BP163" s="540"/>
      <c r="BQ163" s="539">
        <v>0</v>
      </c>
      <c r="BR163" s="541"/>
      <c r="BS163" s="541"/>
      <c r="BT163" s="541"/>
      <c r="BU163" s="541"/>
      <c r="BV163" s="541"/>
      <c r="BW163" s="541">
        <v>0</v>
      </c>
      <c r="BX163" s="541"/>
      <c r="BY163" s="541"/>
      <c r="BZ163" s="539">
        <f t="shared" si="129"/>
        <v>39000000</v>
      </c>
      <c r="CA163" s="539">
        <f t="shared" si="130"/>
        <v>3500000</v>
      </c>
      <c r="CB163" s="539">
        <f t="shared" si="131"/>
        <v>0</v>
      </c>
    </row>
    <row r="164" spans="1:80" s="459" customFormat="1" ht="15.75" x14ac:dyDescent="0.2">
      <c r="A164" s="54"/>
      <c r="B164" s="139"/>
      <c r="C164" s="510"/>
      <c r="D164" s="518"/>
      <c r="E164" s="510"/>
      <c r="F164" s="510"/>
      <c r="G164" s="77"/>
      <c r="H164" s="78"/>
      <c r="I164" s="77"/>
      <c r="J164" s="79"/>
      <c r="K164" s="105"/>
      <c r="L164" s="105"/>
      <c r="M164" s="105"/>
      <c r="N164" s="79"/>
      <c r="O164" s="78"/>
      <c r="P164" s="77"/>
      <c r="Q164" s="78"/>
      <c r="R164" s="548">
        <f t="shared" ref="R164:BY164" si="132">SUM(R162:R163)</f>
        <v>0</v>
      </c>
      <c r="S164" s="548">
        <f t="shared" si="132"/>
        <v>0</v>
      </c>
      <c r="T164" s="548">
        <f t="shared" si="132"/>
        <v>0</v>
      </c>
      <c r="U164" s="548">
        <f t="shared" si="132"/>
        <v>0</v>
      </c>
      <c r="V164" s="548">
        <f t="shared" si="132"/>
        <v>0</v>
      </c>
      <c r="W164" s="548">
        <f t="shared" si="132"/>
        <v>0</v>
      </c>
      <c r="X164" s="548">
        <f t="shared" si="132"/>
        <v>0</v>
      </c>
      <c r="Y164" s="548">
        <f t="shared" si="132"/>
        <v>0</v>
      </c>
      <c r="Z164" s="548">
        <f t="shared" si="132"/>
        <v>0</v>
      </c>
      <c r="AA164" s="548">
        <f t="shared" si="132"/>
        <v>0</v>
      </c>
      <c r="AB164" s="548">
        <f t="shared" si="132"/>
        <v>0</v>
      </c>
      <c r="AC164" s="548">
        <f t="shared" si="132"/>
        <v>0</v>
      </c>
      <c r="AD164" s="548">
        <f t="shared" si="132"/>
        <v>0</v>
      </c>
      <c r="AE164" s="548">
        <f t="shared" si="132"/>
        <v>0</v>
      </c>
      <c r="AF164" s="548">
        <f t="shared" si="132"/>
        <v>0</v>
      </c>
      <c r="AG164" s="548">
        <f t="shared" si="132"/>
        <v>0</v>
      </c>
      <c r="AH164" s="548">
        <f t="shared" si="132"/>
        <v>0</v>
      </c>
      <c r="AI164" s="548">
        <f t="shared" si="132"/>
        <v>0</v>
      </c>
      <c r="AJ164" s="548">
        <f t="shared" si="132"/>
        <v>0</v>
      </c>
      <c r="AK164" s="548">
        <f t="shared" si="132"/>
        <v>0</v>
      </c>
      <c r="AL164" s="548">
        <f t="shared" si="132"/>
        <v>0</v>
      </c>
      <c r="AM164" s="548">
        <f t="shared" si="132"/>
        <v>0</v>
      </c>
      <c r="AN164" s="548">
        <f t="shared" si="132"/>
        <v>0</v>
      </c>
      <c r="AO164" s="548">
        <f t="shared" si="132"/>
        <v>0</v>
      </c>
      <c r="AP164" s="548">
        <f t="shared" si="132"/>
        <v>0</v>
      </c>
      <c r="AQ164" s="548">
        <f t="shared" si="132"/>
        <v>0</v>
      </c>
      <c r="AR164" s="548">
        <f t="shared" si="132"/>
        <v>0</v>
      </c>
      <c r="AS164" s="548">
        <f t="shared" si="132"/>
        <v>0</v>
      </c>
      <c r="AT164" s="548">
        <f t="shared" si="132"/>
        <v>0</v>
      </c>
      <c r="AU164" s="548">
        <f t="shared" si="132"/>
        <v>0</v>
      </c>
      <c r="AV164" s="548">
        <f t="shared" si="132"/>
        <v>0</v>
      </c>
      <c r="AW164" s="548">
        <f t="shared" si="132"/>
        <v>0</v>
      </c>
      <c r="AX164" s="548">
        <f t="shared" si="132"/>
        <v>0</v>
      </c>
      <c r="AY164" s="548">
        <f t="shared" si="132"/>
        <v>0</v>
      </c>
      <c r="AZ164" s="548">
        <f t="shared" si="132"/>
        <v>0</v>
      </c>
      <c r="BA164" s="548">
        <f t="shared" si="132"/>
        <v>0</v>
      </c>
      <c r="BB164" s="548">
        <f t="shared" si="132"/>
        <v>0</v>
      </c>
      <c r="BC164" s="548">
        <f t="shared" si="132"/>
        <v>0</v>
      </c>
      <c r="BD164" s="548">
        <f t="shared" si="132"/>
        <v>0</v>
      </c>
      <c r="BE164" s="548">
        <f t="shared" si="132"/>
        <v>0</v>
      </c>
      <c r="BF164" s="548">
        <f t="shared" si="132"/>
        <v>0</v>
      </c>
      <c r="BG164" s="548">
        <f t="shared" si="132"/>
        <v>0</v>
      </c>
      <c r="BH164" s="548">
        <f t="shared" si="132"/>
        <v>0</v>
      </c>
      <c r="BI164" s="548">
        <f t="shared" si="132"/>
        <v>0</v>
      </c>
      <c r="BJ164" s="548">
        <f t="shared" si="132"/>
        <v>0</v>
      </c>
      <c r="BK164" s="548">
        <f t="shared" si="132"/>
        <v>63000000</v>
      </c>
      <c r="BL164" s="548">
        <f t="shared" si="132"/>
        <v>8500000</v>
      </c>
      <c r="BM164" s="548">
        <f t="shared" si="132"/>
        <v>0</v>
      </c>
      <c r="BN164" s="548">
        <f t="shared" si="132"/>
        <v>0</v>
      </c>
      <c r="BO164" s="548">
        <f t="shared" si="132"/>
        <v>0</v>
      </c>
      <c r="BP164" s="548">
        <f t="shared" si="132"/>
        <v>0</v>
      </c>
      <c r="BQ164" s="548">
        <f t="shared" si="132"/>
        <v>0</v>
      </c>
      <c r="BR164" s="548">
        <f t="shared" si="132"/>
        <v>0</v>
      </c>
      <c r="BS164" s="548">
        <f t="shared" si="132"/>
        <v>0</v>
      </c>
      <c r="BT164" s="548">
        <f t="shared" si="132"/>
        <v>0</v>
      </c>
      <c r="BU164" s="548">
        <f t="shared" si="132"/>
        <v>0</v>
      </c>
      <c r="BV164" s="548">
        <f t="shared" si="132"/>
        <v>0</v>
      </c>
      <c r="BW164" s="548">
        <f t="shared" si="132"/>
        <v>0</v>
      </c>
      <c r="BX164" s="548">
        <f t="shared" si="132"/>
        <v>0</v>
      </c>
      <c r="BY164" s="548">
        <f t="shared" si="132"/>
        <v>0</v>
      </c>
      <c r="BZ164" s="548">
        <f t="shared" ref="BZ164" si="133">SUM(BZ162:BZ163)</f>
        <v>63000000</v>
      </c>
      <c r="CA164" s="548">
        <f t="shared" ref="CA164:CB164" si="134">SUM(CA162:CA163)</f>
        <v>8500000</v>
      </c>
      <c r="CB164" s="548">
        <f t="shared" si="134"/>
        <v>0</v>
      </c>
    </row>
    <row r="165" spans="1:80" s="459" customFormat="1" ht="15.75" x14ac:dyDescent="0.2">
      <c r="A165" s="54"/>
      <c r="B165" s="81"/>
      <c r="C165" s="120"/>
      <c r="D165" s="81"/>
      <c r="E165" s="82"/>
      <c r="F165" s="82"/>
      <c r="G165" s="81"/>
      <c r="H165" s="82"/>
      <c r="I165" s="81"/>
      <c r="J165" s="83"/>
      <c r="K165" s="123"/>
      <c r="L165" s="123"/>
      <c r="M165" s="123"/>
      <c r="N165" s="83"/>
      <c r="O165" s="82"/>
      <c r="P165" s="81"/>
      <c r="Q165" s="82"/>
      <c r="R165" s="554">
        <f t="shared" ref="R165:BY165" si="135">R164+R159+R153</f>
        <v>0</v>
      </c>
      <c r="S165" s="554">
        <f t="shared" si="135"/>
        <v>0</v>
      </c>
      <c r="T165" s="554">
        <f t="shared" si="135"/>
        <v>0</v>
      </c>
      <c r="U165" s="554">
        <f t="shared" si="135"/>
        <v>0</v>
      </c>
      <c r="V165" s="554">
        <f t="shared" si="135"/>
        <v>0</v>
      </c>
      <c r="W165" s="554">
        <f t="shared" si="135"/>
        <v>0</v>
      </c>
      <c r="X165" s="554">
        <f t="shared" si="135"/>
        <v>0</v>
      </c>
      <c r="Y165" s="554">
        <f t="shared" si="135"/>
        <v>0</v>
      </c>
      <c r="Z165" s="554">
        <f t="shared" si="135"/>
        <v>0</v>
      </c>
      <c r="AA165" s="554">
        <f t="shared" si="135"/>
        <v>0</v>
      </c>
      <c r="AB165" s="554">
        <f t="shared" si="135"/>
        <v>0</v>
      </c>
      <c r="AC165" s="554">
        <f t="shared" si="135"/>
        <v>0</v>
      </c>
      <c r="AD165" s="554">
        <f t="shared" si="135"/>
        <v>0</v>
      </c>
      <c r="AE165" s="554">
        <f t="shared" si="135"/>
        <v>0</v>
      </c>
      <c r="AF165" s="554">
        <f t="shared" si="135"/>
        <v>0</v>
      </c>
      <c r="AG165" s="554">
        <f t="shared" si="135"/>
        <v>0</v>
      </c>
      <c r="AH165" s="554">
        <f t="shared" si="135"/>
        <v>0</v>
      </c>
      <c r="AI165" s="554">
        <f t="shared" si="135"/>
        <v>0</v>
      </c>
      <c r="AJ165" s="554">
        <f t="shared" si="135"/>
        <v>0</v>
      </c>
      <c r="AK165" s="554">
        <f t="shared" si="135"/>
        <v>0</v>
      </c>
      <c r="AL165" s="554">
        <f t="shared" si="135"/>
        <v>0</v>
      </c>
      <c r="AM165" s="554">
        <f t="shared" si="135"/>
        <v>0</v>
      </c>
      <c r="AN165" s="554">
        <f t="shared" si="135"/>
        <v>0</v>
      </c>
      <c r="AO165" s="554">
        <f t="shared" si="135"/>
        <v>0</v>
      </c>
      <c r="AP165" s="554">
        <f t="shared" si="135"/>
        <v>0</v>
      </c>
      <c r="AQ165" s="554">
        <f t="shared" si="135"/>
        <v>0</v>
      </c>
      <c r="AR165" s="554">
        <f t="shared" si="135"/>
        <v>0</v>
      </c>
      <c r="AS165" s="554">
        <f t="shared" si="135"/>
        <v>0</v>
      </c>
      <c r="AT165" s="554">
        <f t="shared" si="135"/>
        <v>0</v>
      </c>
      <c r="AU165" s="554">
        <f t="shared" si="135"/>
        <v>0</v>
      </c>
      <c r="AV165" s="554">
        <f t="shared" si="135"/>
        <v>0</v>
      </c>
      <c r="AW165" s="554">
        <f t="shared" si="135"/>
        <v>0</v>
      </c>
      <c r="AX165" s="554">
        <f t="shared" si="135"/>
        <v>0</v>
      </c>
      <c r="AY165" s="554">
        <f t="shared" si="135"/>
        <v>0</v>
      </c>
      <c r="AZ165" s="554">
        <f t="shared" si="135"/>
        <v>0</v>
      </c>
      <c r="BA165" s="554">
        <f t="shared" si="135"/>
        <v>0</v>
      </c>
      <c r="BB165" s="554">
        <f t="shared" si="135"/>
        <v>0</v>
      </c>
      <c r="BC165" s="554">
        <f t="shared" si="135"/>
        <v>0</v>
      </c>
      <c r="BD165" s="554">
        <f t="shared" si="135"/>
        <v>0</v>
      </c>
      <c r="BE165" s="554">
        <f t="shared" si="135"/>
        <v>0</v>
      </c>
      <c r="BF165" s="554">
        <f t="shared" si="135"/>
        <v>0</v>
      </c>
      <c r="BG165" s="554">
        <f t="shared" si="135"/>
        <v>0</v>
      </c>
      <c r="BH165" s="554">
        <f t="shared" si="135"/>
        <v>0</v>
      </c>
      <c r="BI165" s="554">
        <f t="shared" si="135"/>
        <v>0</v>
      </c>
      <c r="BJ165" s="554">
        <f t="shared" si="135"/>
        <v>0</v>
      </c>
      <c r="BK165" s="554">
        <f t="shared" si="135"/>
        <v>614000000</v>
      </c>
      <c r="BL165" s="554">
        <f t="shared" si="135"/>
        <v>162722794</v>
      </c>
      <c r="BM165" s="554">
        <f t="shared" si="135"/>
        <v>63522794</v>
      </c>
      <c r="BN165" s="554">
        <f t="shared" si="135"/>
        <v>0</v>
      </c>
      <c r="BO165" s="554">
        <f t="shared" si="135"/>
        <v>0</v>
      </c>
      <c r="BP165" s="554">
        <f t="shared" si="135"/>
        <v>0</v>
      </c>
      <c r="BQ165" s="554">
        <f t="shared" si="135"/>
        <v>0</v>
      </c>
      <c r="BR165" s="554">
        <f t="shared" si="135"/>
        <v>0</v>
      </c>
      <c r="BS165" s="554">
        <f t="shared" si="135"/>
        <v>0</v>
      </c>
      <c r="BT165" s="554">
        <f t="shared" si="135"/>
        <v>0</v>
      </c>
      <c r="BU165" s="554">
        <f t="shared" si="135"/>
        <v>0</v>
      </c>
      <c r="BV165" s="554">
        <f t="shared" si="135"/>
        <v>0</v>
      </c>
      <c r="BW165" s="554">
        <f t="shared" si="135"/>
        <v>0</v>
      </c>
      <c r="BX165" s="554">
        <f t="shared" si="135"/>
        <v>0</v>
      </c>
      <c r="BY165" s="554">
        <f t="shared" si="135"/>
        <v>0</v>
      </c>
      <c r="BZ165" s="554">
        <f t="shared" ref="BZ165" si="136">BZ164+BZ159+BZ153</f>
        <v>614000000</v>
      </c>
      <c r="CA165" s="554">
        <f t="shared" ref="CA165:CB165" si="137">CA164+CA159+CA153</f>
        <v>162722794</v>
      </c>
      <c r="CB165" s="554">
        <f t="shared" si="137"/>
        <v>63522794</v>
      </c>
    </row>
    <row r="166" spans="1:80" s="11" customFormat="1" ht="15.75" x14ac:dyDescent="0.2">
      <c r="A166" s="54"/>
      <c r="B166" s="56"/>
      <c r="C166" s="92"/>
      <c r="D166" s="91"/>
      <c r="E166" s="92"/>
      <c r="F166" s="92"/>
      <c r="G166" s="91"/>
      <c r="H166" s="92"/>
      <c r="I166" s="91"/>
      <c r="J166" s="93"/>
      <c r="K166" s="104"/>
      <c r="L166" s="210"/>
      <c r="M166" s="210"/>
      <c r="N166" s="146"/>
      <c r="O166" s="499"/>
      <c r="P166" s="124"/>
      <c r="Q166" s="92"/>
      <c r="R166" s="543"/>
      <c r="S166" s="543"/>
      <c r="T166" s="543"/>
      <c r="U166" s="544"/>
      <c r="V166" s="544"/>
      <c r="W166" s="544"/>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3"/>
      <c r="AY166" s="544"/>
      <c r="AZ166" s="544"/>
      <c r="BA166" s="544"/>
      <c r="BB166" s="544"/>
      <c r="BC166" s="544"/>
      <c r="BD166" s="544"/>
      <c r="BE166" s="543"/>
      <c r="BF166" s="543"/>
      <c r="BG166" s="543"/>
      <c r="BH166" s="543"/>
      <c r="BI166" s="583"/>
      <c r="BJ166" s="583"/>
      <c r="BK166" s="584"/>
      <c r="BL166" s="584"/>
      <c r="BM166" s="584"/>
      <c r="BN166" s="583"/>
      <c r="BO166" s="583"/>
      <c r="BP166" s="583"/>
      <c r="BQ166" s="543"/>
      <c r="BR166" s="543"/>
      <c r="BS166" s="543"/>
      <c r="BT166" s="543"/>
      <c r="BU166" s="543"/>
      <c r="BV166" s="543"/>
      <c r="BW166" s="544"/>
      <c r="BX166" s="544"/>
      <c r="BY166" s="544"/>
      <c r="BZ166" s="543"/>
      <c r="CA166" s="543"/>
      <c r="CB166" s="543"/>
    </row>
    <row r="167" spans="1:80" s="459" customFormat="1" ht="15.75" x14ac:dyDescent="0.2">
      <c r="A167" s="54"/>
      <c r="B167" s="185">
        <v>25</v>
      </c>
      <c r="C167" s="221" t="s">
        <v>226</v>
      </c>
      <c r="D167" s="222"/>
      <c r="E167" s="222"/>
      <c r="F167" s="222"/>
      <c r="G167" s="222"/>
      <c r="H167" s="221"/>
      <c r="I167" s="222"/>
      <c r="J167" s="222"/>
      <c r="K167" s="223"/>
      <c r="L167" s="223"/>
      <c r="M167" s="223"/>
      <c r="N167" s="222"/>
      <c r="O167" s="221"/>
      <c r="P167" s="222"/>
      <c r="Q167" s="222"/>
      <c r="R167" s="588"/>
      <c r="S167" s="588"/>
      <c r="T167" s="588"/>
      <c r="U167" s="588"/>
      <c r="V167" s="588"/>
      <c r="W167" s="588"/>
      <c r="X167" s="588"/>
      <c r="Y167" s="588"/>
      <c r="Z167" s="588"/>
      <c r="AA167" s="588"/>
      <c r="AB167" s="588"/>
      <c r="AC167" s="588"/>
      <c r="AD167" s="588"/>
      <c r="AE167" s="588"/>
      <c r="AF167" s="588"/>
      <c r="AG167" s="588"/>
      <c r="AH167" s="588"/>
      <c r="AI167" s="588"/>
      <c r="AJ167" s="588"/>
      <c r="AK167" s="588"/>
      <c r="AL167" s="588"/>
      <c r="AM167" s="588"/>
      <c r="AN167" s="588"/>
      <c r="AO167" s="588"/>
      <c r="AP167" s="588"/>
      <c r="AQ167" s="588"/>
      <c r="AR167" s="588"/>
      <c r="AS167" s="588"/>
      <c r="AT167" s="588"/>
      <c r="AU167" s="588"/>
      <c r="AV167" s="588"/>
      <c r="AW167" s="588"/>
      <c r="AX167" s="588"/>
      <c r="AY167" s="588"/>
      <c r="AZ167" s="588"/>
      <c r="BA167" s="588"/>
      <c r="BB167" s="588"/>
      <c r="BC167" s="588"/>
      <c r="BD167" s="588"/>
      <c r="BE167" s="588"/>
      <c r="BF167" s="588"/>
      <c r="BG167" s="588"/>
      <c r="BH167" s="588"/>
      <c r="BI167" s="588"/>
      <c r="BJ167" s="588"/>
      <c r="BK167" s="589"/>
      <c r="BL167" s="589"/>
      <c r="BM167" s="589"/>
      <c r="BN167" s="588"/>
      <c r="BO167" s="588"/>
      <c r="BP167" s="588"/>
      <c r="BQ167" s="588"/>
      <c r="BR167" s="588"/>
      <c r="BS167" s="588"/>
      <c r="BT167" s="588"/>
      <c r="BU167" s="588"/>
      <c r="BV167" s="588"/>
      <c r="BW167" s="588"/>
      <c r="BX167" s="588"/>
      <c r="BY167" s="588"/>
      <c r="BZ167" s="590"/>
      <c r="CA167" s="590"/>
      <c r="CB167" s="590"/>
    </row>
    <row r="168" spans="1:80" s="459" customFormat="1" ht="15.75" x14ac:dyDescent="0.2">
      <c r="A168" s="54"/>
      <c r="B168" s="96"/>
      <c r="C168" s="36"/>
      <c r="D168" s="688"/>
      <c r="E168" s="688"/>
      <c r="F168" s="688"/>
      <c r="G168" s="98">
        <v>81</v>
      </c>
      <c r="H168" s="99" t="s">
        <v>227</v>
      </c>
      <c r="I168" s="99"/>
      <c r="J168" s="99"/>
      <c r="K168" s="224"/>
      <c r="L168" s="224"/>
      <c r="M168" s="224"/>
      <c r="N168" s="99"/>
      <c r="O168" s="212"/>
      <c r="P168" s="99"/>
      <c r="Q168" s="100"/>
      <c r="R168" s="336"/>
      <c r="S168" s="336"/>
      <c r="T168" s="336"/>
      <c r="U168" s="336"/>
      <c r="V168" s="336"/>
      <c r="W168" s="336"/>
      <c r="X168" s="336"/>
      <c r="Y168" s="336"/>
      <c r="Z168" s="336"/>
      <c r="AA168" s="336"/>
      <c r="AB168" s="336"/>
      <c r="AC168" s="336"/>
      <c r="AD168" s="336"/>
      <c r="AE168" s="336"/>
      <c r="AF168" s="336"/>
      <c r="AG168" s="336"/>
      <c r="AH168" s="336"/>
      <c r="AI168" s="336"/>
      <c r="AJ168" s="336"/>
      <c r="AK168" s="336"/>
      <c r="AL168" s="336"/>
      <c r="AM168" s="336"/>
      <c r="AN168" s="336"/>
      <c r="AO168" s="336"/>
      <c r="AP168" s="336"/>
      <c r="AQ168" s="336"/>
      <c r="AR168" s="336"/>
      <c r="AS168" s="336"/>
      <c r="AT168" s="336"/>
      <c r="AU168" s="336"/>
      <c r="AV168" s="336"/>
      <c r="AW168" s="336"/>
      <c r="AX168" s="336"/>
      <c r="AY168" s="336"/>
      <c r="AZ168" s="336"/>
      <c r="BA168" s="336"/>
      <c r="BB168" s="336"/>
      <c r="BC168" s="336"/>
      <c r="BD168" s="336"/>
      <c r="BE168" s="336"/>
      <c r="BF168" s="336"/>
      <c r="BG168" s="336"/>
      <c r="BH168" s="336"/>
      <c r="BI168" s="336"/>
      <c r="BJ168" s="336"/>
      <c r="BK168" s="552"/>
      <c r="BL168" s="552"/>
      <c r="BM168" s="552"/>
      <c r="BN168" s="336"/>
      <c r="BO168" s="336"/>
      <c r="BP168" s="336"/>
      <c r="BQ168" s="336"/>
      <c r="BR168" s="336"/>
      <c r="BS168" s="336"/>
      <c r="BT168" s="336"/>
      <c r="BU168" s="336"/>
      <c r="BV168" s="336"/>
      <c r="BW168" s="336"/>
      <c r="BX168" s="336"/>
      <c r="BY168" s="336"/>
      <c r="BZ168" s="338"/>
      <c r="CA168" s="338"/>
      <c r="CB168" s="338"/>
    </row>
    <row r="169" spans="1:80" s="11" customFormat="1" ht="87.75" customHeight="1" x14ac:dyDescent="0.2">
      <c r="A169" s="54"/>
      <c r="B169" s="54"/>
      <c r="C169" s="857">
        <v>13</v>
      </c>
      <c r="D169" s="854" t="s">
        <v>204</v>
      </c>
      <c r="E169" s="857" t="s">
        <v>205</v>
      </c>
      <c r="F169" s="857" t="s">
        <v>206</v>
      </c>
      <c r="G169" s="58"/>
      <c r="H169" s="57">
        <v>236</v>
      </c>
      <c r="I169" s="56" t="s">
        <v>228</v>
      </c>
      <c r="J169" s="59">
        <v>1</v>
      </c>
      <c r="K169" s="461">
        <v>5</v>
      </c>
      <c r="L169" s="461">
        <v>2</v>
      </c>
      <c r="M169" s="850">
        <v>2017003630019</v>
      </c>
      <c r="N169" s="873" t="s">
        <v>229</v>
      </c>
      <c r="O169" s="856" t="s">
        <v>230</v>
      </c>
      <c r="P169" s="853" t="s">
        <v>231</v>
      </c>
      <c r="Q169" s="57" t="s">
        <v>67</v>
      </c>
      <c r="R169" s="539">
        <v>0</v>
      </c>
      <c r="S169" s="539"/>
      <c r="T169" s="539"/>
      <c r="U169" s="539">
        <v>0</v>
      </c>
      <c r="V169" s="539"/>
      <c r="W169" s="539"/>
      <c r="X169" s="539">
        <v>0</v>
      </c>
      <c r="Y169" s="539"/>
      <c r="Z169" s="539"/>
      <c r="AA169" s="539">
        <v>0</v>
      </c>
      <c r="AB169" s="539"/>
      <c r="AC169" s="539"/>
      <c r="AD169" s="539">
        <v>0</v>
      </c>
      <c r="AE169" s="539"/>
      <c r="AF169" s="539"/>
      <c r="AG169" s="539">
        <v>0</v>
      </c>
      <c r="AH169" s="539"/>
      <c r="AI169" s="539"/>
      <c r="AJ169" s="539">
        <v>0</v>
      </c>
      <c r="AK169" s="539"/>
      <c r="AL169" s="539"/>
      <c r="AM169" s="539"/>
      <c r="AN169" s="539"/>
      <c r="AO169" s="539"/>
      <c r="AP169" s="539"/>
      <c r="AQ169" s="539"/>
      <c r="AR169" s="539"/>
      <c r="AS169" s="539">
        <v>0</v>
      </c>
      <c r="AT169" s="539"/>
      <c r="AU169" s="539"/>
      <c r="AV169" s="539">
        <v>0</v>
      </c>
      <c r="AW169" s="539"/>
      <c r="AX169" s="539"/>
      <c r="AY169" s="539"/>
      <c r="AZ169" s="539"/>
      <c r="BA169" s="539"/>
      <c r="BB169" s="539"/>
      <c r="BC169" s="539"/>
      <c r="BD169" s="539"/>
      <c r="BE169" s="539">
        <v>0</v>
      </c>
      <c r="BF169" s="539"/>
      <c r="BG169" s="539"/>
      <c r="BH169" s="539">
        <v>0</v>
      </c>
      <c r="BI169" s="541"/>
      <c r="BJ169" s="541"/>
      <c r="BK169" s="542">
        <f>63000000+42000000</f>
        <v>105000000</v>
      </c>
      <c r="BL169" s="542">
        <v>50280000</v>
      </c>
      <c r="BM169" s="542">
        <v>11760000</v>
      </c>
      <c r="BN169" s="542"/>
      <c r="BO169" s="542"/>
      <c r="BP169" s="542"/>
      <c r="BQ169" s="539">
        <v>0</v>
      </c>
      <c r="BR169" s="541"/>
      <c r="BS169" s="541"/>
      <c r="BT169" s="541"/>
      <c r="BU169" s="541"/>
      <c r="BV169" s="541"/>
      <c r="BW169" s="541">
        <v>0</v>
      </c>
      <c r="BX169" s="541"/>
      <c r="BY169" s="541"/>
      <c r="BZ169" s="539">
        <f t="shared" ref="BZ169:BZ173" si="138">R169+U169+X169+AA169+AD169+AG169+AJ169+AM169+AP169+AS169+AV169+AY169+BB169+BE169+BH169+BK169+BN169+BQ169+BT169+BW169</f>
        <v>105000000</v>
      </c>
      <c r="CA169" s="539">
        <f t="shared" ref="CA169:CA173" si="139">S169+V169+Y169+AB169+AE169+AH169+AK169+AN169+AQ169+AT169+AW169+AZ169+BC169+BF169+BI169+BL169+BO169+BR169+BU169+BX169</f>
        <v>50280000</v>
      </c>
      <c r="CB169" s="539">
        <f t="shared" ref="CB169:CB173" si="140">T169+W169+Z169+AC169+AF169+AI169+AL169+AO169+AR169+AU169+AX169+BA169+BD169+BG169+BJ169+BM169+BP169+BS169+BV169+BY169</f>
        <v>11760000</v>
      </c>
    </row>
    <row r="170" spans="1:80" s="11" customFormat="1" ht="86.25" customHeight="1" x14ac:dyDescent="0.2">
      <c r="A170" s="54"/>
      <c r="B170" s="54"/>
      <c r="C170" s="857"/>
      <c r="D170" s="854"/>
      <c r="E170" s="857"/>
      <c r="F170" s="857"/>
      <c r="G170" s="64"/>
      <c r="H170" s="57">
        <v>237</v>
      </c>
      <c r="I170" s="56" t="s">
        <v>232</v>
      </c>
      <c r="J170" s="59" t="s">
        <v>42</v>
      </c>
      <c r="K170" s="461">
        <v>20</v>
      </c>
      <c r="L170" s="461">
        <v>3</v>
      </c>
      <c r="M170" s="851"/>
      <c r="N170" s="874"/>
      <c r="O170" s="857"/>
      <c r="P170" s="854"/>
      <c r="Q170" s="57" t="s">
        <v>67</v>
      </c>
      <c r="R170" s="539">
        <v>0</v>
      </c>
      <c r="S170" s="539"/>
      <c r="T170" s="539"/>
      <c r="U170" s="539">
        <v>0</v>
      </c>
      <c r="V170" s="539"/>
      <c r="W170" s="539"/>
      <c r="X170" s="539">
        <v>0</v>
      </c>
      <c r="Y170" s="539"/>
      <c r="Z170" s="539"/>
      <c r="AA170" s="539">
        <v>0</v>
      </c>
      <c r="AB170" s="539"/>
      <c r="AC170" s="539"/>
      <c r="AD170" s="539">
        <v>0</v>
      </c>
      <c r="AE170" s="539"/>
      <c r="AF170" s="539"/>
      <c r="AG170" s="539">
        <v>0</v>
      </c>
      <c r="AH170" s="539"/>
      <c r="AI170" s="539"/>
      <c r="AJ170" s="539">
        <v>0</v>
      </c>
      <c r="AK170" s="539"/>
      <c r="AL170" s="539"/>
      <c r="AM170" s="539"/>
      <c r="AN170" s="539"/>
      <c r="AO170" s="539"/>
      <c r="AP170" s="539"/>
      <c r="AQ170" s="539"/>
      <c r="AR170" s="539"/>
      <c r="AS170" s="539">
        <v>0</v>
      </c>
      <c r="AT170" s="539"/>
      <c r="AU170" s="539"/>
      <c r="AV170" s="539">
        <v>0</v>
      </c>
      <c r="AW170" s="539"/>
      <c r="AX170" s="539"/>
      <c r="AY170" s="539"/>
      <c r="AZ170" s="539"/>
      <c r="BA170" s="539"/>
      <c r="BB170" s="539"/>
      <c r="BC170" s="539"/>
      <c r="BD170" s="539"/>
      <c r="BE170" s="539">
        <v>0</v>
      </c>
      <c r="BF170" s="539"/>
      <c r="BG170" s="539"/>
      <c r="BH170" s="539">
        <v>0</v>
      </c>
      <c r="BI170" s="541"/>
      <c r="BJ170" s="541"/>
      <c r="BK170" s="542">
        <f>22000000+5000000</f>
        <v>27000000</v>
      </c>
      <c r="BL170" s="542">
        <v>8280000</v>
      </c>
      <c r="BM170" s="542">
        <v>2500000</v>
      </c>
      <c r="BN170" s="542"/>
      <c r="BO170" s="542"/>
      <c r="BP170" s="542"/>
      <c r="BQ170" s="539">
        <v>0</v>
      </c>
      <c r="BR170" s="541"/>
      <c r="BS170" s="541"/>
      <c r="BT170" s="541"/>
      <c r="BU170" s="541"/>
      <c r="BV170" s="541"/>
      <c r="BW170" s="541">
        <v>0</v>
      </c>
      <c r="BX170" s="541"/>
      <c r="BY170" s="541"/>
      <c r="BZ170" s="539">
        <f t="shared" si="138"/>
        <v>27000000</v>
      </c>
      <c r="CA170" s="539">
        <f t="shared" si="139"/>
        <v>8280000</v>
      </c>
      <c r="CB170" s="539">
        <f t="shared" si="140"/>
        <v>2500000</v>
      </c>
    </row>
    <row r="171" spans="1:80" s="11" customFormat="1" ht="141.75" customHeight="1" x14ac:dyDescent="0.2">
      <c r="A171" s="54"/>
      <c r="B171" s="54"/>
      <c r="C171" s="857"/>
      <c r="D171" s="854"/>
      <c r="E171" s="857"/>
      <c r="F171" s="857"/>
      <c r="G171" s="64"/>
      <c r="H171" s="57">
        <v>238</v>
      </c>
      <c r="I171" s="56" t="s">
        <v>233</v>
      </c>
      <c r="J171" s="59" t="s">
        <v>42</v>
      </c>
      <c r="K171" s="461">
        <v>12</v>
      </c>
      <c r="L171" s="461">
        <v>7</v>
      </c>
      <c r="M171" s="851"/>
      <c r="N171" s="874"/>
      <c r="O171" s="857"/>
      <c r="P171" s="854"/>
      <c r="Q171" s="57" t="s">
        <v>51</v>
      </c>
      <c r="R171" s="539">
        <v>0</v>
      </c>
      <c r="S171" s="539"/>
      <c r="T171" s="539"/>
      <c r="U171" s="539">
        <v>0</v>
      </c>
      <c r="V171" s="539"/>
      <c r="W171" s="539"/>
      <c r="X171" s="539">
        <v>0</v>
      </c>
      <c r="Y171" s="539"/>
      <c r="Z171" s="539"/>
      <c r="AA171" s="539">
        <v>0</v>
      </c>
      <c r="AB171" s="539"/>
      <c r="AC171" s="539"/>
      <c r="AD171" s="539">
        <v>0</v>
      </c>
      <c r="AE171" s="539"/>
      <c r="AF171" s="539"/>
      <c r="AG171" s="539">
        <v>0</v>
      </c>
      <c r="AH171" s="539"/>
      <c r="AI171" s="539"/>
      <c r="AJ171" s="539">
        <v>0</v>
      </c>
      <c r="AK171" s="539"/>
      <c r="AL171" s="539"/>
      <c r="AM171" s="539"/>
      <c r="AN171" s="539"/>
      <c r="AO171" s="539"/>
      <c r="AP171" s="539"/>
      <c r="AQ171" s="539"/>
      <c r="AR171" s="539"/>
      <c r="AS171" s="539">
        <v>0</v>
      </c>
      <c r="AT171" s="539"/>
      <c r="AU171" s="539"/>
      <c r="AV171" s="539">
        <v>0</v>
      </c>
      <c r="AW171" s="539"/>
      <c r="AX171" s="539"/>
      <c r="AY171" s="539"/>
      <c r="AZ171" s="539"/>
      <c r="BA171" s="539"/>
      <c r="BB171" s="539"/>
      <c r="BC171" s="539"/>
      <c r="BD171" s="539"/>
      <c r="BE171" s="539">
        <v>0</v>
      </c>
      <c r="BF171" s="539"/>
      <c r="BG171" s="539"/>
      <c r="BH171" s="539">
        <v>0</v>
      </c>
      <c r="BI171" s="541"/>
      <c r="BJ171" s="541"/>
      <c r="BK171" s="542">
        <f>73000000+30081242</f>
        <v>103081242</v>
      </c>
      <c r="BL171" s="542">
        <v>32280000</v>
      </c>
      <c r="BM171" s="542">
        <v>9260000</v>
      </c>
      <c r="BN171" s="542"/>
      <c r="BO171" s="542"/>
      <c r="BP171" s="542"/>
      <c r="BQ171" s="539">
        <v>0</v>
      </c>
      <c r="BR171" s="541"/>
      <c r="BS171" s="541"/>
      <c r="BT171" s="541"/>
      <c r="BU171" s="541"/>
      <c r="BV171" s="541"/>
      <c r="BW171" s="541">
        <v>0</v>
      </c>
      <c r="BX171" s="541"/>
      <c r="BY171" s="541"/>
      <c r="BZ171" s="539">
        <f t="shared" si="138"/>
        <v>103081242</v>
      </c>
      <c r="CA171" s="539">
        <f t="shared" si="139"/>
        <v>32280000</v>
      </c>
      <c r="CB171" s="539">
        <f t="shared" si="140"/>
        <v>9260000</v>
      </c>
    </row>
    <row r="172" spans="1:80" s="11" customFormat="1" ht="60" customHeight="1" x14ac:dyDescent="0.2">
      <c r="A172" s="54"/>
      <c r="B172" s="54"/>
      <c r="C172" s="857"/>
      <c r="D172" s="854"/>
      <c r="E172" s="857"/>
      <c r="F172" s="857"/>
      <c r="G172" s="64"/>
      <c r="H172" s="57">
        <v>239</v>
      </c>
      <c r="I172" s="56" t="s">
        <v>234</v>
      </c>
      <c r="J172" s="59" t="s">
        <v>42</v>
      </c>
      <c r="K172" s="461">
        <v>2</v>
      </c>
      <c r="L172" s="135">
        <v>0.25</v>
      </c>
      <c r="M172" s="851"/>
      <c r="N172" s="874"/>
      <c r="O172" s="857"/>
      <c r="P172" s="854"/>
      <c r="Q172" s="57" t="s">
        <v>67</v>
      </c>
      <c r="R172" s="539">
        <v>0</v>
      </c>
      <c r="S172" s="539"/>
      <c r="T172" s="539"/>
      <c r="U172" s="539">
        <v>0</v>
      </c>
      <c r="V172" s="539"/>
      <c r="W172" s="539"/>
      <c r="X172" s="539">
        <v>0</v>
      </c>
      <c r="Y172" s="539"/>
      <c r="Z172" s="539"/>
      <c r="AA172" s="539">
        <v>0</v>
      </c>
      <c r="AB172" s="539"/>
      <c r="AC172" s="539"/>
      <c r="AD172" s="539">
        <v>0</v>
      </c>
      <c r="AE172" s="539"/>
      <c r="AF172" s="539"/>
      <c r="AG172" s="539">
        <v>0</v>
      </c>
      <c r="AH172" s="539"/>
      <c r="AI172" s="539"/>
      <c r="AJ172" s="539">
        <v>0</v>
      </c>
      <c r="AK172" s="539"/>
      <c r="AL172" s="539"/>
      <c r="AM172" s="539"/>
      <c r="AN172" s="539"/>
      <c r="AO172" s="539"/>
      <c r="AP172" s="539"/>
      <c r="AQ172" s="539"/>
      <c r="AR172" s="539"/>
      <c r="AS172" s="539">
        <v>0</v>
      </c>
      <c r="AT172" s="539"/>
      <c r="AU172" s="539"/>
      <c r="AV172" s="539">
        <v>0</v>
      </c>
      <c r="AW172" s="539"/>
      <c r="AX172" s="539"/>
      <c r="AY172" s="539"/>
      <c r="AZ172" s="539"/>
      <c r="BA172" s="539"/>
      <c r="BB172" s="539"/>
      <c r="BC172" s="539"/>
      <c r="BD172" s="539"/>
      <c r="BE172" s="539">
        <v>0</v>
      </c>
      <c r="BF172" s="539"/>
      <c r="BG172" s="539"/>
      <c r="BH172" s="539">
        <v>0</v>
      </c>
      <c r="BI172" s="541"/>
      <c r="BJ172" s="541"/>
      <c r="BK172" s="542">
        <f>45000000+20000000</f>
        <v>65000000</v>
      </c>
      <c r="BL172" s="542"/>
      <c r="BM172" s="542"/>
      <c r="BN172" s="542"/>
      <c r="BO172" s="542"/>
      <c r="BP172" s="542"/>
      <c r="BQ172" s="539">
        <v>0</v>
      </c>
      <c r="BR172" s="541"/>
      <c r="BS172" s="541"/>
      <c r="BT172" s="541"/>
      <c r="BU172" s="541"/>
      <c r="BV172" s="541"/>
      <c r="BW172" s="541">
        <v>0</v>
      </c>
      <c r="BX172" s="541"/>
      <c r="BY172" s="541"/>
      <c r="BZ172" s="539">
        <f t="shared" si="138"/>
        <v>65000000</v>
      </c>
      <c r="CA172" s="539">
        <f t="shared" si="139"/>
        <v>0</v>
      </c>
      <c r="CB172" s="539">
        <f t="shared" si="140"/>
        <v>0</v>
      </c>
    </row>
    <row r="173" spans="1:80" s="11" customFormat="1" ht="63" customHeight="1" x14ac:dyDescent="0.2">
      <c r="A173" s="54"/>
      <c r="B173" s="54"/>
      <c r="C173" s="857"/>
      <c r="D173" s="854"/>
      <c r="E173" s="857"/>
      <c r="F173" s="857"/>
      <c r="G173" s="64"/>
      <c r="H173" s="57">
        <v>240</v>
      </c>
      <c r="I173" s="56" t="s">
        <v>235</v>
      </c>
      <c r="J173" s="59">
        <v>1</v>
      </c>
      <c r="K173" s="461">
        <v>1</v>
      </c>
      <c r="L173" s="135">
        <v>0.25</v>
      </c>
      <c r="M173" s="852"/>
      <c r="N173" s="875"/>
      <c r="O173" s="858"/>
      <c r="P173" s="855"/>
      <c r="Q173" s="57" t="s">
        <v>51</v>
      </c>
      <c r="R173" s="539">
        <v>0</v>
      </c>
      <c r="S173" s="539"/>
      <c r="T173" s="539"/>
      <c r="U173" s="539">
        <v>0</v>
      </c>
      <c r="V173" s="539"/>
      <c r="W173" s="539"/>
      <c r="X173" s="539">
        <v>0</v>
      </c>
      <c r="Y173" s="539"/>
      <c r="Z173" s="539"/>
      <c r="AA173" s="539">
        <v>0</v>
      </c>
      <c r="AB173" s="539"/>
      <c r="AC173" s="539"/>
      <c r="AD173" s="539">
        <v>0</v>
      </c>
      <c r="AE173" s="539"/>
      <c r="AF173" s="539"/>
      <c r="AG173" s="539">
        <v>0</v>
      </c>
      <c r="AH173" s="539"/>
      <c r="AI173" s="539"/>
      <c r="AJ173" s="539">
        <v>0</v>
      </c>
      <c r="AK173" s="539"/>
      <c r="AL173" s="539"/>
      <c r="AM173" s="539"/>
      <c r="AN173" s="539"/>
      <c r="AO173" s="539"/>
      <c r="AP173" s="539"/>
      <c r="AQ173" s="539"/>
      <c r="AR173" s="539"/>
      <c r="AS173" s="539">
        <v>0</v>
      </c>
      <c r="AT173" s="539"/>
      <c r="AU173" s="539"/>
      <c r="AV173" s="539">
        <v>0</v>
      </c>
      <c r="AW173" s="539"/>
      <c r="AX173" s="539"/>
      <c r="AY173" s="539"/>
      <c r="AZ173" s="539"/>
      <c r="BA173" s="539"/>
      <c r="BB173" s="539"/>
      <c r="BC173" s="539"/>
      <c r="BD173" s="539"/>
      <c r="BE173" s="539">
        <v>0</v>
      </c>
      <c r="BF173" s="539"/>
      <c r="BG173" s="539"/>
      <c r="BH173" s="539">
        <v>0</v>
      </c>
      <c r="BI173" s="541"/>
      <c r="BJ173" s="541"/>
      <c r="BK173" s="542">
        <f>250000000+70000000</f>
        <v>320000000</v>
      </c>
      <c r="BL173" s="542">
        <v>107506000</v>
      </c>
      <c r="BM173" s="542">
        <v>36200000</v>
      </c>
      <c r="BN173" s="542"/>
      <c r="BO173" s="542"/>
      <c r="BP173" s="542"/>
      <c r="BQ173" s="539">
        <v>0</v>
      </c>
      <c r="BR173" s="541"/>
      <c r="BS173" s="541"/>
      <c r="BT173" s="541"/>
      <c r="BU173" s="541"/>
      <c r="BV173" s="541"/>
      <c r="BW173" s="541">
        <v>0</v>
      </c>
      <c r="BX173" s="541"/>
      <c r="BY173" s="541"/>
      <c r="BZ173" s="539">
        <f t="shared" si="138"/>
        <v>320000000</v>
      </c>
      <c r="CA173" s="539">
        <f t="shared" si="139"/>
        <v>107506000</v>
      </c>
      <c r="CB173" s="539">
        <f t="shared" si="140"/>
        <v>36200000</v>
      </c>
    </row>
    <row r="174" spans="1:80" s="459" customFormat="1" ht="15.75" x14ac:dyDescent="0.2">
      <c r="A174" s="54"/>
      <c r="B174" s="54"/>
      <c r="C174" s="510"/>
      <c r="D174" s="518"/>
      <c r="E174" s="510"/>
      <c r="F174" s="510"/>
      <c r="G174" s="77"/>
      <c r="H174" s="78"/>
      <c r="I174" s="77"/>
      <c r="J174" s="79"/>
      <c r="K174" s="105"/>
      <c r="L174" s="105"/>
      <c r="M174" s="105"/>
      <c r="N174" s="79"/>
      <c r="O174" s="78"/>
      <c r="P174" s="77"/>
      <c r="Q174" s="78"/>
      <c r="R174" s="548">
        <f t="shared" ref="R174:BY174" si="141">SUM(R169:R173)</f>
        <v>0</v>
      </c>
      <c r="S174" s="548">
        <f t="shared" si="141"/>
        <v>0</v>
      </c>
      <c r="T174" s="548">
        <f t="shared" si="141"/>
        <v>0</v>
      </c>
      <c r="U174" s="548">
        <f t="shared" si="141"/>
        <v>0</v>
      </c>
      <c r="V174" s="548">
        <f t="shared" si="141"/>
        <v>0</v>
      </c>
      <c r="W174" s="548">
        <f t="shared" si="141"/>
        <v>0</v>
      </c>
      <c r="X174" s="548">
        <f t="shared" si="141"/>
        <v>0</v>
      </c>
      <c r="Y174" s="548">
        <f t="shared" si="141"/>
        <v>0</v>
      </c>
      <c r="Z174" s="548">
        <f t="shared" si="141"/>
        <v>0</v>
      </c>
      <c r="AA174" s="548">
        <f t="shared" si="141"/>
        <v>0</v>
      </c>
      <c r="AB174" s="548">
        <f t="shared" si="141"/>
        <v>0</v>
      </c>
      <c r="AC174" s="548">
        <f t="shared" si="141"/>
        <v>0</v>
      </c>
      <c r="AD174" s="548">
        <f t="shared" si="141"/>
        <v>0</v>
      </c>
      <c r="AE174" s="548">
        <f t="shared" si="141"/>
        <v>0</v>
      </c>
      <c r="AF174" s="548">
        <f t="shared" si="141"/>
        <v>0</v>
      </c>
      <c r="AG174" s="548">
        <f t="shared" si="141"/>
        <v>0</v>
      </c>
      <c r="AH174" s="548">
        <f t="shared" si="141"/>
        <v>0</v>
      </c>
      <c r="AI174" s="548">
        <f t="shared" si="141"/>
        <v>0</v>
      </c>
      <c r="AJ174" s="548">
        <f t="shared" si="141"/>
        <v>0</v>
      </c>
      <c r="AK174" s="548">
        <f t="shared" si="141"/>
        <v>0</v>
      </c>
      <c r="AL174" s="548">
        <f t="shared" si="141"/>
        <v>0</v>
      </c>
      <c r="AM174" s="548">
        <f t="shared" si="141"/>
        <v>0</v>
      </c>
      <c r="AN174" s="548">
        <f t="shared" si="141"/>
        <v>0</v>
      </c>
      <c r="AO174" s="548">
        <f t="shared" si="141"/>
        <v>0</v>
      </c>
      <c r="AP174" s="548">
        <f t="shared" si="141"/>
        <v>0</v>
      </c>
      <c r="AQ174" s="548">
        <f t="shared" si="141"/>
        <v>0</v>
      </c>
      <c r="AR174" s="548">
        <f t="shared" si="141"/>
        <v>0</v>
      </c>
      <c r="AS174" s="548">
        <f t="shared" si="141"/>
        <v>0</v>
      </c>
      <c r="AT174" s="548">
        <f t="shared" si="141"/>
        <v>0</v>
      </c>
      <c r="AU174" s="548">
        <f t="shared" si="141"/>
        <v>0</v>
      </c>
      <c r="AV174" s="548">
        <f t="shared" si="141"/>
        <v>0</v>
      </c>
      <c r="AW174" s="548">
        <f t="shared" si="141"/>
        <v>0</v>
      </c>
      <c r="AX174" s="548">
        <f t="shared" si="141"/>
        <v>0</v>
      </c>
      <c r="AY174" s="548">
        <f t="shared" si="141"/>
        <v>0</v>
      </c>
      <c r="AZ174" s="548">
        <f t="shared" si="141"/>
        <v>0</v>
      </c>
      <c r="BA174" s="548">
        <f t="shared" si="141"/>
        <v>0</v>
      </c>
      <c r="BB174" s="548">
        <f t="shared" si="141"/>
        <v>0</v>
      </c>
      <c r="BC174" s="548">
        <f t="shared" si="141"/>
        <v>0</v>
      </c>
      <c r="BD174" s="548">
        <f t="shared" si="141"/>
        <v>0</v>
      </c>
      <c r="BE174" s="548">
        <f t="shared" si="141"/>
        <v>0</v>
      </c>
      <c r="BF174" s="548">
        <f t="shared" si="141"/>
        <v>0</v>
      </c>
      <c r="BG174" s="548">
        <f t="shared" si="141"/>
        <v>0</v>
      </c>
      <c r="BH174" s="548">
        <f t="shared" si="141"/>
        <v>0</v>
      </c>
      <c r="BI174" s="548">
        <f t="shared" si="141"/>
        <v>0</v>
      </c>
      <c r="BJ174" s="548">
        <f t="shared" si="141"/>
        <v>0</v>
      </c>
      <c r="BK174" s="548">
        <f t="shared" si="141"/>
        <v>620081242</v>
      </c>
      <c r="BL174" s="548">
        <f t="shared" si="141"/>
        <v>198346000</v>
      </c>
      <c r="BM174" s="548">
        <f t="shared" si="141"/>
        <v>59720000</v>
      </c>
      <c r="BN174" s="548">
        <f t="shared" si="141"/>
        <v>0</v>
      </c>
      <c r="BO174" s="548">
        <f t="shared" si="141"/>
        <v>0</v>
      </c>
      <c r="BP174" s="548">
        <f t="shared" si="141"/>
        <v>0</v>
      </c>
      <c r="BQ174" s="548">
        <f t="shared" si="141"/>
        <v>0</v>
      </c>
      <c r="BR174" s="548">
        <f t="shared" si="141"/>
        <v>0</v>
      </c>
      <c r="BS174" s="548">
        <f t="shared" si="141"/>
        <v>0</v>
      </c>
      <c r="BT174" s="548">
        <f t="shared" si="141"/>
        <v>0</v>
      </c>
      <c r="BU174" s="548">
        <f t="shared" si="141"/>
        <v>0</v>
      </c>
      <c r="BV174" s="548">
        <f t="shared" si="141"/>
        <v>0</v>
      </c>
      <c r="BW174" s="548">
        <f t="shared" si="141"/>
        <v>0</v>
      </c>
      <c r="BX174" s="548">
        <f t="shared" si="141"/>
        <v>0</v>
      </c>
      <c r="BY174" s="548">
        <f t="shared" si="141"/>
        <v>0</v>
      </c>
      <c r="BZ174" s="548">
        <f>SUM(BZ169:BZ173)</f>
        <v>620081242</v>
      </c>
      <c r="CA174" s="548">
        <f t="shared" ref="CA174:CB174" si="142">SUM(CA169:CA173)</f>
        <v>198346000</v>
      </c>
      <c r="CB174" s="548">
        <f t="shared" si="142"/>
        <v>59720000</v>
      </c>
    </row>
    <row r="175" spans="1:80" s="11" customFormat="1" ht="15.75" x14ac:dyDescent="0.2">
      <c r="A175" s="54"/>
      <c r="B175" s="54"/>
      <c r="C175" s="92"/>
      <c r="D175" s="91"/>
      <c r="E175" s="92"/>
      <c r="F175" s="92"/>
      <c r="G175" s="91"/>
      <c r="H175" s="92"/>
      <c r="I175" s="91"/>
      <c r="J175" s="93"/>
      <c r="K175" s="104"/>
      <c r="L175" s="210"/>
      <c r="M175" s="210"/>
      <c r="N175" s="146"/>
      <c r="O175" s="499"/>
      <c r="P175" s="124"/>
      <c r="Q175" s="92"/>
      <c r="R175" s="543"/>
      <c r="S175" s="543"/>
      <c r="T175" s="543"/>
      <c r="U175" s="544"/>
      <c r="V175" s="544"/>
      <c r="W175" s="544"/>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3"/>
      <c r="AY175" s="544"/>
      <c r="AZ175" s="544"/>
      <c r="BA175" s="544"/>
      <c r="BB175" s="544"/>
      <c r="BC175" s="544"/>
      <c r="BD175" s="544"/>
      <c r="BE175" s="543"/>
      <c r="BF175" s="543"/>
      <c r="BG175" s="543"/>
      <c r="BH175" s="543"/>
      <c r="BI175" s="570"/>
      <c r="BJ175" s="570"/>
      <c r="BK175" s="591"/>
      <c r="BL175" s="591"/>
      <c r="BM175" s="591"/>
      <c r="BN175" s="592"/>
      <c r="BO175" s="592"/>
      <c r="BP175" s="592"/>
      <c r="BQ175" s="543"/>
      <c r="BR175" s="543"/>
      <c r="BS175" s="543"/>
      <c r="BT175" s="543"/>
      <c r="BU175" s="543"/>
      <c r="BV175" s="543"/>
      <c r="BW175" s="544"/>
      <c r="BX175" s="544"/>
      <c r="BY175" s="544"/>
      <c r="BZ175" s="547"/>
      <c r="CA175" s="547"/>
      <c r="CB175" s="547"/>
    </row>
    <row r="176" spans="1:80" s="459" customFormat="1" ht="15.75" x14ac:dyDescent="0.2">
      <c r="A176" s="54"/>
      <c r="B176" s="54"/>
      <c r="C176" s="508"/>
      <c r="D176" s="516"/>
      <c r="E176" s="508"/>
      <c r="F176" s="508"/>
      <c r="G176" s="98">
        <v>82</v>
      </c>
      <c r="H176" s="99" t="s">
        <v>236</v>
      </c>
      <c r="I176" s="100"/>
      <c r="J176" s="100"/>
      <c r="K176" s="114"/>
      <c r="L176" s="114"/>
      <c r="M176" s="114"/>
      <c r="N176" s="100"/>
      <c r="O176" s="212"/>
      <c r="P176" s="100"/>
      <c r="Q176" s="100"/>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552"/>
      <c r="BL176" s="552"/>
      <c r="BM176" s="552"/>
      <c r="BN176" s="336"/>
      <c r="BO176" s="336"/>
      <c r="BP176" s="336"/>
      <c r="BQ176" s="336"/>
      <c r="BR176" s="336"/>
      <c r="BS176" s="336"/>
      <c r="BT176" s="336"/>
      <c r="BU176" s="336"/>
      <c r="BV176" s="336"/>
      <c r="BW176" s="336"/>
      <c r="BX176" s="336"/>
      <c r="BY176" s="336"/>
      <c r="BZ176" s="338"/>
      <c r="CA176" s="338"/>
      <c r="CB176" s="338"/>
    </row>
    <row r="177" spans="1:80" s="11" customFormat="1" ht="72.75" customHeight="1" x14ac:dyDescent="0.2">
      <c r="A177" s="54"/>
      <c r="B177" s="54"/>
      <c r="C177" s="857">
        <v>13</v>
      </c>
      <c r="D177" s="854" t="s">
        <v>204</v>
      </c>
      <c r="E177" s="857">
        <v>71.040000000000006</v>
      </c>
      <c r="F177" s="857">
        <v>88.17</v>
      </c>
      <c r="G177" s="856"/>
      <c r="H177" s="57">
        <v>241</v>
      </c>
      <c r="I177" s="56" t="s">
        <v>237</v>
      </c>
      <c r="J177" s="59">
        <v>1</v>
      </c>
      <c r="K177" s="60">
        <v>1</v>
      </c>
      <c r="L177" s="135">
        <v>0.25</v>
      </c>
      <c r="M177" s="850">
        <v>2017003630020</v>
      </c>
      <c r="N177" s="873" t="s">
        <v>229</v>
      </c>
      <c r="O177" s="856" t="s">
        <v>238</v>
      </c>
      <c r="P177" s="853" t="s">
        <v>239</v>
      </c>
      <c r="Q177" s="57" t="s">
        <v>51</v>
      </c>
      <c r="R177" s="539">
        <v>0</v>
      </c>
      <c r="S177" s="539"/>
      <c r="T177" s="539"/>
      <c r="U177" s="539">
        <v>0</v>
      </c>
      <c r="V177" s="539"/>
      <c r="W177" s="539"/>
      <c r="X177" s="539">
        <v>0</v>
      </c>
      <c r="Y177" s="539"/>
      <c r="Z177" s="539"/>
      <c r="AA177" s="539">
        <v>0</v>
      </c>
      <c r="AB177" s="539"/>
      <c r="AC177" s="539"/>
      <c r="AD177" s="539">
        <v>0</v>
      </c>
      <c r="AE177" s="539"/>
      <c r="AF177" s="539"/>
      <c r="AG177" s="539">
        <v>0</v>
      </c>
      <c r="AH177" s="539"/>
      <c r="AI177" s="539"/>
      <c r="AJ177" s="539">
        <v>0</v>
      </c>
      <c r="AK177" s="539"/>
      <c r="AL177" s="539"/>
      <c r="AM177" s="539"/>
      <c r="AN177" s="539"/>
      <c r="AO177" s="539"/>
      <c r="AP177" s="539"/>
      <c r="AQ177" s="539"/>
      <c r="AR177" s="539"/>
      <c r="AS177" s="539">
        <v>0</v>
      </c>
      <c r="AT177" s="539"/>
      <c r="AU177" s="539"/>
      <c r="AV177" s="539">
        <v>0</v>
      </c>
      <c r="AW177" s="539"/>
      <c r="AX177" s="539"/>
      <c r="AY177" s="539"/>
      <c r="AZ177" s="539"/>
      <c r="BA177" s="539"/>
      <c r="BB177" s="539"/>
      <c r="BC177" s="539"/>
      <c r="BD177" s="539"/>
      <c r="BE177" s="539">
        <v>0</v>
      </c>
      <c r="BF177" s="539"/>
      <c r="BG177" s="539"/>
      <c r="BH177" s="539">
        <v>0</v>
      </c>
      <c r="BI177" s="539"/>
      <c r="BJ177" s="539"/>
      <c r="BK177" s="540">
        <f>30000000+27479700</f>
        <v>57479700</v>
      </c>
      <c r="BL177" s="540">
        <v>13200000</v>
      </c>
      <c r="BM177" s="540">
        <v>4400000</v>
      </c>
      <c r="BN177" s="540"/>
      <c r="BO177" s="540"/>
      <c r="BP177" s="540"/>
      <c r="BQ177" s="539">
        <v>0</v>
      </c>
      <c r="BR177" s="541"/>
      <c r="BS177" s="541"/>
      <c r="BT177" s="541"/>
      <c r="BU177" s="541"/>
      <c r="BV177" s="541"/>
      <c r="BW177" s="541">
        <v>0</v>
      </c>
      <c r="BX177" s="541"/>
      <c r="BY177" s="541"/>
      <c r="BZ177" s="539">
        <f t="shared" ref="BZ177:BZ178" si="143">R177+U177+X177+AA177+AD177+AG177+AJ177+AM177+AP177+AS177+AV177+AY177+BB177+BE177+BH177+BK177+BN177+BQ177+BT177+BW177</f>
        <v>57479700</v>
      </c>
      <c r="CA177" s="539">
        <f t="shared" ref="CA177:CA178" si="144">S177+V177+Y177+AB177+AE177+AH177+AK177+AN177+AQ177+AT177+AW177+AZ177+BC177+BF177+BI177+BL177+BO177+BR177+BU177+BX177</f>
        <v>13200000</v>
      </c>
      <c r="CB177" s="539">
        <f t="shared" ref="CB177:CB178" si="145">T177+W177+Z177+AC177+AF177+AI177+AL177+AO177+AR177+AU177+AX177+BA177+BD177+BG177+BJ177+BM177+BP177+BS177+BV177+BY177</f>
        <v>4400000</v>
      </c>
    </row>
    <row r="178" spans="1:80" s="11" customFormat="1" ht="81" customHeight="1" x14ac:dyDescent="0.2">
      <c r="A178" s="54"/>
      <c r="B178" s="54"/>
      <c r="C178" s="857"/>
      <c r="D178" s="854"/>
      <c r="E178" s="857"/>
      <c r="F178" s="857"/>
      <c r="G178" s="858"/>
      <c r="H178" s="57">
        <v>242</v>
      </c>
      <c r="I178" s="56" t="s">
        <v>240</v>
      </c>
      <c r="J178" s="59">
        <v>1</v>
      </c>
      <c r="K178" s="60">
        <v>1</v>
      </c>
      <c r="L178" s="135">
        <v>0.15</v>
      </c>
      <c r="M178" s="852"/>
      <c r="N178" s="875"/>
      <c r="O178" s="858"/>
      <c r="P178" s="855"/>
      <c r="Q178" s="57" t="s">
        <v>51</v>
      </c>
      <c r="R178" s="539">
        <v>0</v>
      </c>
      <c r="S178" s="539"/>
      <c r="T178" s="539"/>
      <c r="U178" s="539">
        <v>0</v>
      </c>
      <c r="V178" s="539"/>
      <c r="W178" s="539"/>
      <c r="X178" s="539">
        <v>0</v>
      </c>
      <c r="Y178" s="539"/>
      <c r="Z178" s="539"/>
      <c r="AA178" s="539">
        <v>0</v>
      </c>
      <c r="AB178" s="539"/>
      <c r="AC178" s="539"/>
      <c r="AD178" s="539">
        <v>0</v>
      </c>
      <c r="AE178" s="539"/>
      <c r="AF178" s="539"/>
      <c r="AG178" s="539">
        <v>0</v>
      </c>
      <c r="AH178" s="539"/>
      <c r="AI178" s="539"/>
      <c r="AJ178" s="539">
        <v>0</v>
      </c>
      <c r="AK178" s="539"/>
      <c r="AL178" s="539"/>
      <c r="AM178" s="539"/>
      <c r="AN178" s="539"/>
      <c r="AO178" s="539"/>
      <c r="AP178" s="539"/>
      <c r="AQ178" s="539"/>
      <c r="AR178" s="539"/>
      <c r="AS178" s="539">
        <v>0</v>
      </c>
      <c r="AT178" s="539"/>
      <c r="AU178" s="539"/>
      <c r="AV178" s="539">
        <v>0</v>
      </c>
      <c r="AW178" s="539"/>
      <c r="AX178" s="539"/>
      <c r="AY178" s="539"/>
      <c r="AZ178" s="539"/>
      <c r="BA178" s="539"/>
      <c r="BB178" s="539"/>
      <c r="BC178" s="539"/>
      <c r="BD178" s="539"/>
      <c r="BE178" s="539">
        <v>0</v>
      </c>
      <c r="BF178" s="539"/>
      <c r="BG178" s="539"/>
      <c r="BH178" s="539">
        <v>0</v>
      </c>
      <c r="BI178" s="539"/>
      <c r="BJ178" s="539"/>
      <c r="BK178" s="540">
        <v>55000000</v>
      </c>
      <c r="BL178" s="540">
        <v>8400000</v>
      </c>
      <c r="BM178" s="540">
        <v>1400000</v>
      </c>
      <c r="BN178" s="540"/>
      <c r="BO178" s="540"/>
      <c r="BP178" s="540"/>
      <c r="BQ178" s="539">
        <v>0</v>
      </c>
      <c r="BR178" s="541"/>
      <c r="BS178" s="541"/>
      <c r="BT178" s="541"/>
      <c r="BU178" s="541"/>
      <c r="BV178" s="541"/>
      <c r="BW178" s="541">
        <v>0</v>
      </c>
      <c r="BX178" s="541"/>
      <c r="BY178" s="541"/>
      <c r="BZ178" s="539">
        <f t="shared" si="143"/>
        <v>55000000</v>
      </c>
      <c r="CA178" s="539">
        <f t="shared" si="144"/>
        <v>8400000</v>
      </c>
      <c r="CB178" s="539">
        <f t="shared" si="145"/>
        <v>1400000</v>
      </c>
    </row>
    <row r="179" spans="1:80" s="459" customFormat="1" ht="15.75" x14ac:dyDescent="0.2">
      <c r="A179" s="54"/>
      <c r="B179" s="74"/>
      <c r="C179" s="259"/>
      <c r="D179" s="209"/>
      <c r="E179" s="259"/>
      <c r="F179" s="259"/>
      <c r="G179" s="116"/>
      <c r="H179" s="117"/>
      <c r="I179" s="77"/>
      <c r="J179" s="79"/>
      <c r="K179" s="105"/>
      <c r="L179" s="105"/>
      <c r="M179" s="105"/>
      <c r="N179" s="79"/>
      <c r="O179" s="78"/>
      <c r="P179" s="77"/>
      <c r="Q179" s="78"/>
      <c r="R179" s="548">
        <f t="shared" ref="R179:BY179" si="146">SUM(R177:R178)</f>
        <v>0</v>
      </c>
      <c r="S179" s="548">
        <f t="shared" si="146"/>
        <v>0</v>
      </c>
      <c r="T179" s="548">
        <f t="shared" si="146"/>
        <v>0</v>
      </c>
      <c r="U179" s="548">
        <f t="shared" si="146"/>
        <v>0</v>
      </c>
      <c r="V179" s="548">
        <f t="shared" si="146"/>
        <v>0</v>
      </c>
      <c r="W179" s="548">
        <f t="shared" si="146"/>
        <v>0</v>
      </c>
      <c r="X179" s="548">
        <f t="shared" si="146"/>
        <v>0</v>
      </c>
      <c r="Y179" s="548">
        <f t="shared" si="146"/>
        <v>0</v>
      </c>
      <c r="Z179" s="548">
        <f t="shared" si="146"/>
        <v>0</v>
      </c>
      <c r="AA179" s="548">
        <f t="shared" si="146"/>
        <v>0</v>
      </c>
      <c r="AB179" s="548">
        <f t="shared" si="146"/>
        <v>0</v>
      </c>
      <c r="AC179" s="548">
        <f t="shared" si="146"/>
        <v>0</v>
      </c>
      <c r="AD179" s="548">
        <f t="shared" si="146"/>
        <v>0</v>
      </c>
      <c r="AE179" s="548">
        <f t="shared" si="146"/>
        <v>0</v>
      </c>
      <c r="AF179" s="548">
        <f t="shared" si="146"/>
        <v>0</v>
      </c>
      <c r="AG179" s="548">
        <f t="shared" si="146"/>
        <v>0</v>
      </c>
      <c r="AH179" s="548">
        <f t="shared" si="146"/>
        <v>0</v>
      </c>
      <c r="AI179" s="548">
        <f t="shared" si="146"/>
        <v>0</v>
      </c>
      <c r="AJ179" s="548">
        <f t="shared" si="146"/>
        <v>0</v>
      </c>
      <c r="AK179" s="548">
        <f t="shared" si="146"/>
        <v>0</v>
      </c>
      <c r="AL179" s="548">
        <f t="shared" si="146"/>
        <v>0</v>
      </c>
      <c r="AM179" s="548">
        <f t="shared" si="146"/>
        <v>0</v>
      </c>
      <c r="AN179" s="548">
        <f t="shared" si="146"/>
        <v>0</v>
      </c>
      <c r="AO179" s="548">
        <f t="shared" si="146"/>
        <v>0</v>
      </c>
      <c r="AP179" s="548">
        <f t="shared" si="146"/>
        <v>0</v>
      </c>
      <c r="AQ179" s="548">
        <f t="shared" si="146"/>
        <v>0</v>
      </c>
      <c r="AR179" s="548">
        <f t="shared" si="146"/>
        <v>0</v>
      </c>
      <c r="AS179" s="548">
        <f t="shared" si="146"/>
        <v>0</v>
      </c>
      <c r="AT179" s="548">
        <f t="shared" si="146"/>
        <v>0</v>
      </c>
      <c r="AU179" s="548">
        <f t="shared" si="146"/>
        <v>0</v>
      </c>
      <c r="AV179" s="548">
        <f t="shared" si="146"/>
        <v>0</v>
      </c>
      <c r="AW179" s="548">
        <f t="shared" si="146"/>
        <v>0</v>
      </c>
      <c r="AX179" s="548">
        <f t="shared" si="146"/>
        <v>0</v>
      </c>
      <c r="AY179" s="548">
        <f t="shared" si="146"/>
        <v>0</v>
      </c>
      <c r="AZ179" s="548">
        <f t="shared" si="146"/>
        <v>0</v>
      </c>
      <c r="BA179" s="548">
        <f t="shared" si="146"/>
        <v>0</v>
      </c>
      <c r="BB179" s="548">
        <f t="shared" si="146"/>
        <v>0</v>
      </c>
      <c r="BC179" s="548">
        <f t="shared" si="146"/>
        <v>0</v>
      </c>
      <c r="BD179" s="548">
        <f t="shared" si="146"/>
        <v>0</v>
      </c>
      <c r="BE179" s="548">
        <f t="shared" si="146"/>
        <v>0</v>
      </c>
      <c r="BF179" s="548">
        <f t="shared" si="146"/>
        <v>0</v>
      </c>
      <c r="BG179" s="548">
        <f t="shared" si="146"/>
        <v>0</v>
      </c>
      <c r="BH179" s="548">
        <f t="shared" si="146"/>
        <v>0</v>
      </c>
      <c r="BI179" s="548">
        <f t="shared" si="146"/>
        <v>0</v>
      </c>
      <c r="BJ179" s="548">
        <f t="shared" si="146"/>
        <v>0</v>
      </c>
      <c r="BK179" s="548">
        <f t="shared" si="146"/>
        <v>112479700</v>
      </c>
      <c r="BL179" s="548">
        <f t="shared" si="146"/>
        <v>21600000</v>
      </c>
      <c r="BM179" s="548">
        <f t="shared" si="146"/>
        <v>5800000</v>
      </c>
      <c r="BN179" s="548">
        <f t="shared" si="146"/>
        <v>0</v>
      </c>
      <c r="BO179" s="548">
        <f t="shared" si="146"/>
        <v>0</v>
      </c>
      <c r="BP179" s="548">
        <f t="shared" si="146"/>
        <v>0</v>
      </c>
      <c r="BQ179" s="548">
        <f t="shared" si="146"/>
        <v>0</v>
      </c>
      <c r="BR179" s="548">
        <f t="shared" si="146"/>
        <v>0</v>
      </c>
      <c r="BS179" s="548">
        <f t="shared" si="146"/>
        <v>0</v>
      </c>
      <c r="BT179" s="548">
        <f t="shared" si="146"/>
        <v>0</v>
      </c>
      <c r="BU179" s="548">
        <f t="shared" si="146"/>
        <v>0</v>
      </c>
      <c r="BV179" s="548">
        <f t="shared" si="146"/>
        <v>0</v>
      </c>
      <c r="BW179" s="548">
        <f t="shared" si="146"/>
        <v>0</v>
      </c>
      <c r="BX179" s="548">
        <f t="shared" si="146"/>
        <v>0</v>
      </c>
      <c r="BY179" s="548">
        <f t="shared" si="146"/>
        <v>0</v>
      </c>
      <c r="BZ179" s="548">
        <f t="shared" ref="BZ179" si="147">SUM(BZ177:BZ178)</f>
        <v>112479700</v>
      </c>
      <c r="CA179" s="548">
        <f t="shared" ref="CA179:CB179" si="148">SUM(CA177:CA178)</f>
        <v>21600000</v>
      </c>
      <c r="CB179" s="548">
        <f t="shared" si="148"/>
        <v>5800000</v>
      </c>
    </row>
    <row r="180" spans="1:80" s="459" customFormat="1" ht="15.75" x14ac:dyDescent="0.2">
      <c r="A180" s="74"/>
      <c r="B180" s="81"/>
      <c r="C180" s="120"/>
      <c r="D180" s="81"/>
      <c r="E180" s="82"/>
      <c r="F180" s="82"/>
      <c r="G180" s="121"/>
      <c r="H180" s="122"/>
      <c r="I180" s="81"/>
      <c r="J180" s="83"/>
      <c r="K180" s="123"/>
      <c r="L180" s="123"/>
      <c r="M180" s="123"/>
      <c r="N180" s="83"/>
      <c r="O180" s="82"/>
      <c r="P180" s="81"/>
      <c r="Q180" s="82"/>
      <c r="R180" s="554">
        <f t="shared" ref="R180:BY180" si="149">R179+R174</f>
        <v>0</v>
      </c>
      <c r="S180" s="554">
        <f t="shared" si="149"/>
        <v>0</v>
      </c>
      <c r="T180" s="554">
        <f t="shared" si="149"/>
        <v>0</v>
      </c>
      <c r="U180" s="554">
        <f t="shared" si="149"/>
        <v>0</v>
      </c>
      <c r="V180" s="554">
        <f t="shared" si="149"/>
        <v>0</v>
      </c>
      <c r="W180" s="554">
        <f t="shared" si="149"/>
        <v>0</v>
      </c>
      <c r="X180" s="554">
        <f t="shared" si="149"/>
        <v>0</v>
      </c>
      <c r="Y180" s="554">
        <f t="shared" si="149"/>
        <v>0</v>
      </c>
      <c r="Z180" s="554">
        <f t="shared" si="149"/>
        <v>0</v>
      </c>
      <c r="AA180" s="554">
        <f t="shared" si="149"/>
        <v>0</v>
      </c>
      <c r="AB180" s="554">
        <f t="shared" si="149"/>
        <v>0</v>
      </c>
      <c r="AC180" s="554">
        <f t="shared" si="149"/>
        <v>0</v>
      </c>
      <c r="AD180" s="554">
        <f t="shared" si="149"/>
        <v>0</v>
      </c>
      <c r="AE180" s="554">
        <f t="shared" si="149"/>
        <v>0</v>
      </c>
      <c r="AF180" s="554">
        <f t="shared" si="149"/>
        <v>0</v>
      </c>
      <c r="AG180" s="554">
        <f t="shared" si="149"/>
        <v>0</v>
      </c>
      <c r="AH180" s="554">
        <f t="shared" si="149"/>
        <v>0</v>
      </c>
      <c r="AI180" s="554">
        <f t="shared" si="149"/>
        <v>0</v>
      </c>
      <c r="AJ180" s="554">
        <f t="shared" si="149"/>
        <v>0</v>
      </c>
      <c r="AK180" s="554">
        <f t="shared" si="149"/>
        <v>0</v>
      </c>
      <c r="AL180" s="554">
        <f t="shared" si="149"/>
        <v>0</v>
      </c>
      <c r="AM180" s="554">
        <f t="shared" si="149"/>
        <v>0</v>
      </c>
      <c r="AN180" s="554">
        <f t="shared" si="149"/>
        <v>0</v>
      </c>
      <c r="AO180" s="554">
        <f t="shared" si="149"/>
        <v>0</v>
      </c>
      <c r="AP180" s="554">
        <f t="shared" si="149"/>
        <v>0</v>
      </c>
      <c r="AQ180" s="554">
        <f t="shared" si="149"/>
        <v>0</v>
      </c>
      <c r="AR180" s="554">
        <f t="shared" si="149"/>
        <v>0</v>
      </c>
      <c r="AS180" s="554">
        <f t="shared" si="149"/>
        <v>0</v>
      </c>
      <c r="AT180" s="554">
        <f t="shared" si="149"/>
        <v>0</v>
      </c>
      <c r="AU180" s="554">
        <f t="shared" si="149"/>
        <v>0</v>
      </c>
      <c r="AV180" s="554">
        <f t="shared" si="149"/>
        <v>0</v>
      </c>
      <c r="AW180" s="554">
        <f t="shared" si="149"/>
        <v>0</v>
      </c>
      <c r="AX180" s="554">
        <f t="shared" si="149"/>
        <v>0</v>
      </c>
      <c r="AY180" s="554">
        <f t="shared" si="149"/>
        <v>0</v>
      </c>
      <c r="AZ180" s="554">
        <f t="shared" si="149"/>
        <v>0</v>
      </c>
      <c r="BA180" s="554">
        <f t="shared" si="149"/>
        <v>0</v>
      </c>
      <c r="BB180" s="554">
        <f t="shared" si="149"/>
        <v>0</v>
      </c>
      <c r="BC180" s="554">
        <f t="shared" si="149"/>
        <v>0</v>
      </c>
      <c r="BD180" s="554">
        <f t="shared" si="149"/>
        <v>0</v>
      </c>
      <c r="BE180" s="554">
        <f t="shared" si="149"/>
        <v>0</v>
      </c>
      <c r="BF180" s="554">
        <f t="shared" si="149"/>
        <v>0</v>
      </c>
      <c r="BG180" s="554">
        <f t="shared" si="149"/>
        <v>0</v>
      </c>
      <c r="BH180" s="554">
        <f t="shared" si="149"/>
        <v>0</v>
      </c>
      <c r="BI180" s="554">
        <f t="shared" si="149"/>
        <v>0</v>
      </c>
      <c r="BJ180" s="554">
        <f t="shared" si="149"/>
        <v>0</v>
      </c>
      <c r="BK180" s="554">
        <f t="shared" si="149"/>
        <v>732560942</v>
      </c>
      <c r="BL180" s="554">
        <f t="shared" si="149"/>
        <v>219946000</v>
      </c>
      <c r="BM180" s="554">
        <f t="shared" si="149"/>
        <v>65520000</v>
      </c>
      <c r="BN180" s="554">
        <f t="shared" si="149"/>
        <v>0</v>
      </c>
      <c r="BO180" s="554">
        <f t="shared" si="149"/>
        <v>0</v>
      </c>
      <c r="BP180" s="554">
        <f t="shared" si="149"/>
        <v>0</v>
      </c>
      <c r="BQ180" s="554">
        <f t="shared" si="149"/>
        <v>0</v>
      </c>
      <c r="BR180" s="554">
        <f t="shared" si="149"/>
        <v>0</v>
      </c>
      <c r="BS180" s="554">
        <f t="shared" si="149"/>
        <v>0</v>
      </c>
      <c r="BT180" s="554">
        <f t="shared" si="149"/>
        <v>0</v>
      </c>
      <c r="BU180" s="554">
        <f t="shared" si="149"/>
        <v>0</v>
      </c>
      <c r="BV180" s="554">
        <f t="shared" si="149"/>
        <v>0</v>
      </c>
      <c r="BW180" s="554">
        <f t="shared" si="149"/>
        <v>0</v>
      </c>
      <c r="BX180" s="554">
        <f t="shared" si="149"/>
        <v>0</v>
      </c>
      <c r="BY180" s="554">
        <f t="shared" si="149"/>
        <v>0</v>
      </c>
      <c r="BZ180" s="554">
        <f t="shared" ref="BZ180" si="150">BZ179+BZ174</f>
        <v>732560942</v>
      </c>
      <c r="CA180" s="554">
        <f t="shared" ref="CA180:CB180" si="151">CA179+CA174</f>
        <v>219946000</v>
      </c>
      <c r="CB180" s="554">
        <f t="shared" si="151"/>
        <v>65520000</v>
      </c>
    </row>
    <row r="181" spans="1:80" s="459" customFormat="1" x14ac:dyDescent="0.2">
      <c r="A181" s="180"/>
      <c r="B181" s="84"/>
      <c r="C181" s="85"/>
      <c r="D181" s="84"/>
      <c r="E181" s="85"/>
      <c r="F181" s="85"/>
      <c r="G181" s="225"/>
      <c r="H181" s="226"/>
      <c r="I181" s="84"/>
      <c r="J181" s="86"/>
      <c r="K181" s="157"/>
      <c r="L181" s="157"/>
      <c r="M181" s="157"/>
      <c r="N181" s="86"/>
      <c r="O181" s="85"/>
      <c r="P181" s="84"/>
      <c r="Q181" s="85"/>
      <c r="R181" s="560">
        <f t="shared" ref="R181:BY181" si="152">R180+R165+R144</f>
        <v>0</v>
      </c>
      <c r="S181" s="560">
        <f t="shared" si="152"/>
        <v>0</v>
      </c>
      <c r="T181" s="560">
        <f t="shared" si="152"/>
        <v>0</v>
      </c>
      <c r="U181" s="560">
        <f t="shared" si="152"/>
        <v>0</v>
      </c>
      <c r="V181" s="560">
        <f t="shared" si="152"/>
        <v>0</v>
      </c>
      <c r="W181" s="560">
        <f t="shared" si="152"/>
        <v>0</v>
      </c>
      <c r="X181" s="560">
        <f t="shared" si="152"/>
        <v>0</v>
      </c>
      <c r="Y181" s="560">
        <f t="shared" si="152"/>
        <v>0</v>
      </c>
      <c r="Z181" s="560">
        <f t="shared" si="152"/>
        <v>0</v>
      </c>
      <c r="AA181" s="560">
        <f t="shared" si="152"/>
        <v>6994835512.3800001</v>
      </c>
      <c r="AB181" s="560">
        <f t="shared" si="152"/>
        <v>850264060</v>
      </c>
      <c r="AC181" s="560">
        <f t="shared" si="152"/>
        <v>208100000</v>
      </c>
      <c r="AD181" s="560">
        <f t="shared" si="152"/>
        <v>0</v>
      </c>
      <c r="AE181" s="560">
        <f t="shared" si="152"/>
        <v>0</v>
      </c>
      <c r="AF181" s="560">
        <f t="shared" si="152"/>
        <v>0</v>
      </c>
      <c r="AG181" s="560">
        <f t="shared" si="152"/>
        <v>0</v>
      </c>
      <c r="AH181" s="560">
        <f t="shared" si="152"/>
        <v>0</v>
      </c>
      <c r="AI181" s="560">
        <f t="shared" si="152"/>
        <v>0</v>
      </c>
      <c r="AJ181" s="560">
        <f t="shared" si="152"/>
        <v>0</v>
      </c>
      <c r="AK181" s="560">
        <f t="shared" si="152"/>
        <v>0</v>
      </c>
      <c r="AL181" s="560">
        <f t="shared" si="152"/>
        <v>0</v>
      </c>
      <c r="AM181" s="560">
        <f t="shared" si="152"/>
        <v>0</v>
      </c>
      <c r="AN181" s="560">
        <f t="shared" si="152"/>
        <v>0</v>
      </c>
      <c r="AO181" s="560">
        <f t="shared" si="152"/>
        <v>0</v>
      </c>
      <c r="AP181" s="560">
        <f t="shared" si="152"/>
        <v>0</v>
      </c>
      <c r="AQ181" s="560">
        <f t="shared" si="152"/>
        <v>0</v>
      </c>
      <c r="AR181" s="560">
        <f t="shared" si="152"/>
        <v>0</v>
      </c>
      <c r="AS181" s="560">
        <f t="shared" si="152"/>
        <v>0</v>
      </c>
      <c r="AT181" s="560">
        <f t="shared" si="152"/>
        <v>0</v>
      </c>
      <c r="AU181" s="560">
        <f t="shared" si="152"/>
        <v>0</v>
      </c>
      <c r="AV181" s="560">
        <f t="shared" si="152"/>
        <v>0</v>
      </c>
      <c r="AW181" s="560">
        <f t="shared" si="152"/>
        <v>0</v>
      </c>
      <c r="AX181" s="560">
        <f t="shared" si="152"/>
        <v>0</v>
      </c>
      <c r="AY181" s="560">
        <f t="shared" si="152"/>
        <v>0</v>
      </c>
      <c r="AZ181" s="560">
        <f t="shared" si="152"/>
        <v>0</v>
      </c>
      <c r="BA181" s="560">
        <f t="shared" si="152"/>
        <v>0</v>
      </c>
      <c r="BB181" s="560">
        <f t="shared" si="152"/>
        <v>0</v>
      </c>
      <c r="BC181" s="560">
        <f t="shared" si="152"/>
        <v>0</v>
      </c>
      <c r="BD181" s="560">
        <f t="shared" si="152"/>
        <v>0</v>
      </c>
      <c r="BE181" s="560">
        <f t="shared" si="152"/>
        <v>0</v>
      </c>
      <c r="BF181" s="560">
        <f t="shared" si="152"/>
        <v>0</v>
      </c>
      <c r="BG181" s="560">
        <f t="shared" si="152"/>
        <v>0</v>
      </c>
      <c r="BH181" s="560">
        <f t="shared" si="152"/>
        <v>0</v>
      </c>
      <c r="BI181" s="560">
        <f t="shared" si="152"/>
        <v>0</v>
      </c>
      <c r="BJ181" s="560">
        <f t="shared" si="152"/>
        <v>0</v>
      </c>
      <c r="BK181" s="560">
        <f t="shared" si="152"/>
        <v>1576560942</v>
      </c>
      <c r="BL181" s="560">
        <f t="shared" si="152"/>
        <v>427668794</v>
      </c>
      <c r="BM181" s="560">
        <f t="shared" si="152"/>
        <v>136542794</v>
      </c>
      <c r="BN181" s="560">
        <f t="shared" si="152"/>
        <v>0</v>
      </c>
      <c r="BO181" s="560">
        <f t="shared" si="152"/>
        <v>0</v>
      </c>
      <c r="BP181" s="560">
        <f t="shared" si="152"/>
        <v>0</v>
      </c>
      <c r="BQ181" s="560">
        <f t="shared" si="152"/>
        <v>0</v>
      </c>
      <c r="BR181" s="560">
        <f t="shared" si="152"/>
        <v>0</v>
      </c>
      <c r="BS181" s="560">
        <f t="shared" si="152"/>
        <v>0</v>
      </c>
      <c r="BT181" s="560">
        <f t="shared" si="152"/>
        <v>0</v>
      </c>
      <c r="BU181" s="560">
        <f t="shared" si="152"/>
        <v>0</v>
      </c>
      <c r="BV181" s="560">
        <f t="shared" si="152"/>
        <v>0</v>
      </c>
      <c r="BW181" s="560">
        <f t="shared" si="152"/>
        <v>0</v>
      </c>
      <c r="BX181" s="560">
        <f t="shared" si="152"/>
        <v>0</v>
      </c>
      <c r="BY181" s="560">
        <f t="shared" si="152"/>
        <v>0</v>
      </c>
      <c r="BZ181" s="560">
        <f t="shared" ref="BZ181" si="153">BZ180+BZ165+BZ144</f>
        <v>8571396454.3800001</v>
      </c>
      <c r="CA181" s="560">
        <f t="shared" ref="CA181:CB181" si="154">CA180+CA165+CA144</f>
        <v>1277932854</v>
      </c>
      <c r="CB181" s="560">
        <f t="shared" si="154"/>
        <v>344642794</v>
      </c>
    </row>
    <row r="182" spans="1:80" s="11" customFormat="1" ht="23.25" customHeight="1" x14ac:dyDescent="0.2">
      <c r="A182" s="91"/>
      <c r="B182" s="91"/>
      <c r="C182" s="92"/>
      <c r="D182" s="91"/>
      <c r="E182" s="92"/>
      <c r="F182" s="92"/>
      <c r="G182" s="124"/>
      <c r="H182" s="125"/>
      <c r="I182" s="91"/>
      <c r="J182" s="93"/>
      <c r="K182" s="104"/>
      <c r="L182" s="210"/>
      <c r="M182" s="210"/>
      <c r="N182" s="146"/>
      <c r="O182" s="499"/>
      <c r="P182" s="124"/>
      <c r="Q182" s="92"/>
      <c r="R182" s="543"/>
      <c r="S182" s="543"/>
      <c r="T182" s="543"/>
      <c r="U182" s="544"/>
      <c r="V182" s="544"/>
      <c r="W182" s="544"/>
      <c r="X182" s="543"/>
      <c r="Y182" s="543"/>
      <c r="Z182" s="543"/>
      <c r="AA182" s="543"/>
      <c r="AB182" s="543"/>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43"/>
      <c r="AY182" s="544"/>
      <c r="AZ182" s="544"/>
      <c r="BA182" s="544"/>
      <c r="BB182" s="544"/>
      <c r="BC182" s="544"/>
      <c r="BD182" s="544"/>
      <c r="BE182" s="543"/>
      <c r="BF182" s="543"/>
      <c r="BG182" s="543"/>
      <c r="BH182" s="543"/>
      <c r="BI182" s="543"/>
      <c r="BJ182" s="543"/>
      <c r="BK182" s="545"/>
      <c r="BL182" s="545"/>
      <c r="BM182" s="545"/>
      <c r="BN182" s="543"/>
      <c r="BO182" s="543"/>
      <c r="BP182" s="543"/>
      <c r="BQ182" s="543"/>
      <c r="BR182" s="543"/>
      <c r="BS182" s="543"/>
      <c r="BT182" s="543"/>
      <c r="BU182" s="543"/>
      <c r="BV182" s="543"/>
      <c r="BW182" s="544"/>
      <c r="BX182" s="544"/>
      <c r="BY182" s="544"/>
      <c r="BZ182" s="543"/>
      <c r="CA182" s="543"/>
      <c r="CB182" s="543"/>
    </row>
    <row r="183" spans="1:80" s="459" customFormat="1" ht="15.75" x14ac:dyDescent="0.2">
      <c r="A183" s="227">
        <v>5</v>
      </c>
      <c r="B183" s="45" t="s">
        <v>38</v>
      </c>
      <c r="C183" s="46"/>
      <c r="D183" s="45"/>
      <c r="E183" s="45"/>
      <c r="F183" s="45"/>
      <c r="G183" s="45"/>
      <c r="H183" s="46"/>
      <c r="I183" s="45"/>
      <c r="J183" s="45"/>
      <c r="K183" s="160"/>
      <c r="L183" s="160"/>
      <c r="M183" s="160"/>
      <c r="N183" s="45"/>
      <c r="O183" s="46"/>
      <c r="P183" s="45"/>
      <c r="Q183" s="45"/>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2"/>
      <c r="AY183" s="572"/>
      <c r="AZ183" s="572"/>
      <c r="BA183" s="572"/>
      <c r="BB183" s="572"/>
      <c r="BC183" s="572"/>
      <c r="BD183" s="572"/>
      <c r="BE183" s="572"/>
      <c r="BF183" s="572"/>
      <c r="BG183" s="572"/>
      <c r="BH183" s="572"/>
      <c r="BI183" s="572"/>
      <c r="BJ183" s="572"/>
      <c r="BK183" s="573"/>
      <c r="BL183" s="573"/>
      <c r="BM183" s="573"/>
      <c r="BN183" s="572"/>
      <c r="BO183" s="572"/>
      <c r="BP183" s="572"/>
      <c r="BQ183" s="572"/>
      <c r="BR183" s="572"/>
      <c r="BS183" s="572"/>
      <c r="BT183" s="572"/>
      <c r="BU183" s="572"/>
      <c r="BV183" s="572"/>
      <c r="BW183" s="572"/>
      <c r="BX183" s="572"/>
      <c r="BY183" s="572"/>
      <c r="BZ183" s="574"/>
      <c r="CA183" s="574"/>
      <c r="CB183" s="574"/>
    </row>
    <row r="184" spans="1:80" s="11" customFormat="1" ht="19.5" customHeight="1" x14ac:dyDescent="0.2">
      <c r="A184" s="113"/>
      <c r="B184" s="185">
        <v>26</v>
      </c>
      <c r="C184" s="49" t="s">
        <v>69</v>
      </c>
      <c r="D184" s="50"/>
      <c r="E184" s="50"/>
      <c r="F184" s="50"/>
      <c r="G184" s="50"/>
      <c r="H184" s="51"/>
      <c r="I184" s="50"/>
      <c r="J184" s="50"/>
      <c r="K184" s="112"/>
      <c r="L184" s="112"/>
      <c r="M184" s="112"/>
      <c r="N184" s="50"/>
      <c r="O184" s="51"/>
      <c r="P184" s="50"/>
      <c r="Q184" s="50"/>
      <c r="R184" s="550"/>
      <c r="S184" s="550"/>
      <c r="T184" s="550"/>
      <c r="U184" s="550"/>
      <c r="V184" s="550"/>
      <c r="W184" s="550"/>
      <c r="X184" s="550"/>
      <c r="Y184" s="550"/>
      <c r="Z184" s="550"/>
      <c r="AA184" s="550"/>
      <c r="AB184" s="550"/>
      <c r="AC184" s="550"/>
      <c r="AD184" s="550"/>
      <c r="AE184" s="550"/>
      <c r="AF184" s="550"/>
      <c r="AG184" s="550"/>
      <c r="AH184" s="550"/>
      <c r="AI184" s="550"/>
      <c r="AJ184" s="550"/>
      <c r="AK184" s="550"/>
      <c r="AL184" s="550"/>
      <c r="AM184" s="550"/>
      <c r="AN184" s="550"/>
      <c r="AO184" s="550"/>
      <c r="AP184" s="550"/>
      <c r="AQ184" s="550"/>
      <c r="AR184" s="550"/>
      <c r="AS184" s="550"/>
      <c r="AT184" s="550"/>
      <c r="AU184" s="550"/>
      <c r="AV184" s="550"/>
      <c r="AW184" s="550"/>
      <c r="AX184" s="550"/>
      <c r="AY184" s="550"/>
      <c r="AZ184" s="550"/>
      <c r="BA184" s="550"/>
      <c r="BB184" s="550"/>
      <c r="BC184" s="550"/>
      <c r="BD184" s="550"/>
      <c r="BE184" s="550"/>
      <c r="BF184" s="550"/>
      <c r="BG184" s="550"/>
      <c r="BH184" s="550"/>
      <c r="BI184" s="550"/>
      <c r="BJ184" s="550"/>
      <c r="BK184" s="551"/>
      <c r="BL184" s="551"/>
      <c r="BM184" s="551"/>
      <c r="BN184" s="550"/>
      <c r="BO184" s="550"/>
      <c r="BP184" s="550"/>
      <c r="BQ184" s="550"/>
      <c r="BR184" s="550"/>
      <c r="BS184" s="550"/>
      <c r="BT184" s="550"/>
      <c r="BU184" s="550"/>
      <c r="BV184" s="550"/>
      <c r="BW184" s="550"/>
      <c r="BX184" s="550"/>
      <c r="BY184" s="550"/>
      <c r="BZ184" s="555"/>
      <c r="CA184" s="555"/>
      <c r="CB184" s="555"/>
    </row>
    <row r="185" spans="1:80" s="11" customFormat="1" ht="21" customHeight="1" x14ac:dyDescent="0.2">
      <c r="A185" s="228"/>
      <c r="B185" s="58"/>
      <c r="C185" s="508"/>
      <c r="D185" s="516"/>
      <c r="E185" s="508"/>
      <c r="F185" s="508"/>
      <c r="G185" s="98">
        <v>84</v>
      </c>
      <c r="H185" s="100" t="s">
        <v>76</v>
      </c>
      <c r="I185" s="100"/>
      <c r="J185" s="100"/>
      <c r="K185" s="114"/>
      <c r="L185" s="114"/>
      <c r="M185" s="114"/>
      <c r="N185" s="100"/>
      <c r="O185" s="212"/>
      <c r="P185" s="100"/>
      <c r="Q185" s="100"/>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6"/>
      <c r="AN185" s="336"/>
      <c r="AO185" s="336"/>
      <c r="AP185" s="336"/>
      <c r="AQ185" s="336"/>
      <c r="AR185" s="336"/>
      <c r="AS185" s="336"/>
      <c r="AT185" s="336"/>
      <c r="AU185" s="336"/>
      <c r="AV185" s="336"/>
      <c r="AW185" s="336"/>
      <c r="AX185" s="336"/>
      <c r="AY185" s="336"/>
      <c r="AZ185" s="336"/>
      <c r="BA185" s="336"/>
      <c r="BB185" s="336"/>
      <c r="BC185" s="336"/>
      <c r="BD185" s="336"/>
      <c r="BE185" s="336"/>
      <c r="BF185" s="336"/>
      <c r="BG185" s="336"/>
      <c r="BH185" s="336"/>
      <c r="BI185" s="336"/>
      <c r="BJ185" s="336"/>
      <c r="BK185" s="552"/>
      <c r="BL185" s="552"/>
      <c r="BM185" s="552"/>
      <c r="BN185" s="336"/>
      <c r="BO185" s="336"/>
      <c r="BP185" s="336"/>
      <c r="BQ185" s="336"/>
      <c r="BR185" s="336"/>
      <c r="BS185" s="336"/>
      <c r="BT185" s="336"/>
      <c r="BU185" s="336"/>
      <c r="BV185" s="336"/>
      <c r="BW185" s="336"/>
      <c r="BX185" s="336"/>
      <c r="BY185" s="336"/>
      <c r="BZ185" s="338"/>
      <c r="CA185" s="338"/>
      <c r="CB185" s="338"/>
    </row>
    <row r="186" spans="1:80" s="11" customFormat="1" ht="74.25" customHeight="1" x14ac:dyDescent="0.2">
      <c r="A186" s="343">
        <f>+A185</f>
        <v>0</v>
      </c>
      <c r="B186" s="64"/>
      <c r="C186" s="509">
        <v>37</v>
      </c>
      <c r="D186" s="517" t="s">
        <v>241</v>
      </c>
      <c r="E186" s="509">
        <v>54.61</v>
      </c>
      <c r="F186" s="509">
        <v>60</v>
      </c>
      <c r="G186" s="737"/>
      <c r="H186" s="733">
        <v>247</v>
      </c>
      <c r="I186" s="737" t="s">
        <v>242</v>
      </c>
      <c r="J186" s="783" t="s">
        <v>42</v>
      </c>
      <c r="K186" s="66">
        <v>1</v>
      </c>
      <c r="L186" s="135">
        <v>0.25</v>
      </c>
      <c r="M186" s="736">
        <v>2017003630016</v>
      </c>
      <c r="N186" s="739" t="s">
        <v>83</v>
      </c>
      <c r="O186" s="733" t="s">
        <v>243</v>
      </c>
      <c r="P186" s="737" t="s">
        <v>244</v>
      </c>
      <c r="Q186" s="208" t="s">
        <v>51</v>
      </c>
      <c r="R186" s="580">
        <v>0</v>
      </c>
      <c r="S186" s="580"/>
      <c r="T186" s="580"/>
      <c r="U186" s="580">
        <v>0</v>
      </c>
      <c r="V186" s="580"/>
      <c r="W186" s="580"/>
      <c r="X186" s="580">
        <v>0</v>
      </c>
      <c r="Y186" s="580"/>
      <c r="Z186" s="580"/>
      <c r="AA186" s="580">
        <v>0</v>
      </c>
      <c r="AB186" s="580"/>
      <c r="AC186" s="580"/>
      <c r="AD186" s="580">
        <v>0</v>
      </c>
      <c r="AE186" s="580"/>
      <c r="AF186" s="580"/>
      <c r="AG186" s="580">
        <v>0</v>
      </c>
      <c r="AH186" s="580"/>
      <c r="AI186" s="580"/>
      <c r="AJ186" s="580">
        <v>0</v>
      </c>
      <c r="AK186" s="580"/>
      <c r="AL186" s="580"/>
      <c r="AM186" s="580"/>
      <c r="AN186" s="580"/>
      <c r="AO186" s="580"/>
      <c r="AP186" s="580"/>
      <c r="AQ186" s="580"/>
      <c r="AR186" s="580"/>
      <c r="AS186" s="580">
        <v>0</v>
      </c>
      <c r="AT186" s="580"/>
      <c r="AU186" s="580"/>
      <c r="AV186" s="580">
        <v>0</v>
      </c>
      <c r="AW186" s="580"/>
      <c r="AX186" s="580"/>
      <c r="AY186" s="580"/>
      <c r="AZ186" s="580"/>
      <c r="BA186" s="580"/>
      <c r="BB186" s="580"/>
      <c r="BC186" s="580"/>
      <c r="BD186" s="580"/>
      <c r="BE186" s="580">
        <v>0</v>
      </c>
      <c r="BF186" s="580"/>
      <c r="BG186" s="580"/>
      <c r="BH186" s="580">
        <v>0</v>
      </c>
      <c r="BI186" s="580"/>
      <c r="BJ186" s="580"/>
      <c r="BK186" s="601">
        <f>29000000+21000000</f>
        <v>50000000</v>
      </c>
      <c r="BL186" s="601">
        <v>37000000</v>
      </c>
      <c r="BM186" s="601">
        <v>30780000</v>
      </c>
      <c r="BN186" s="601"/>
      <c r="BO186" s="601"/>
      <c r="BP186" s="601"/>
      <c r="BQ186" s="580">
        <v>0</v>
      </c>
      <c r="BR186" s="613"/>
      <c r="BS186" s="613"/>
      <c r="BT186" s="613"/>
      <c r="BU186" s="613"/>
      <c r="BV186" s="613"/>
      <c r="BW186" s="613">
        <v>0</v>
      </c>
      <c r="BX186" s="613"/>
      <c r="BY186" s="613"/>
      <c r="BZ186" s="539">
        <f>R186+U186+X186+AA186+AD186+AG186+AJ186+AM186+AP186+AS186+AV186+AY186+BB186+BE186+BH186+BK186+BN186+BQ186+BT186+BW186</f>
        <v>50000000</v>
      </c>
      <c r="CA186" s="539">
        <f t="shared" ref="CA186" si="155">S186+V186+Y186+AB186+AE186+AH186+AK186+AN186+AQ186+AT186+AW186+AZ186+BC186+BF186+BI186+BL186+BO186+BR186+BU186+BX186</f>
        <v>37000000</v>
      </c>
      <c r="CB186" s="539">
        <f t="shared" ref="CB186" si="156">T186+W186+Z186+AC186+AF186+AI186+AL186+AO186+AR186+AU186+AX186+BA186+BD186+BG186+BJ186+BM186+BP186+BS186+BV186+BY186</f>
        <v>30780000</v>
      </c>
    </row>
    <row r="187" spans="1:80" s="11" customFormat="1" ht="18.75" customHeight="1" x14ac:dyDescent="0.2">
      <c r="A187" s="786"/>
      <c r="B187" s="787"/>
      <c r="C187" s="395"/>
      <c r="D187" s="360"/>
      <c r="E187" s="395"/>
      <c r="F187" s="395"/>
      <c r="G187" s="788"/>
      <c r="H187" s="417"/>
      <c r="I187" s="417"/>
      <c r="J187" s="417"/>
      <c r="K187" s="793"/>
      <c r="L187" s="793"/>
      <c r="M187" s="793"/>
      <c r="N187" s="417"/>
      <c r="O187" s="794"/>
      <c r="P187" s="417"/>
      <c r="Q187" s="417"/>
      <c r="R187" s="658">
        <f t="shared" ref="R187:BY187" si="157">SUM(R186)</f>
        <v>0</v>
      </c>
      <c r="S187" s="658">
        <f t="shared" si="157"/>
        <v>0</v>
      </c>
      <c r="T187" s="658">
        <f t="shared" si="157"/>
        <v>0</v>
      </c>
      <c r="U187" s="658">
        <f t="shared" si="157"/>
        <v>0</v>
      </c>
      <c r="V187" s="658">
        <f t="shared" si="157"/>
        <v>0</v>
      </c>
      <c r="W187" s="658">
        <f t="shared" si="157"/>
        <v>0</v>
      </c>
      <c r="X187" s="658">
        <f t="shared" si="157"/>
        <v>0</v>
      </c>
      <c r="Y187" s="658">
        <f t="shared" si="157"/>
        <v>0</v>
      </c>
      <c r="Z187" s="658">
        <f t="shared" si="157"/>
        <v>0</v>
      </c>
      <c r="AA187" s="658">
        <f t="shared" si="157"/>
        <v>0</v>
      </c>
      <c r="AB187" s="658">
        <f t="shared" si="157"/>
        <v>0</v>
      </c>
      <c r="AC187" s="658">
        <f t="shared" si="157"/>
        <v>0</v>
      </c>
      <c r="AD187" s="658">
        <f t="shared" si="157"/>
        <v>0</v>
      </c>
      <c r="AE187" s="658">
        <f t="shared" si="157"/>
        <v>0</v>
      </c>
      <c r="AF187" s="658">
        <f t="shared" si="157"/>
        <v>0</v>
      </c>
      <c r="AG187" s="658">
        <f t="shared" si="157"/>
        <v>0</v>
      </c>
      <c r="AH187" s="658">
        <f t="shared" si="157"/>
        <v>0</v>
      </c>
      <c r="AI187" s="658">
        <f t="shared" si="157"/>
        <v>0</v>
      </c>
      <c r="AJ187" s="658">
        <f t="shared" si="157"/>
        <v>0</v>
      </c>
      <c r="AK187" s="658">
        <f t="shared" si="157"/>
        <v>0</v>
      </c>
      <c r="AL187" s="658">
        <f t="shared" si="157"/>
        <v>0</v>
      </c>
      <c r="AM187" s="658">
        <f t="shared" si="157"/>
        <v>0</v>
      </c>
      <c r="AN187" s="658">
        <f t="shared" si="157"/>
        <v>0</v>
      </c>
      <c r="AO187" s="658">
        <f t="shared" si="157"/>
        <v>0</v>
      </c>
      <c r="AP187" s="658">
        <f t="shared" si="157"/>
        <v>0</v>
      </c>
      <c r="AQ187" s="658">
        <f t="shared" si="157"/>
        <v>0</v>
      </c>
      <c r="AR187" s="658">
        <f t="shared" si="157"/>
        <v>0</v>
      </c>
      <c r="AS187" s="658">
        <f t="shared" si="157"/>
        <v>0</v>
      </c>
      <c r="AT187" s="658">
        <f t="shared" si="157"/>
        <v>0</v>
      </c>
      <c r="AU187" s="658">
        <f t="shared" si="157"/>
        <v>0</v>
      </c>
      <c r="AV187" s="658">
        <f t="shared" si="157"/>
        <v>0</v>
      </c>
      <c r="AW187" s="658">
        <f t="shared" si="157"/>
        <v>0</v>
      </c>
      <c r="AX187" s="658">
        <f t="shared" si="157"/>
        <v>0</v>
      </c>
      <c r="AY187" s="658">
        <f t="shared" si="157"/>
        <v>0</v>
      </c>
      <c r="AZ187" s="658">
        <f t="shared" si="157"/>
        <v>0</v>
      </c>
      <c r="BA187" s="658">
        <f t="shared" si="157"/>
        <v>0</v>
      </c>
      <c r="BB187" s="658">
        <f t="shared" si="157"/>
        <v>0</v>
      </c>
      <c r="BC187" s="658">
        <f t="shared" si="157"/>
        <v>0</v>
      </c>
      <c r="BD187" s="658">
        <f t="shared" si="157"/>
        <v>0</v>
      </c>
      <c r="BE187" s="658">
        <f t="shared" si="157"/>
        <v>0</v>
      </c>
      <c r="BF187" s="658">
        <f t="shared" si="157"/>
        <v>0</v>
      </c>
      <c r="BG187" s="658">
        <f t="shared" si="157"/>
        <v>0</v>
      </c>
      <c r="BH187" s="658">
        <f t="shared" si="157"/>
        <v>0</v>
      </c>
      <c r="BI187" s="658">
        <f t="shared" si="157"/>
        <v>0</v>
      </c>
      <c r="BJ187" s="658">
        <f t="shared" si="157"/>
        <v>0</v>
      </c>
      <c r="BK187" s="795">
        <f t="shared" si="157"/>
        <v>50000000</v>
      </c>
      <c r="BL187" s="795">
        <f t="shared" si="157"/>
        <v>37000000</v>
      </c>
      <c r="BM187" s="795">
        <f t="shared" si="157"/>
        <v>30780000</v>
      </c>
      <c r="BN187" s="658">
        <f t="shared" si="157"/>
        <v>0</v>
      </c>
      <c r="BO187" s="658">
        <f t="shared" si="157"/>
        <v>0</v>
      </c>
      <c r="BP187" s="658">
        <f t="shared" si="157"/>
        <v>0</v>
      </c>
      <c r="BQ187" s="658">
        <f t="shared" si="157"/>
        <v>0</v>
      </c>
      <c r="BR187" s="658">
        <f t="shared" si="157"/>
        <v>0</v>
      </c>
      <c r="BS187" s="658">
        <f t="shared" si="157"/>
        <v>0</v>
      </c>
      <c r="BT187" s="658">
        <f t="shared" si="157"/>
        <v>0</v>
      </c>
      <c r="BU187" s="658">
        <f t="shared" si="157"/>
        <v>0</v>
      </c>
      <c r="BV187" s="658">
        <f t="shared" si="157"/>
        <v>0</v>
      </c>
      <c r="BW187" s="658">
        <f t="shared" si="157"/>
        <v>0</v>
      </c>
      <c r="BX187" s="658">
        <f t="shared" si="157"/>
        <v>0</v>
      </c>
      <c r="BY187" s="658">
        <f t="shared" si="157"/>
        <v>0</v>
      </c>
      <c r="BZ187" s="661">
        <f t="shared" ref="BZ187" si="158">SUM(BZ186)</f>
        <v>50000000</v>
      </c>
      <c r="CA187" s="658">
        <f t="shared" ref="CA187:CB187" si="159">SUM(CA186)</f>
        <v>37000000</v>
      </c>
      <c r="CB187" s="658">
        <f t="shared" si="159"/>
        <v>30780000</v>
      </c>
    </row>
    <row r="188" spans="1:80" s="11" customFormat="1" ht="18.75" customHeight="1" x14ac:dyDescent="0.2">
      <c r="A188" s="786"/>
      <c r="B188" s="789"/>
      <c r="C188" s="790"/>
      <c r="D188" s="789"/>
      <c r="E188" s="790"/>
      <c r="F188" s="790"/>
      <c r="G188" s="789"/>
      <c r="H188" s="82"/>
      <c r="I188" s="81"/>
      <c r="J188" s="83"/>
      <c r="K188" s="123"/>
      <c r="L188" s="123"/>
      <c r="M188" s="123"/>
      <c r="N188" s="83"/>
      <c r="O188" s="82"/>
      <c r="P188" s="81"/>
      <c r="Q188" s="82"/>
      <c r="R188" s="554">
        <f t="shared" ref="R188:BY188" si="160">R187</f>
        <v>0</v>
      </c>
      <c r="S188" s="554">
        <f t="shared" si="160"/>
        <v>0</v>
      </c>
      <c r="T188" s="554">
        <f t="shared" si="160"/>
        <v>0</v>
      </c>
      <c r="U188" s="554">
        <f t="shared" si="160"/>
        <v>0</v>
      </c>
      <c r="V188" s="554">
        <f t="shared" si="160"/>
        <v>0</v>
      </c>
      <c r="W188" s="554">
        <f t="shared" si="160"/>
        <v>0</v>
      </c>
      <c r="X188" s="554">
        <f t="shared" si="160"/>
        <v>0</v>
      </c>
      <c r="Y188" s="554">
        <f t="shared" si="160"/>
        <v>0</v>
      </c>
      <c r="Z188" s="554">
        <f t="shared" si="160"/>
        <v>0</v>
      </c>
      <c r="AA188" s="554">
        <f t="shared" si="160"/>
        <v>0</v>
      </c>
      <c r="AB188" s="554">
        <f t="shared" si="160"/>
        <v>0</v>
      </c>
      <c r="AC188" s="554">
        <f t="shared" si="160"/>
        <v>0</v>
      </c>
      <c r="AD188" s="554">
        <f t="shared" si="160"/>
        <v>0</v>
      </c>
      <c r="AE188" s="554">
        <f t="shared" si="160"/>
        <v>0</v>
      </c>
      <c r="AF188" s="554">
        <f t="shared" si="160"/>
        <v>0</v>
      </c>
      <c r="AG188" s="554">
        <f t="shared" si="160"/>
        <v>0</v>
      </c>
      <c r="AH188" s="554">
        <f t="shared" si="160"/>
        <v>0</v>
      </c>
      <c r="AI188" s="554">
        <f t="shared" si="160"/>
        <v>0</v>
      </c>
      <c r="AJ188" s="554">
        <f t="shared" si="160"/>
        <v>0</v>
      </c>
      <c r="AK188" s="554">
        <f t="shared" si="160"/>
        <v>0</v>
      </c>
      <c r="AL188" s="554">
        <f t="shared" si="160"/>
        <v>0</v>
      </c>
      <c r="AM188" s="554">
        <f t="shared" si="160"/>
        <v>0</v>
      </c>
      <c r="AN188" s="554">
        <f t="shared" si="160"/>
        <v>0</v>
      </c>
      <c r="AO188" s="554">
        <f t="shared" si="160"/>
        <v>0</v>
      </c>
      <c r="AP188" s="554">
        <f t="shared" si="160"/>
        <v>0</v>
      </c>
      <c r="AQ188" s="554">
        <f t="shared" si="160"/>
        <v>0</v>
      </c>
      <c r="AR188" s="554">
        <f t="shared" si="160"/>
        <v>0</v>
      </c>
      <c r="AS188" s="554">
        <f t="shared" si="160"/>
        <v>0</v>
      </c>
      <c r="AT188" s="554">
        <f t="shared" si="160"/>
        <v>0</v>
      </c>
      <c r="AU188" s="554">
        <f t="shared" si="160"/>
        <v>0</v>
      </c>
      <c r="AV188" s="554">
        <f t="shared" si="160"/>
        <v>0</v>
      </c>
      <c r="AW188" s="554">
        <f t="shared" si="160"/>
        <v>0</v>
      </c>
      <c r="AX188" s="554">
        <f t="shared" si="160"/>
        <v>0</v>
      </c>
      <c r="AY188" s="554">
        <f t="shared" si="160"/>
        <v>0</v>
      </c>
      <c r="AZ188" s="554">
        <f t="shared" si="160"/>
        <v>0</v>
      </c>
      <c r="BA188" s="554">
        <f t="shared" si="160"/>
        <v>0</v>
      </c>
      <c r="BB188" s="554">
        <f t="shared" si="160"/>
        <v>0</v>
      </c>
      <c r="BC188" s="554">
        <f t="shared" si="160"/>
        <v>0</v>
      </c>
      <c r="BD188" s="554">
        <f t="shared" si="160"/>
        <v>0</v>
      </c>
      <c r="BE188" s="554">
        <f t="shared" si="160"/>
        <v>0</v>
      </c>
      <c r="BF188" s="554">
        <f t="shared" si="160"/>
        <v>0</v>
      </c>
      <c r="BG188" s="554">
        <f t="shared" si="160"/>
        <v>0</v>
      </c>
      <c r="BH188" s="554">
        <f t="shared" si="160"/>
        <v>0</v>
      </c>
      <c r="BI188" s="554">
        <f t="shared" si="160"/>
        <v>0</v>
      </c>
      <c r="BJ188" s="554">
        <f t="shared" si="160"/>
        <v>0</v>
      </c>
      <c r="BK188" s="554">
        <f t="shared" si="160"/>
        <v>50000000</v>
      </c>
      <c r="BL188" s="554">
        <f t="shared" si="160"/>
        <v>37000000</v>
      </c>
      <c r="BM188" s="554">
        <f t="shared" si="160"/>
        <v>30780000</v>
      </c>
      <c r="BN188" s="554">
        <f t="shared" si="160"/>
        <v>0</v>
      </c>
      <c r="BO188" s="554">
        <f t="shared" si="160"/>
        <v>0</v>
      </c>
      <c r="BP188" s="554">
        <f t="shared" si="160"/>
        <v>0</v>
      </c>
      <c r="BQ188" s="554">
        <f t="shared" si="160"/>
        <v>0</v>
      </c>
      <c r="BR188" s="554">
        <f t="shared" si="160"/>
        <v>0</v>
      </c>
      <c r="BS188" s="554">
        <f t="shared" si="160"/>
        <v>0</v>
      </c>
      <c r="BT188" s="554">
        <f t="shared" si="160"/>
        <v>0</v>
      </c>
      <c r="BU188" s="554">
        <f t="shared" si="160"/>
        <v>0</v>
      </c>
      <c r="BV188" s="554">
        <f t="shared" si="160"/>
        <v>0</v>
      </c>
      <c r="BW188" s="554">
        <f t="shared" si="160"/>
        <v>0</v>
      </c>
      <c r="BX188" s="554">
        <f t="shared" si="160"/>
        <v>0</v>
      </c>
      <c r="BY188" s="554">
        <f t="shared" si="160"/>
        <v>0</v>
      </c>
      <c r="BZ188" s="554">
        <f t="shared" ref="BZ188" si="161">BZ187</f>
        <v>50000000</v>
      </c>
      <c r="CA188" s="554">
        <f t="shared" ref="CA188:CB188" si="162">CA187</f>
        <v>37000000</v>
      </c>
      <c r="CB188" s="554">
        <f t="shared" si="162"/>
        <v>30780000</v>
      </c>
    </row>
    <row r="189" spans="1:80" s="11" customFormat="1" ht="24.75" customHeight="1" x14ac:dyDescent="0.2">
      <c r="A189" s="786"/>
      <c r="B189" s="360"/>
      <c r="C189" s="395"/>
      <c r="D189" s="360"/>
      <c r="E189" s="395"/>
      <c r="F189" s="395"/>
      <c r="G189" s="360"/>
      <c r="H189" s="395"/>
      <c r="I189" s="360"/>
      <c r="J189" s="791"/>
      <c r="K189" s="792"/>
      <c r="L189" s="792"/>
      <c r="M189" s="792"/>
      <c r="N189" s="791"/>
      <c r="O189" s="395"/>
      <c r="P189" s="360"/>
      <c r="Q189" s="395"/>
      <c r="R189" s="570"/>
      <c r="S189" s="570"/>
      <c r="T189" s="570"/>
      <c r="U189" s="571"/>
      <c r="V189" s="571"/>
      <c r="W189" s="571"/>
      <c r="X189" s="570"/>
      <c r="Y189" s="570"/>
      <c r="Z189" s="570"/>
      <c r="AA189" s="570"/>
      <c r="AB189" s="570"/>
      <c r="AC189" s="570"/>
      <c r="AD189" s="570"/>
      <c r="AE189" s="570"/>
      <c r="AF189" s="570"/>
      <c r="AG189" s="570"/>
      <c r="AH189" s="570"/>
      <c r="AI189" s="570"/>
      <c r="AJ189" s="570"/>
      <c r="AK189" s="570"/>
      <c r="AL189" s="570"/>
      <c r="AM189" s="570"/>
      <c r="AN189" s="570"/>
      <c r="AO189" s="570"/>
      <c r="AP189" s="570"/>
      <c r="AQ189" s="570"/>
      <c r="AR189" s="570"/>
      <c r="AS189" s="570"/>
      <c r="AT189" s="570"/>
      <c r="AU189" s="570"/>
      <c r="AV189" s="570"/>
      <c r="AW189" s="570"/>
      <c r="AX189" s="570"/>
      <c r="AY189" s="571"/>
      <c r="AZ189" s="571"/>
      <c r="BA189" s="571"/>
      <c r="BB189" s="571"/>
      <c r="BC189" s="571"/>
      <c r="BD189" s="571"/>
      <c r="BE189" s="570"/>
      <c r="BF189" s="570"/>
      <c r="BG189" s="570"/>
      <c r="BH189" s="570"/>
      <c r="BI189" s="570"/>
      <c r="BJ189" s="570"/>
      <c r="BK189" s="591"/>
      <c r="BL189" s="591"/>
      <c r="BM189" s="591"/>
      <c r="BN189" s="592"/>
      <c r="BO189" s="592"/>
      <c r="BP189" s="592"/>
      <c r="BQ189" s="570"/>
      <c r="BR189" s="570"/>
      <c r="BS189" s="570"/>
      <c r="BT189" s="570"/>
      <c r="BU189" s="570"/>
      <c r="BV189" s="570"/>
      <c r="BW189" s="571"/>
      <c r="BX189" s="571"/>
      <c r="BY189" s="571"/>
      <c r="BZ189" s="570"/>
      <c r="CA189" s="570"/>
      <c r="CB189" s="570"/>
    </row>
    <row r="190" spans="1:80" s="459" customFormat="1" ht="21.75" customHeight="1" x14ac:dyDescent="0.2">
      <c r="A190" s="228"/>
      <c r="B190" s="784">
        <v>27</v>
      </c>
      <c r="C190" s="785" t="s">
        <v>80</v>
      </c>
      <c r="D190" s="785"/>
      <c r="E190" s="785"/>
      <c r="F190" s="785"/>
      <c r="G190" s="785"/>
      <c r="H190" s="249"/>
      <c r="I190" s="419"/>
      <c r="J190" s="419"/>
      <c r="K190" s="796"/>
      <c r="L190" s="796"/>
      <c r="M190" s="796"/>
      <c r="N190" s="419"/>
      <c r="O190" s="249"/>
      <c r="P190" s="419"/>
      <c r="Q190" s="41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59"/>
      <c r="BC190" s="659"/>
      <c r="BD190" s="659"/>
      <c r="BE190" s="659"/>
      <c r="BF190" s="659"/>
      <c r="BG190" s="659"/>
      <c r="BH190" s="659"/>
      <c r="BI190" s="659"/>
      <c r="BJ190" s="659"/>
      <c r="BK190" s="797"/>
      <c r="BL190" s="797"/>
      <c r="BM190" s="797"/>
      <c r="BN190" s="659"/>
      <c r="BO190" s="659"/>
      <c r="BP190" s="659"/>
      <c r="BQ190" s="659"/>
      <c r="BR190" s="659"/>
      <c r="BS190" s="659"/>
      <c r="BT190" s="659"/>
      <c r="BU190" s="659"/>
      <c r="BV190" s="659"/>
      <c r="BW190" s="659"/>
      <c r="BX190" s="659"/>
      <c r="BY190" s="659"/>
      <c r="BZ190" s="659"/>
      <c r="CA190" s="659"/>
      <c r="CB190" s="659"/>
    </row>
    <row r="191" spans="1:80" s="459" customFormat="1" ht="21.75" customHeight="1" x14ac:dyDescent="0.2">
      <c r="A191" s="228"/>
      <c r="B191" s="58"/>
      <c r="C191" s="508"/>
      <c r="D191" s="58"/>
      <c r="E191" s="58"/>
      <c r="F191" s="58"/>
      <c r="G191" s="231">
        <v>85</v>
      </c>
      <c r="H191" s="417" t="s">
        <v>81</v>
      </c>
      <c r="I191" s="417"/>
      <c r="J191" s="417"/>
      <c r="K191" s="417"/>
      <c r="L191" s="417"/>
      <c r="M191" s="417"/>
      <c r="N191" s="417"/>
      <c r="O191" s="417"/>
      <c r="P191" s="417"/>
      <c r="Q191" s="417"/>
      <c r="R191" s="658"/>
      <c r="S191" s="658"/>
      <c r="T191" s="658"/>
      <c r="U191" s="658"/>
      <c r="V191" s="658"/>
      <c r="W191" s="658"/>
      <c r="X191" s="658"/>
      <c r="Y191" s="658"/>
      <c r="Z191" s="658"/>
      <c r="AA191" s="658"/>
      <c r="AB191" s="658"/>
      <c r="AC191" s="658"/>
      <c r="AD191" s="658"/>
      <c r="AE191" s="658"/>
      <c r="AF191" s="658"/>
      <c r="AG191" s="658"/>
      <c r="AH191" s="658"/>
      <c r="AI191" s="658"/>
      <c r="AJ191" s="658"/>
      <c r="AK191" s="658"/>
      <c r="AL191" s="658"/>
      <c r="AM191" s="658"/>
      <c r="AN191" s="658"/>
      <c r="AO191" s="658"/>
      <c r="AP191" s="658"/>
      <c r="AQ191" s="658"/>
      <c r="AR191" s="658"/>
      <c r="AS191" s="658"/>
      <c r="AT191" s="658"/>
      <c r="AU191" s="658"/>
      <c r="AV191" s="658"/>
      <c r="AW191" s="658"/>
      <c r="AX191" s="658"/>
      <c r="AY191" s="658"/>
      <c r="AZ191" s="658"/>
      <c r="BA191" s="658"/>
      <c r="BB191" s="658"/>
      <c r="BC191" s="658"/>
      <c r="BD191" s="658"/>
      <c r="BE191" s="658"/>
      <c r="BF191" s="658"/>
      <c r="BG191" s="658"/>
      <c r="BH191" s="658"/>
      <c r="BI191" s="658"/>
      <c r="BJ191" s="658"/>
      <c r="BK191" s="658"/>
      <c r="BL191" s="658"/>
      <c r="BM191" s="658"/>
      <c r="BN191" s="658"/>
      <c r="BO191" s="658"/>
      <c r="BP191" s="658"/>
      <c r="BQ191" s="658"/>
      <c r="BR191" s="658"/>
      <c r="BS191" s="658"/>
      <c r="BT191" s="658"/>
      <c r="BU191" s="658"/>
      <c r="BV191" s="658"/>
      <c r="BW191" s="658"/>
      <c r="BX191" s="658"/>
      <c r="BY191" s="658"/>
      <c r="BZ191" s="658"/>
      <c r="CA191" s="658"/>
      <c r="CB191" s="658"/>
    </row>
    <row r="192" spans="1:80" s="11" customFormat="1" ht="69" customHeight="1" x14ac:dyDescent="0.2">
      <c r="A192" s="64"/>
      <c r="B192" s="64"/>
      <c r="C192" s="857">
        <v>37</v>
      </c>
      <c r="D192" s="854" t="s">
        <v>245</v>
      </c>
      <c r="E192" s="857">
        <v>54.61</v>
      </c>
      <c r="F192" s="857">
        <v>60</v>
      </c>
      <c r="G192" s="64"/>
      <c r="H192" s="27">
        <v>250</v>
      </c>
      <c r="I192" s="56" t="s">
        <v>246</v>
      </c>
      <c r="J192" s="59">
        <v>1</v>
      </c>
      <c r="K192" s="73">
        <v>3</v>
      </c>
      <c r="L192" s="60">
        <v>1</v>
      </c>
      <c r="M192" s="850">
        <v>2017003630014</v>
      </c>
      <c r="N192" s="873" t="s">
        <v>83</v>
      </c>
      <c r="O192" s="857" t="s">
        <v>247</v>
      </c>
      <c r="P192" s="854" t="s">
        <v>248</v>
      </c>
      <c r="Q192" s="207" t="s">
        <v>51</v>
      </c>
      <c r="R192" s="539">
        <v>0</v>
      </c>
      <c r="S192" s="539"/>
      <c r="T192" s="539"/>
      <c r="U192" s="539">
        <v>0</v>
      </c>
      <c r="V192" s="539"/>
      <c r="W192" s="539"/>
      <c r="X192" s="539">
        <v>0</v>
      </c>
      <c r="Y192" s="539"/>
      <c r="Z192" s="539"/>
      <c r="AA192" s="539">
        <v>0</v>
      </c>
      <c r="AB192" s="539"/>
      <c r="AC192" s="539"/>
      <c r="AD192" s="539">
        <v>0</v>
      </c>
      <c r="AE192" s="539"/>
      <c r="AF192" s="539"/>
      <c r="AG192" s="539">
        <v>0</v>
      </c>
      <c r="AH192" s="539"/>
      <c r="AI192" s="539"/>
      <c r="AJ192" s="539">
        <v>0</v>
      </c>
      <c r="AK192" s="539"/>
      <c r="AL192" s="539"/>
      <c r="AM192" s="539">
        <v>0</v>
      </c>
      <c r="AN192" s="539"/>
      <c r="AO192" s="539"/>
      <c r="AP192" s="539">
        <v>0</v>
      </c>
      <c r="AQ192" s="539"/>
      <c r="AR192" s="539"/>
      <c r="AS192" s="539">
        <v>0</v>
      </c>
      <c r="AT192" s="539"/>
      <c r="AU192" s="539"/>
      <c r="AV192" s="539">
        <v>0</v>
      </c>
      <c r="AW192" s="539"/>
      <c r="AX192" s="539"/>
      <c r="AY192" s="539">
        <v>0</v>
      </c>
      <c r="AZ192" s="539"/>
      <c r="BA192" s="539"/>
      <c r="BB192" s="539">
        <v>0</v>
      </c>
      <c r="BC192" s="539"/>
      <c r="BD192" s="539"/>
      <c r="BE192" s="539">
        <v>0</v>
      </c>
      <c r="BF192" s="539"/>
      <c r="BG192" s="539"/>
      <c r="BH192" s="539">
        <v>0</v>
      </c>
      <c r="BI192" s="539"/>
      <c r="BJ192" s="539"/>
      <c r="BK192" s="553">
        <f>188000000+170000000</f>
        <v>358000000</v>
      </c>
      <c r="BL192" s="553">
        <v>84490000</v>
      </c>
      <c r="BM192" s="553">
        <v>20080000</v>
      </c>
      <c r="BN192" s="539">
        <v>0</v>
      </c>
      <c r="BO192" s="539"/>
      <c r="BP192" s="539"/>
      <c r="BQ192" s="539">
        <v>0</v>
      </c>
      <c r="BR192" s="539"/>
      <c r="BS192" s="539"/>
      <c r="BT192" s="539"/>
      <c r="BU192" s="539"/>
      <c r="BV192" s="539"/>
      <c r="BW192" s="539">
        <v>0</v>
      </c>
      <c r="BX192" s="539"/>
      <c r="BY192" s="539"/>
      <c r="BZ192" s="539">
        <f t="shared" ref="BZ192:BZ196" si="163">R192+U192+X192+AA192+AD192+AG192+AJ192+AM192+AP192+AS192+AV192+AY192+BB192+BE192+BH192+BK192+BN192+BQ192+BT192+BW192</f>
        <v>358000000</v>
      </c>
      <c r="CA192" s="539">
        <f t="shared" ref="CA192:CA196" si="164">S192+V192+Y192+AB192+AE192+AH192+AK192+AN192+AQ192+AT192+AW192+AZ192+BC192+BF192+BI192+BL192+BO192+BR192+BU192+BX192</f>
        <v>84490000</v>
      </c>
      <c r="CB192" s="539">
        <f t="shared" ref="CB192:CB196" si="165">T192+W192+Z192+AC192+AF192+AI192+AL192+AO192+AR192+AU192+AX192+BA192+BD192+BG192+BJ192+BM192+BP192+BS192+BV192+BY192</f>
        <v>20080000</v>
      </c>
    </row>
    <row r="193" spans="1:80" s="11" customFormat="1" ht="82.5" customHeight="1" x14ac:dyDescent="0.2">
      <c r="A193" s="64"/>
      <c r="B193" s="64"/>
      <c r="C193" s="857"/>
      <c r="D193" s="854"/>
      <c r="E193" s="857"/>
      <c r="F193" s="857"/>
      <c r="G193" s="64"/>
      <c r="H193" s="27">
        <v>251</v>
      </c>
      <c r="I193" s="56" t="s">
        <v>249</v>
      </c>
      <c r="J193" s="59">
        <v>0</v>
      </c>
      <c r="K193" s="73">
        <v>1</v>
      </c>
      <c r="L193" s="135">
        <v>0.25</v>
      </c>
      <c r="M193" s="851"/>
      <c r="N193" s="874"/>
      <c r="O193" s="857"/>
      <c r="P193" s="854"/>
      <c r="Q193" s="207" t="s">
        <v>51</v>
      </c>
      <c r="R193" s="539">
        <v>0</v>
      </c>
      <c r="S193" s="539"/>
      <c r="T193" s="539"/>
      <c r="U193" s="539">
        <v>0</v>
      </c>
      <c r="V193" s="539"/>
      <c r="W193" s="539"/>
      <c r="X193" s="539">
        <v>0</v>
      </c>
      <c r="Y193" s="539"/>
      <c r="Z193" s="539"/>
      <c r="AA193" s="539">
        <v>0</v>
      </c>
      <c r="AB193" s="539"/>
      <c r="AC193" s="539"/>
      <c r="AD193" s="539">
        <v>0</v>
      </c>
      <c r="AE193" s="539"/>
      <c r="AF193" s="539"/>
      <c r="AG193" s="539">
        <v>0</v>
      </c>
      <c r="AH193" s="539"/>
      <c r="AI193" s="539"/>
      <c r="AJ193" s="539">
        <v>0</v>
      </c>
      <c r="AK193" s="539"/>
      <c r="AL193" s="539"/>
      <c r="AM193" s="539"/>
      <c r="AN193" s="539"/>
      <c r="AO193" s="539"/>
      <c r="AP193" s="539"/>
      <c r="AQ193" s="539"/>
      <c r="AR193" s="539"/>
      <c r="AS193" s="539">
        <v>0</v>
      </c>
      <c r="AT193" s="539"/>
      <c r="AU193" s="539"/>
      <c r="AV193" s="539">
        <v>0</v>
      </c>
      <c r="AW193" s="539"/>
      <c r="AX193" s="539"/>
      <c r="AY193" s="539"/>
      <c r="AZ193" s="539"/>
      <c r="BA193" s="539"/>
      <c r="BB193" s="539"/>
      <c r="BC193" s="539"/>
      <c r="BD193" s="539"/>
      <c r="BE193" s="539">
        <v>0</v>
      </c>
      <c r="BF193" s="539"/>
      <c r="BG193" s="539"/>
      <c r="BH193" s="539">
        <v>0</v>
      </c>
      <c r="BI193" s="539"/>
      <c r="BJ193" s="539"/>
      <c r="BK193" s="553">
        <v>50000000</v>
      </c>
      <c r="BL193" s="553">
        <v>1380000</v>
      </c>
      <c r="BM193" s="553"/>
      <c r="BN193" s="559"/>
      <c r="BO193" s="559"/>
      <c r="BP193" s="559"/>
      <c r="BQ193" s="539">
        <v>0</v>
      </c>
      <c r="BR193" s="541"/>
      <c r="BS193" s="541"/>
      <c r="BT193" s="541"/>
      <c r="BU193" s="541"/>
      <c r="BV193" s="541"/>
      <c r="BW193" s="541">
        <v>0</v>
      </c>
      <c r="BX193" s="541"/>
      <c r="BY193" s="541"/>
      <c r="BZ193" s="539">
        <f t="shared" si="163"/>
        <v>50000000</v>
      </c>
      <c r="CA193" s="539">
        <f t="shared" si="164"/>
        <v>1380000</v>
      </c>
      <c r="CB193" s="539">
        <f t="shared" si="165"/>
        <v>0</v>
      </c>
    </row>
    <row r="194" spans="1:80" s="11" customFormat="1" ht="97.5" customHeight="1" x14ac:dyDescent="0.2">
      <c r="A194" s="64"/>
      <c r="B194" s="64"/>
      <c r="C194" s="857"/>
      <c r="D194" s="854"/>
      <c r="E194" s="857"/>
      <c r="F194" s="857"/>
      <c r="G194" s="232"/>
      <c r="H194" s="27">
        <v>252</v>
      </c>
      <c r="I194" s="233" t="s">
        <v>250</v>
      </c>
      <c r="J194" s="59">
        <v>1</v>
      </c>
      <c r="K194" s="60">
        <v>1</v>
      </c>
      <c r="L194" s="138">
        <v>0.5</v>
      </c>
      <c r="M194" s="851"/>
      <c r="N194" s="874"/>
      <c r="O194" s="857"/>
      <c r="P194" s="854"/>
      <c r="Q194" s="207" t="s">
        <v>67</v>
      </c>
      <c r="R194" s="539">
        <v>0</v>
      </c>
      <c r="S194" s="539"/>
      <c r="T194" s="539"/>
      <c r="U194" s="539">
        <v>0</v>
      </c>
      <c r="V194" s="539"/>
      <c r="W194" s="539"/>
      <c r="X194" s="539">
        <v>0</v>
      </c>
      <c r="Y194" s="539"/>
      <c r="Z194" s="539"/>
      <c r="AA194" s="539">
        <v>0</v>
      </c>
      <c r="AB194" s="539"/>
      <c r="AC194" s="539"/>
      <c r="AD194" s="539">
        <v>0</v>
      </c>
      <c r="AE194" s="539"/>
      <c r="AF194" s="539"/>
      <c r="AG194" s="539">
        <v>0</v>
      </c>
      <c r="AH194" s="539"/>
      <c r="AI194" s="539"/>
      <c r="AJ194" s="539">
        <v>0</v>
      </c>
      <c r="AK194" s="539"/>
      <c r="AL194" s="539"/>
      <c r="AM194" s="539">
        <v>0</v>
      </c>
      <c r="AN194" s="539"/>
      <c r="AO194" s="539"/>
      <c r="AP194" s="539">
        <v>0</v>
      </c>
      <c r="AQ194" s="539"/>
      <c r="AR194" s="539"/>
      <c r="AS194" s="539">
        <v>0</v>
      </c>
      <c r="AT194" s="539"/>
      <c r="AU194" s="539"/>
      <c r="AV194" s="539">
        <v>0</v>
      </c>
      <c r="AW194" s="539"/>
      <c r="AX194" s="539"/>
      <c r="AY194" s="539">
        <v>0</v>
      </c>
      <c r="AZ194" s="539"/>
      <c r="BA194" s="539"/>
      <c r="BB194" s="539">
        <v>0</v>
      </c>
      <c r="BC194" s="539"/>
      <c r="BD194" s="539"/>
      <c r="BE194" s="539">
        <v>0</v>
      </c>
      <c r="BF194" s="539"/>
      <c r="BG194" s="539"/>
      <c r="BH194" s="539">
        <v>0</v>
      </c>
      <c r="BI194" s="539"/>
      <c r="BJ194" s="539"/>
      <c r="BK194" s="539">
        <v>25000000</v>
      </c>
      <c r="BL194" s="539">
        <v>18500000</v>
      </c>
      <c r="BM194" s="539">
        <v>7000000</v>
      </c>
      <c r="BN194" s="539">
        <v>0</v>
      </c>
      <c r="BO194" s="539"/>
      <c r="BP194" s="539"/>
      <c r="BQ194" s="539">
        <v>0</v>
      </c>
      <c r="BR194" s="539"/>
      <c r="BS194" s="539"/>
      <c r="BT194" s="539"/>
      <c r="BU194" s="539"/>
      <c r="BV194" s="539"/>
      <c r="BW194" s="539">
        <v>0</v>
      </c>
      <c r="BX194" s="539"/>
      <c r="BY194" s="539"/>
      <c r="BZ194" s="539">
        <f t="shared" si="163"/>
        <v>25000000</v>
      </c>
      <c r="CA194" s="539">
        <f t="shared" si="164"/>
        <v>18500000</v>
      </c>
      <c r="CB194" s="539">
        <f t="shared" si="165"/>
        <v>7000000</v>
      </c>
    </row>
    <row r="195" spans="1:80" s="11" customFormat="1" ht="63.75" customHeight="1" x14ac:dyDescent="0.2">
      <c r="A195" s="64" t="s">
        <v>251</v>
      </c>
      <c r="B195" s="64"/>
      <c r="C195" s="857"/>
      <c r="D195" s="854"/>
      <c r="E195" s="857"/>
      <c r="F195" s="857"/>
      <c r="G195" s="64"/>
      <c r="H195" s="27">
        <v>253</v>
      </c>
      <c r="I195" s="56" t="s">
        <v>252</v>
      </c>
      <c r="J195" s="59">
        <v>4</v>
      </c>
      <c r="K195" s="135">
        <v>0.25</v>
      </c>
      <c r="L195" s="60">
        <v>0</v>
      </c>
      <c r="M195" s="851"/>
      <c r="N195" s="874"/>
      <c r="O195" s="857"/>
      <c r="P195" s="854"/>
      <c r="Q195" s="207" t="s">
        <v>67</v>
      </c>
      <c r="R195" s="539">
        <v>0</v>
      </c>
      <c r="S195" s="539"/>
      <c r="T195" s="539"/>
      <c r="U195" s="539">
        <v>0</v>
      </c>
      <c r="V195" s="539"/>
      <c r="W195" s="539"/>
      <c r="X195" s="539">
        <v>0</v>
      </c>
      <c r="Y195" s="539"/>
      <c r="Z195" s="539"/>
      <c r="AA195" s="539">
        <v>0</v>
      </c>
      <c r="AB195" s="539"/>
      <c r="AC195" s="539"/>
      <c r="AD195" s="539">
        <v>0</v>
      </c>
      <c r="AE195" s="539"/>
      <c r="AF195" s="539"/>
      <c r="AG195" s="539">
        <v>0</v>
      </c>
      <c r="AH195" s="539"/>
      <c r="AI195" s="539"/>
      <c r="AJ195" s="539">
        <v>0</v>
      </c>
      <c r="AK195" s="539"/>
      <c r="AL195" s="539"/>
      <c r="AM195" s="539">
        <v>0</v>
      </c>
      <c r="AN195" s="539"/>
      <c r="AO195" s="539"/>
      <c r="AP195" s="539">
        <v>0</v>
      </c>
      <c r="AQ195" s="539"/>
      <c r="AR195" s="539"/>
      <c r="AS195" s="539">
        <v>0</v>
      </c>
      <c r="AT195" s="539"/>
      <c r="AU195" s="539"/>
      <c r="AV195" s="539">
        <v>0</v>
      </c>
      <c r="AW195" s="539"/>
      <c r="AX195" s="539"/>
      <c r="AY195" s="539">
        <v>0</v>
      </c>
      <c r="AZ195" s="539"/>
      <c r="BA195" s="539"/>
      <c r="BB195" s="539">
        <v>0</v>
      </c>
      <c r="BC195" s="539"/>
      <c r="BD195" s="539"/>
      <c r="BE195" s="539">
        <v>0</v>
      </c>
      <c r="BF195" s="539"/>
      <c r="BG195" s="539"/>
      <c r="BH195" s="539">
        <v>0</v>
      </c>
      <c r="BI195" s="539"/>
      <c r="BJ195" s="539"/>
      <c r="BK195" s="539">
        <v>0</v>
      </c>
      <c r="BL195" s="539"/>
      <c r="BM195" s="539"/>
      <c r="BN195" s="539">
        <v>0</v>
      </c>
      <c r="BO195" s="539"/>
      <c r="BP195" s="539"/>
      <c r="BQ195" s="539">
        <v>0</v>
      </c>
      <c r="BR195" s="539"/>
      <c r="BS195" s="539"/>
      <c r="BT195" s="539"/>
      <c r="BU195" s="539"/>
      <c r="BV195" s="539"/>
      <c r="BW195" s="539">
        <v>0</v>
      </c>
      <c r="BX195" s="539"/>
      <c r="BY195" s="539"/>
      <c r="BZ195" s="539">
        <f t="shared" si="163"/>
        <v>0</v>
      </c>
      <c r="CA195" s="539">
        <f t="shared" si="164"/>
        <v>0</v>
      </c>
      <c r="CB195" s="539">
        <f t="shared" si="165"/>
        <v>0</v>
      </c>
    </row>
    <row r="196" spans="1:80" s="11" customFormat="1" ht="136.5" customHeight="1" x14ac:dyDescent="0.2">
      <c r="A196" s="64" t="s">
        <v>251</v>
      </c>
      <c r="B196" s="64"/>
      <c r="C196" s="857"/>
      <c r="D196" s="854"/>
      <c r="E196" s="857"/>
      <c r="F196" s="857"/>
      <c r="G196" s="139"/>
      <c r="H196" s="27">
        <v>254</v>
      </c>
      <c r="I196" s="233" t="s">
        <v>253</v>
      </c>
      <c r="J196" s="59">
        <v>0</v>
      </c>
      <c r="K196" s="60">
        <v>1</v>
      </c>
      <c r="L196" s="135">
        <v>0.25</v>
      </c>
      <c r="M196" s="852"/>
      <c r="N196" s="875"/>
      <c r="O196" s="858"/>
      <c r="P196" s="855"/>
      <c r="Q196" s="207" t="s">
        <v>51</v>
      </c>
      <c r="R196" s="539">
        <v>0</v>
      </c>
      <c r="S196" s="539"/>
      <c r="T196" s="539"/>
      <c r="U196" s="539">
        <v>0</v>
      </c>
      <c r="V196" s="539"/>
      <c r="W196" s="539"/>
      <c r="X196" s="539">
        <v>0</v>
      </c>
      <c r="Y196" s="539"/>
      <c r="Z196" s="539"/>
      <c r="AA196" s="539">
        <v>0</v>
      </c>
      <c r="AB196" s="539"/>
      <c r="AC196" s="539"/>
      <c r="AD196" s="539">
        <v>0</v>
      </c>
      <c r="AE196" s="539"/>
      <c r="AF196" s="539"/>
      <c r="AG196" s="539">
        <v>0</v>
      </c>
      <c r="AH196" s="539"/>
      <c r="AI196" s="539"/>
      <c r="AJ196" s="539">
        <v>0</v>
      </c>
      <c r="AK196" s="539"/>
      <c r="AL196" s="539"/>
      <c r="AM196" s="539"/>
      <c r="AN196" s="539"/>
      <c r="AO196" s="539"/>
      <c r="AP196" s="539"/>
      <c r="AQ196" s="539"/>
      <c r="AR196" s="539"/>
      <c r="AS196" s="539">
        <v>0</v>
      </c>
      <c r="AT196" s="539"/>
      <c r="AU196" s="539"/>
      <c r="AV196" s="539">
        <v>0</v>
      </c>
      <c r="AW196" s="539"/>
      <c r="AX196" s="539"/>
      <c r="AY196" s="539"/>
      <c r="AZ196" s="539"/>
      <c r="BA196" s="539"/>
      <c r="BB196" s="539"/>
      <c r="BC196" s="539"/>
      <c r="BD196" s="539"/>
      <c r="BE196" s="539">
        <v>0</v>
      </c>
      <c r="BF196" s="539"/>
      <c r="BG196" s="539"/>
      <c r="BH196" s="539">
        <v>0</v>
      </c>
      <c r="BI196" s="539"/>
      <c r="BJ196" s="539"/>
      <c r="BK196" s="553">
        <v>30000000</v>
      </c>
      <c r="BL196" s="553">
        <v>15000000</v>
      </c>
      <c r="BM196" s="553">
        <v>2500000</v>
      </c>
      <c r="BN196" s="553"/>
      <c r="BO196" s="553"/>
      <c r="BP196" s="553"/>
      <c r="BQ196" s="539">
        <v>0</v>
      </c>
      <c r="BR196" s="539"/>
      <c r="BS196" s="539"/>
      <c r="BT196" s="539"/>
      <c r="BU196" s="539"/>
      <c r="BV196" s="539"/>
      <c r="BW196" s="539">
        <v>0</v>
      </c>
      <c r="BX196" s="539"/>
      <c r="BY196" s="539"/>
      <c r="BZ196" s="539">
        <f t="shared" si="163"/>
        <v>30000000</v>
      </c>
      <c r="CA196" s="539">
        <f t="shared" si="164"/>
        <v>15000000</v>
      </c>
      <c r="CB196" s="539">
        <f t="shared" si="165"/>
        <v>2500000</v>
      </c>
    </row>
    <row r="197" spans="1:80" s="459" customFormat="1" ht="19.5" customHeight="1" x14ac:dyDescent="0.2">
      <c r="A197" s="228"/>
      <c r="B197" s="64"/>
      <c r="C197" s="510"/>
      <c r="D197" s="518"/>
      <c r="E197" s="510"/>
      <c r="F197" s="510"/>
      <c r="G197" s="116"/>
      <c r="H197" s="117"/>
      <c r="I197" s="234"/>
      <c r="J197" s="79"/>
      <c r="K197" s="79"/>
      <c r="L197" s="79"/>
      <c r="M197" s="79"/>
      <c r="N197" s="79"/>
      <c r="O197" s="78"/>
      <c r="P197" s="77"/>
      <c r="Q197" s="78"/>
      <c r="R197" s="548">
        <f t="shared" ref="R197:BY197" si="166">SUM(R192:R196)</f>
        <v>0</v>
      </c>
      <c r="S197" s="548">
        <f t="shared" si="166"/>
        <v>0</v>
      </c>
      <c r="T197" s="548">
        <f t="shared" si="166"/>
        <v>0</v>
      </c>
      <c r="U197" s="548">
        <f t="shared" si="166"/>
        <v>0</v>
      </c>
      <c r="V197" s="548">
        <f t="shared" si="166"/>
        <v>0</v>
      </c>
      <c r="W197" s="548">
        <f t="shared" si="166"/>
        <v>0</v>
      </c>
      <c r="X197" s="548">
        <f t="shared" si="166"/>
        <v>0</v>
      </c>
      <c r="Y197" s="548">
        <f t="shared" si="166"/>
        <v>0</v>
      </c>
      <c r="Z197" s="548">
        <f t="shared" si="166"/>
        <v>0</v>
      </c>
      <c r="AA197" s="548">
        <f t="shared" si="166"/>
        <v>0</v>
      </c>
      <c r="AB197" s="548">
        <f t="shared" si="166"/>
        <v>0</v>
      </c>
      <c r="AC197" s="548">
        <f t="shared" si="166"/>
        <v>0</v>
      </c>
      <c r="AD197" s="548">
        <f t="shared" si="166"/>
        <v>0</v>
      </c>
      <c r="AE197" s="548">
        <f t="shared" si="166"/>
        <v>0</v>
      </c>
      <c r="AF197" s="548">
        <f t="shared" si="166"/>
        <v>0</v>
      </c>
      <c r="AG197" s="548">
        <f t="shared" si="166"/>
        <v>0</v>
      </c>
      <c r="AH197" s="548">
        <f t="shared" si="166"/>
        <v>0</v>
      </c>
      <c r="AI197" s="548">
        <f t="shared" si="166"/>
        <v>0</v>
      </c>
      <c r="AJ197" s="548">
        <f t="shared" si="166"/>
        <v>0</v>
      </c>
      <c r="AK197" s="548">
        <f t="shared" si="166"/>
        <v>0</v>
      </c>
      <c r="AL197" s="548">
        <f t="shared" si="166"/>
        <v>0</v>
      </c>
      <c r="AM197" s="548">
        <f t="shared" si="166"/>
        <v>0</v>
      </c>
      <c r="AN197" s="548">
        <f t="shared" si="166"/>
        <v>0</v>
      </c>
      <c r="AO197" s="548">
        <f t="shared" si="166"/>
        <v>0</v>
      </c>
      <c r="AP197" s="548">
        <f t="shared" si="166"/>
        <v>0</v>
      </c>
      <c r="AQ197" s="548">
        <f t="shared" si="166"/>
        <v>0</v>
      </c>
      <c r="AR197" s="548">
        <f t="shared" si="166"/>
        <v>0</v>
      </c>
      <c r="AS197" s="548">
        <f t="shared" si="166"/>
        <v>0</v>
      </c>
      <c r="AT197" s="548">
        <f t="shared" si="166"/>
        <v>0</v>
      </c>
      <c r="AU197" s="548">
        <f t="shared" si="166"/>
        <v>0</v>
      </c>
      <c r="AV197" s="548">
        <f t="shared" si="166"/>
        <v>0</v>
      </c>
      <c r="AW197" s="548">
        <f t="shared" si="166"/>
        <v>0</v>
      </c>
      <c r="AX197" s="548">
        <f t="shared" si="166"/>
        <v>0</v>
      </c>
      <c r="AY197" s="548">
        <f t="shared" si="166"/>
        <v>0</v>
      </c>
      <c r="AZ197" s="548">
        <f t="shared" si="166"/>
        <v>0</v>
      </c>
      <c r="BA197" s="548">
        <f t="shared" si="166"/>
        <v>0</v>
      </c>
      <c r="BB197" s="548">
        <f t="shared" si="166"/>
        <v>0</v>
      </c>
      <c r="BC197" s="548">
        <f t="shared" si="166"/>
        <v>0</v>
      </c>
      <c r="BD197" s="548">
        <f t="shared" si="166"/>
        <v>0</v>
      </c>
      <c r="BE197" s="548">
        <f t="shared" si="166"/>
        <v>0</v>
      </c>
      <c r="BF197" s="548">
        <f t="shared" si="166"/>
        <v>0</v>
      </c>
      <c r="BG197" s="548">
        <f t="shared" si="166"/>
        <v>0</v>
      </c>
      <c r="BH197" s="548">
        <f t="shared" si="166"/>
        <v>0</v>
      </c>
      <c r="BI197" s="548">
        <f t="shared" si="166"/>
        <v>0</v>
      </c>
      <c r="BJ197" s="548">
        <f t="shared" si="166"/>
        <v>0</v>
      </c>
      <c r="BK197" s="548">
        <f t="shared" si="166"/>
        <v>463000000</v>
      </c>
      <c r="BL197" s="548">
        <f t="shared" si="166"/>
        <v>119370000</v>
      </c>
      <c r="BM197" s="548">
        <f t="shared" si="166"/>
        <v>29580000</v>
      </c>
      <c r="BN197" s="548">
        <f t="shared" si="166"/>
        <v>0</v>
      </c>
      <c r="BO197" s="548">
        <f t="shared" si="166"/>
        <v>0</v>
      </c>
      <c r="BP197" s="548">
        <f t="shared" si="166"/>
        <v>0</v>
      </c>
      <c r="BQ197" s="548">
        <f t="shared" si="166"/>
        <v>0</v>
      </c>
      <c r="BR197" s="548">
        <f t="shared" si="166"/>
        <v>0</v>
      </c>
      <c r="BS197" s="548">
        <f t="shared" si="166"/>
        <v>0</v>
      </c>
      <c r="BT197" s="548">
        <f t="shared" si="166"/>
        <v>0</v>
      </c>
      <c r="BU197" s="548">
        <f t="shared" si="166"/>
        <v>0</v>
      </c>
      <c r="BV197" s="548">
        <f t="shared" si="166"/>
        <v>0</v>
      </c>
      <c r="BW197" s="548">
        <f t="shared" si="166"/>
        <v>0</v>
      </c>
      <c r="BX197" s="548">
        <f t="shared" si="166"/>
        <v>0</v>
      </c>
      <c r="BY197" s="548">
        <f t="shared" si="166"/>
        <v>0</v>
      </c>
      <c r="BZ197" s="548">
        <f>SUM(BZ192:BZ196)</f>
        <v>463000000</v>
      </c>
      <c r="CA197" s="548">
        <f t="shared" ref="CA197:CB197" si="167">SUM(CA192:CA196)</f>
        <v>119370000</v>
      </c>
      <c r="CB197" s="548">
        <f t="shared" si="167"/>
        <v>29580000</v>
      </c>
    </row>
    <row r="198" spans="1:80" s="11" customFormat="1" ht="20.25" customHeight="1" x14ac:dyDescent="0.2">
      <c r="A198" s="228"/>
      <c r="B198" s="64"/>
      <c r="C198" s="92"/>
      <c r="D198" s="91"/>
      <c r="E198" s="92"/>
      <c r="F198" s="92"/>
      <c r="G198" s="124"/>
      <c r="H198" s="125"/>
      <c r="I198" s="202"/>
      <c r="J198" s="93"/>
      <c r="K198" s="93"/>
      <c r="L198" s="93"/>
      <c r="M198" s="93"/>
      <c r="N198" s="93"/>
      <c r="O198" s="500"/>
      <c r="P198" s="91"/>
      <c r="Q198" s="92"/>
      <c r="R198" s="543"/>
      <c r="S198" s="543"/>
      <c r="T198" s="543"/>
      <c r="U198" s="544"/>
      <c r="V198" s="544"/>
      <c r="W198" s="544"/>
      <c r="X198" s="543"/>
      <c r="Y198" s="543"/>
      <c r="Z198" s="543"/>
      <c r="AA198" s="543"/>
      <c r="AB198" s="543"/>
      <c r="AC198" s="543"/>
      <c r="AD198" s="543"/>
      <c r="AE198" s="543"/>
      <c r="AF198" s="543"/>
      <c r="AG198" s="543"/>
      <c r="AH198" s="543"/>
      <c r="AI198" s="543"/>
      <c r="AJ198" s="543"/>
      <c r="AK198" s="543"/>
      <c r="AL198" s="543"/>
      <c r="AM198" s="543"/>
      <c r="AN198" s="543"/>
      <c r="AO198" s="543"/>
      <c r="AP198" s="543"/>
      <c r="AQ198" s="543"/>
      <c r="AR198" s="543"/>
      <c r="AS198" s="543"/>
      <c r="AT198" s="543"/>
      <c r="AU198" s="543"/>
      <c r="AV198" s="543"/>
      <c r="AW198" s="543"/>
      <c r="AX198" s="543"/>
      <c r="AY198" s="543"/>
      <c r="AZ198" s="543"/>
      <c r="BA198" s="543"/>
      <c r="BB198" s="543"/>
      <c r="BC198" s="543"/>
      <c r="BD198" s="543"/>
      <c r="BE198" s="543"/>
      <c r="BF198" s="543"/>
      <c r="BG198" s="543"/>
      <c r="BH198" s="543"/>
      <c r="BI198" s="543"/>
      <c r="BJ198" s="543"/>
      <c r="BK198" s="545"/>
      <c r="BL198" s="545"/>
      <c r="BM198" s="545"/>
      <c r="BN198" s="546"/>
      <c r="BO198" s="546"/>
      <c r="BP198" s="546"/>
      <c r="BQ198" s="543"/>
      <c r="BR198" s="543"/>
      <c r="BS198" s="543"/>
      <c r="BT198" s="543"/>
      <c r="BU198" s="543"/>
      <c r="BV198" s="543"/>
      <c r="BW198" s="544"/>
      <c r="BX198" s="544"/>
      <c r="BY198" s="544"/>
      <c r="BZ198" s="543"/>
      <c r="CA198" s="543"/>
      <c r="CB198" s="543"/>
    </row>
    <row r="199" spans="1:80" s="459" customFormat="1" ht="22.5" customHeight="1" x14ac:dyDescent="0.2">
      <c r="A199" s="228"/>
      <c r="B199" s="64"/>
      <c r="C199" s="508"/>
      <c r="D199" s="516"/>
      <c r="E199" s="508"/>
      <c r="F199" s="508"/>
      <c r="G199" s="98">
        <v>86</v>
      </c>
      <c r="H199" s="100" t="s">
        <v>254</v>
      </c>
      <c r="I199" s="100"/>
      <c r="J199" s="100"/>
      <c r="K199" s="100"/>
      <c r="L199" s="100"/>
      <c r="M199" s="100"/>
      <c r="N199" s="100"/>
      <c r="O199" s="212"/>
      <c r="P199" s="100"/>
      <c r="Q199" s="100"/>
      <c r="R199" s="336"/>
      <c r="S199" s="336"/>
      <c r="T199" s="336"/>
      <c r="U199" s="336"/>
      <c r="V199" s="336"/>
      <c r="W199" s="336"/>
      <c r="X199" s="336"/>
      <c r="Y199" s="336"/>
      <c r="Z199" s="336"/>
      <c r="AA199" s="336"/>
      <c r="AB199" s="336"/>
      <c r="AC199" s="336"/>
      <c r="AD199" s="336"/>
      <c r="AE199" s="336"/>
      <c r="AF199" s="336"/>
      <c r="AG199" s="336"/>
      <c r="AH199" s="336"/>
      <c r="AI199" s="336"/>
      <c r="AJ199" s="336"/>
      <c r="AK199" s="336"/>
      <c r="AL199" s="336"/>
      <c r="AM199" s="336"/>
      <c r="AN199" s="336"/>
      <c r="AO199" s="336"/>
      <c r="AP199" s="336"/>
      <c r="AQ199" s="336"/>
      <c r="AR199" s="336"/>
      <c r="AS199" s="336"/>
      <c r="AT199" s="336"/>
      <c r="AU199" s="336"/>
      <c r="AV199" s="336"/>
      <c r="AW199" s="336"/>
      <c r="AX199" s="336"/>
      <c r="AY199" s="336"/>
      <c r="AZ199" s="336"/>
      <c r="BA199" s="336"/>
      <c r="BB199" s="336"/>
      <c r="BC199" s="336"/>
      <c r="BD199" s="336"/>
      <c r="BE199" s="336"/>
      <c r="BF199" s="336"/>
      <c r="BG199" s="336"/>
      <c r="BH199" s="336"/>
      <c r="BI199" s="336"/>
      <c r="BJ199" s="336"/>
      <c r="BK199" s="552"/>
      <c r="BL199" s="552"/>
      <c r="BM199" s="552"/>
      <c r="BN199" s="336"/>
      <c r="BO199" s="336"/>
      <c r="BP199" s="336"/>
      <c r="BQ199" s="336"/>
      <c r="BR199" s="336"/>
      <c r="BS199" s="336"/>
      <c r="BT199" s="336"/>
      <c r="BU199" s="336"/>
      <c r="BV199" s="336"/>
      <c r="BW199" s="336"/>
      <c r="BX199" s="336"/>
      <c r="BY199" s="336"/>
      <c r="BZ199" s="338"/>
      <c r="CA199" s="338"/>
      <c r="CB199" s="338"/>
    </row>
    <row r="200" spans="1:80" s="11" customFormat="1" ht="81.75" customHeight="1" x14ac:dyDescent="0.2">
      <c r="A200" s="64"/>
      <c r="B200" s="64"/>
      <c r="C200" s="509">
        <v>37</v>
      </c>
      <c r="D200" s="517" t="s">
        <v>241</v>
      </c>
      <c r="E200" s="509">
        <v>54.61</v>
      </c>
      <c r="F200" s="509">
        <v>60</v>
      </c>
      <c r="G200" s="58"/>
      <c r="H200" s="57">
        <v>255</v>
      </c>
      <c r="I200" s="56" t="s">
        <v>255</v>
      </c>
      <c r="J200" s="59">
        <v>12</v>
      </c>
      <c r="K200" s="60">
        <v>12</v>
      </c>
      <c r="L200" s="60">
        <v>7</v>
      </c>
      <c r="M200" s="61">
        <v>2017003630015</v>
      </c>
      <c r="N200" s="62" t="s">
        <v>83</v>
      </c>
      <c r="O200" s="498" t="s">
        <v>256</v>
      </c>
      <c r="P200" s="56" t="s">
        <v>257</v>
      </c>
      <c r="Q200" s="207" t="s">
        <v>51</v>
      </c>
      <c r="R200" s="539">
        <v>0</v>
      </c>
      <c r="S200" s="539"/>
      <c r="T200" s="539"/>
      <c r="U200" s="539">
        <v>0</v>
      </c>
      <c r="V200" s="539"/>
      <c r="W200" s="539"/>
      <c r="X200" s="539">
        <v>0</v>
      </c>
      <c r="Y200" s="539"/>
      <c r="Z200" s="539"/>
      <c r="AA200" s="539">
        <v>0</v>
      </c>
      <c r="AB200" s="539"/>
      <c r="AC200" s="539"/>
      <c r="AD200" s="539">
        <v>0</v>
      </c>
      <c r="AE200" s="539"/>
      <c r="AF200" s="539"/>
      <c r="AG200" s="539">
        <v>0</v>
      </c>
      <c r="AH200" s="539"/>
      <c r="AI200" s="539"/>
      <c r="AJ200" s="539">
        <v>0</v>
      </c>
      <c r="AK200" s="539"/>
      <c r="AL200" s="539"/>
      <c r="AM200" s="539"/>
      <c r="AN200" s="539"/>
      <c r="AO200" s="539"/>
      <c r="AP200" s="539"/>
      <c r="AQ200" s="539"/>
      <c r="AR200" s="539"/>
      <c r="AS200" s="539">
        <v>0</v>
      </c>
      <c r="AT200" s="539"/>
      <c r="AU200" s="539"/>
      <c r="AV200" s="539">
        <v>0</v>
      </c>
      <c r="AW200" s="539"/>
      <c r="AX200" s="539"/>
      <c r="AY200" s="539"/>
      <c r="AZ200" s="539"/>
      <c r="BA200" s="539"/>
      <c r="BB200" s="539"/>
      <c r="BC200" s="539"/>
      <c r="BD200" s="539"/>
      <c r="BE200" s="539">
        <v>0</v>
      </c>
      <c r="BF200" s="539"/>
      <c r="BG200" s="539"/>
      <c r="BH200" s="539">
        <v>0</v>
      </c>
      <c r="BI200" s="541"/>
      <c r="BJ200" s="541"/>
      <c r="BK200" s="542">
        <f>100000000+70000000</f>
        <v>170000000</v>
      </c>
      <c r="BL200" s="542">
        <v>46150000</v>
      </c>
      <c r="BM200" s="542"/>
      <c r="BN200" s="542"/>
      <c r="BO200" s="542"/>
      <c r="BP200" s="542"/>
      <c r="BQ200" s="539">
        <v>0</v>
      </c>
      <c r="BR200" s="541"/>
      <c r="BS200" s="541"/>
      <c r="BT200" s="541"/>
      <c r="BU200" s="541"/>
      <c r="BV200" s="541"/>
      <c r="BW200" s="541">
        <v>0</v>
      </c>
      <c r="BX200" s="541"/>
      <c r="BY200" s="541"/>
      <c r="BZ200" s="539">
        <f>R200+U200+X200+AA200+AD200+AG200+AJ200+AM200+AP200+AS200+AV200+AY200+BB200+BE200+BH200+BK200+BN200+BQ200+BT200+BW200</f>
        <v>170000000</v>
      </c>
      <c r="CA200" s="539">
        <f t="shared" ref="CA200" si="168">S200+V200+Y200+AB200+AE200+AH200+AK200+AN200+AQ200+AT200+AW200+AZ200+BC200+BF200+BI200+BL200+BO200+BR200+BU200+BX200</f>
        <v>46150000</v>
      </c>
      <c r="CB200" s="539">
        <f t="shared" ref="CB200" si="169">T200+W200+Z200+AC200+AF200+AI200+AL200+AO200+AR200+AU200+AX200+BA200+BD200+BG200+BJ200+BM200+BP200+BS200+BV200+BY200</f>
        <v>0</v>
      </c>
    </row>
    <row r="201" spans="1:80" s="2" customFormat="1" ht="22.5" customHeight="1" x14ac:dyDescent="0.25">
      <c r="A201" s="228"/>
      <c r="B201" s="64"/>
      <c r="C201" s="734"/>
      <c r="D201" s="738"/>
      <c r="E201" s="734"/>
      <c r="F201" s="734"/>
      <c r="G201" s="116"/>
      <c r="H201" s="117"/>
      <c r="I201" s="116"/>
      <c r="J201" s="807"/>
      <c r="K201" s="807"/>
      <c r="L201" s="807"/>
      <c r="M201" s="807"/>
      <c r="N201" s="807"/>
      <c r="O201" s="117"/>
      <c r="P201" s="116"/>
      <c r="Q201" s="117"/>
      <c r="R201" s="593">
        <f t="shared" ref="R201:BY201" si="170">SUM(R200:R200)</f>
        <v>0</v>
      </c>
      <c r="S201" s="593">
        <f t="shared" si="170"/>
        <v>0</v>
      </c>
      <c r="T201" s="593">
        <f t="shared" si="170"/>
        <v>0</v>
      </c>
      <c r="U201" s="593">
        <f t="shared" si="170"/>
        <v>0</v>
      </c>
      <c r="V201" s="593">
        <f t="shared" si="170"/>
        <v>0</v>
      </c>
      <c r="W201" s="593">
        <f t="shared" si="170"/>
        <v>0</v>
      </c>
      <c r="X201" s="593">
        <f t="shared" si="170"/>
        <v>0</v>
      </c>
      <c r="Y201" s="593">
        <f t="shared" si="170"/>
        <v>0</v>
      </c>
      <c r="Z201" s="593">
        <f t="shared" si="170"/>
        <v>0</v>
      </c>
      <c r="AA201" s="593">
        <f t="shared" si="170"/>
        <v>0</v>
      </c>
      <c r="AB201" s="593">
        <f t="shared" si="170"/>
        <v>0</v>
      </c>
      <c r="AC201" s="593">
        <f t="shared" si="170"/>
        <v>0</v>
      </c>
      <c r="AD201" s="593">
        <f t="shared" si="170"/>
        <v>0</v>
      </c>
      <c r="AE201" s="593">
        <f t="shared" si="170"/>
        <v>0</v>
      </c>
      <c r="AF201" s="593">
        <f t="shared" si="170"/>
        <v>0</v>
      </c>
      <c r="AG201" s="593">
        <f t="shared" si="170"/>
        <v>0</v>
      </c>
      <c r="AH201" s="593">
        <f t="shared" si="170"/>
        <v>0</v>
      </c>
      <c r="AI201" s="593">
        <f t="shared" si="170"/>
        <v>0</v>
      </c>
      <c r="AJ201" s="593">
        <f t="shared" si="170"/>
        <v>0</v>
      </c>
      <c r="AK201" s="593">
        <f t="shared" si="170"/>
        <v>0</v>
      </c>
      <c r="AL201" s="593">
        <f t="shared" si="170"/>
        <v>0</v>
      </c>
      <c r="AM201" s="593">
        <f t="shared" si="170"/>
        <v>0</v>
      </c>
      <c r="AN201" s="593">
        <f t="shared" si="170"/>
        <v>0</v>
      </c>
      <c r="AO201" s="593">
        <f t="shared" si="170"/>
        <v>0</v>
      </c>
      <c r="AP201" s="593">
        <f t="shared" si="170"/>
        <v>0</v>
      </c>
      <c r="AQ201" s="593">
        <f t="shared" si="170"/>
        <v>0</v>
      </c>
      <c r="AR201" s="593">
        <f t="shared" si="170"/>
        <v>0</v>
      </c>
      <c r="AS201" s="593">
        <f t="shared" si="170"/>
        <v>0</v>
      </c>
      <c r="AT201" s="593">
        <f t="shared" si="170"/>
        <v>0</v>
      </c>
      <c r="AU201" s="593">
        <f t="shared" si="170"/>
        <v>0</v>
      </c>
      <c r="AV201" s="593">
        <f t="shared" si="170"/>
        <v>0</v>
      </c>
      <c r="AW201" s="593">
        <f t="shared" si="170"/>
        <v>0</v>
      </c>
      <c r="AX201" s="593">
        <f t="shared" si="170"/>
        <v>0</v>
      </c>
      <c r="AY201" s="593">
        <f t="shared" si="170"/>
        <v>0</v>
      </c>
      <c r="AZ201" s="593">
        <f t="shared" si="170"/>
        <v>0</v>
      </c>
      <c r="BA201" s="593">
        <f t="shared" si="170"/>
        <v>0</v>
      </c>
      <c r="BB201" s="593">
        <f t="shared" si="170"/>
        <v>0</v>
      </c>
      <c r="BC201" s="593">
        <f t="shared" si="170"/>
        <v>0</v>
      </c>
      <c r="BD201" s="593">
        <f t="shared" si="170"/>
        <v>0</v>
      </c>
      <c r="BE201" s="593">
        <f t="shared" si="170"/>
        <v>0</v>
      </c>
      <c r="BF201" s="593">
        <f t="shared" si="170"/>
        <v>0</v>
      </c>
      <c r="BG201" s="593">
        <f t="shared" si="170"/>
        <v>0</v>
      </c>
      <c r="BH201" s="593">
        <f t="shared" si="170"/>
        <v>0</v>
      </c>
      <c r="BI201" s="593">
        <f t="shared" si="170"/>
        <v>0</v>
      </c>
      <c r="BJ201" s="593">
        <f t="shared" si="170"/>
        <v>0</v>
      </c>
      <c r="BK201" s="593">
        <f t="shared" si="170"/>
        <v>170000000</v>
      </c>
      <c r="BL201" s="593">
        <f t="shared" si="170"/>
        <v>46150000</v>
      </c>
      <c r="BM201" s="593">
        <f t="shared" si="170"/>
        <v>0</v>
      </c>
      <c r="BN201" s="593">
        <f t="shared" si="170"/>
        <v>0</v>
      </c>
      <c r="BO201" s="593">
        <f t="shared" si="170"/>
        <v>0</v>
      </c>
      <c r="BP201" s="593">
        <f t="shared" si="170"/>
        <v>0</v>
      </c>
      <c r="BQ201" s="593">
        <f t="shared" si="170"/>
        <v>0</v>
      </c>
      <c r="BR201" s="593">
        <f t="shared" si="170"/>
        <v>0</v>
      </c>
      <c r="BS201" s="593">
        <f t="shared" si="170"/>
        <v>0</v>
      </c>
      <c r="BT201" s="593">
        <f t="shared" si="170"/>
        <v>0</v>
      </c>
      <c r="BU201" s="593">
        <f t="shared" si="170"/>
        <v>0</v>
      </c>
      <c r="BV201" s="593">
        <f t="shared" si="170"/>
        <v>0</v>
      </c>
      <c r="BW201" s="593">
        <f t="shared" si="170"/>
        <v>0</v>
      </c>
      <c r="BX201" s="593">
        <f t="shared" si="170"/>
        <v>0</v>
      </c>
      <c r="BY201" s="593">
        <f t="shared" si="170"/>
        <v>0</v>
      </c>
      <c r="BZ201" s="593">
        <f t="shared" ref="BZ201" si="171">SUM(BZ200:BZ200)</f>
        <v>170000000</v>
      </c>
      <c r="CA201" s="593">
        <f t="shared" ref="CA201:CB201" si="172">SUM(CA200:CA200)</f>
        <v>46150000</v>
      </c>
      <c r="CB201" s="593">
        <f t="shared" si="172"/>
        <v>0</v>
      </c>
    </row>
    <row r="202" spans="1:80" s="7" customFormat="1" ht="22.5" customHeight="1" x14ac:dyDescent="0.25">
      <c r="A202" s="786"/>
      <c r="B202" s="789"/>
      <c r="C202" s="790"/>
      <c r="D202" s="789"/>
      <c r="E202" s="790"/>
      <c r="F202" s="790"/>
      <c r="G202" s="789"/>
      <c r="H202" s="82"/>
      <c r="I202" s="81"/>
      <c r="J202" s="83"/>
      <c r="K202" s="83"/>
      <c r="L202" s="83"/>
      <c r="M202" s="83"/>
      <c r="N202" s="83"/>
      <c r="O202" s="82"/>
      <c r="P202" s="81"/>
      <c r="Q202" s="82"/>
      <c r="R202" s="554">
        <f t="shared" ref="R202:BY202" si="173">R201+R197</f>
        <v>0</v>
      </c>
      <c r="S202" s="554">
        <f t="shared" si="173"/>
        <v>0</v>
      </c>
      <c r="T202" s="554">
        <f t="shared" si="173"/>
        <v>0</v>
      </c>
      <c r="U202" s="554">
        <f t="shared" si="173"/>
        <v>0</v>
      </c>
      <c r="V202" s="554">
        <f t="shared" si="173"/>
        <v>0</v>
      </c>
      <c r="W202" s="554">
        <f t="shared" si="173"/>
        <v>0</v>
      </c>
      <c r="X202" s="554">
        <f t="shared" si="173"/>
        <v>0</v>
      </c>
      <c r="Y202" s="554">
        <f t="shared" si="173"/>
        <v>0</v>
      </c>
      <c r="Z202" s="554">
        <f t="shared" si="173"/>
        <v>0</v>
      </c>
      <c r="AA202" s="554">
        <f t="shared" si="173"/>
        <v>0</v>
      </c>
      <c r="AB202" s="554">
        <f t="shared" si="173"/>
        <v>0</v>
      </c>
      <c r="AC202" s="554">
        <f t="shared" si="173"/>
        <v>0</v>
      </c>
      <c r="AD202" s="554">
        <f t="shared" si="173"/>
        <v>0</v>
      </c>
      <c r="AE202" s="554">
        <f t="shared" si="173"/>
        <v>0</v>
      </c>
      <c r="AF202" s="554">
        <f t="shared" si="173"/>
        <v>0</v>
      </c>
      <c r="AG202" s="554">
        <f t="shared" si="173"/>
        <v>0</v>
      </c>
      <c r="AH202" s="554">
        <f t="shared" si="173"/>
        <v>0</v>
      </c>
      <c r="AI202" s="554">
        <f t="shared" si="173"/>
        <v>0</v>
      </c>
      <c r="AJ202" s="554">
        <f t="shared" si="173"/>
        <v>0</v>
      </c>
      <c r="AK202" s="554">
        <f t="shared" si="173"/>
        <v>0</v>
      </c>
      <c r="AL202" s="554">
        <f t="shared" si="173"/>
        <v>0</v>
      </c>
      <c r="AM202" s="554">
        <f t="shared" si="173"/>
        <v>0</v>
      </c>
      <c r="AN202" s="554">
        <f t="shared" si="173"/>
        <v>0</v>
      </c>
      <c r="AO202" s="554">
        <f t="shared" si="173"/>
        <v>0</v>
      </c>
      <c r="AP202" s="554">
        <f t="shared" si="173"/>
        <v>0</v>
      </c>
      <c r="AQ202" s="554">
        <f t="shared" si="173"/>
        <v>0</v>
      </c>
      <c r="AR202" s="554">
        <f t="shared" si="173"/>
        <v>0</v>
      </c>
      <c r="AS202" s="554">
        <f t="shared" si="173"/>
        <v>0</v>
      </c>
      <c r="AT202" s="554">
        <f t="shared" si="173"/>
        <v>0</v>
      </c>
      <c r="AU202" s="554">
        <f t="shared" si="173"/>
        <v>0</v>
      </c>
      <c r="AV202" s="554">
        <f t="shared" si="173"/>
        <v>0</v>
      </c>
      <c r="AW202" s="554">
        <f t="shared" si="173"/>
        <v>0</v>
      </c>
      <c r="AX202" s="554">
        <f t="shared" si="173"/>
        <v>0</v>
      </c>
      <c r="AY202" s="554">
        <f t="shared" si="173"/>
        <v>0</v>
      </c>
      <c r="AZ202" s="554">
        <f t="shared" si="173"/>
        <v>0</v>
      </c>
      <c r="BA202" s="554">
        <f t="shared" si="173"/>
        <v>0</v>
      </c>
      <c r="BB202" s="554">
        <f t="shared" si="173"/>
        <v>0</v>
      </c>
      <c r="BC202" s="554">
        <f t="shared" si="173"/>
        <v>0</v>
      </c>
      <c r="BD202" s="554">
        <f t="shared" si="173"/>
        <v>0</v>
      </c>
      <c r="BE202" s="554">
        <f t="shared" si="173"/>
        <v>0</v>
      </c>
      <c r="BF202" s="554">
        <f t="shared" si="173"/>
        <v>0</v>
      </c>
      <c r="BG202" s="554">
        <f t="shared" si="173"/>
        <v>0</v>
      </c>
      <c r="BH202" s="554">
        <f t="shared" si="173"/>
        <v>0</v>
      </c>
      <c r="BI202" s="554">
        <f t="shared" si="173"/>
        <v>0</v>
      </c>
      <c r="BJ202" s="554">
        <f t="shared" si="173"/>
        <v>0</v>
      </c>
      <c r="BK202" s="554">
        <f t="shared" si="173"/>
        <v>633000000</v>
      </c>
      <c r="BL202" s="554">
        <f t="shared" si="173"/>
        <v>165520000</v>
      </c>
      <c r="BM202" s="554">
        <f t="shared" si="173"/>
        <v>29580000</v>
      </c>
      <c r="BN202" s="554">
        <f t="shared" si="173"/>
        <v>0</v>
      </c>
      <c r="BO202" s="554">
        <f t="shared" si="173"/>
        <v>0</v>
      </c>
      <c r="BP202" s="554">
        <f t="shared" si="173"/>
        <v>0</v>
      </c>
      <c r="BQ202" s="554">
        <f t="shared" si="173"/>
        <v>0</v>
      </c>
      <c r="BR202" s="554">
        <f t="shared" si="173"/>
        <v>0</v>
      </c>
      <c r="BS202" s="554">
        <f t="shared" si="173"/>
        <v>0</v>
      </c>
      <c r="BT202" s="554">
        <f t="shared" si="173"/>
        <v>0</v>
      </c>
      <c r="BU202" s="554">
        <f t="shared" si="173"/>
        <v>0</v>
      </c>
      <c r="BV202" s="554">
        <f t="shared" si="173"/>
        <v>0</v>
      </c>
      <c r="BW202" s="554">
        <f t="shared" si="173"/>
        <v>0</v>
      </c>
      <c r="BX202" s="554">
        <f t="shared" si="173"/>
        <v>0</v>
      </c>
      <c r="BY202" s="554">
        <f t="shared" si="173"/>
        <v>0</v>
      </c>
      <c r="BZ202" s="554">
        <f t="shared" ref="BZ202" si="174">BZ201+BZ197</f>
        <v>633000000</v>
      </c>
      <c r="CA202" s="554">
        <f t="shared" ref="CA202:CB202" si="175">CA201+CA197</f>
        <v>165520000</v>
      </c>
      <c r="CB202" s="554">
        <f t="shared" si="175"/>
        <v>29580000</v>
      </c>
    </row>
    <row r="203" spans="1:80" s="459" customFormat="1" ht="22.5" customHeight="1" x14ac:dyDescent="0.2">
      <c r="A203" s="808"/>
      <c r="B203" s="808"/>
      <c r="C203" s="809"/>
      <c r="D203" s="808"/>
      <c r="E203" s="809"/>
      <c r="F203" s="809"/>
      <c r="G203" s="808"/>
      <c r="H203" s="809"/>
      <c r="I203" s="808"/>
      <c r="J203" s="810"/>
      <c r="K203" s="810"/>
      <c r="L203" s="810"/>
      <c r="M203" s="810"/>
      <c r="N203" s="810"/>
      <c r="O203" s="809"/>
      <c r="P203" s="808"/>
      <c r="Q203" s="809"/>
      <c r="R203" s="811">
        <f t="shared" ref="R203:BY203" si="176">R202+R188</f>
        <v>0</v>
      </c>
      <c r="S203" s="811">
        <f t="shared" si="176"/>
        <v>0</v>
      </c>
      <c r="T203" s="811">
        <f t="shared" si="176"/>
        <v>0</v>
      </c>
      <c r="U203" s="811">
        <f t="shared" si="176"/>
        <v>0</v>
      </c>
      <c r="V203" s="811">
        <f t="shared" si="176"/>
        <v>0</v>
      </c>
      <c r="W203" s="811">
        <f t="shared" si="176"/>
        <v>0</v>
      </c>
      <c r="X203" s="811">
        <f t="shared" si="176"/>
        <v>0</v>
      </c>
      <c r="Y203" s="811">
        <f t="shared" si="176"/>
        <v>0</v>
      </c>
      <c r="Z203" s="811">
        <f t="shared" si="176"/>
        <v>0</v>
      </c>
      <c r="AA203" s="811">
        <f t="shared" si="176"/>
        <v>0</v>
      </c>
      <c r="AB203" s="811">
        <f t="shared" si="176"/>
        <v>0</v>
      </c>
      <c r="AC203" s="811">
        <f t="shared" si="176"/>
        <v>0</v>
      </c>
      <c r="AD203" s="811">
        <f t="shared" si="176"/>
        <v>0</v>
      </c>
      <c r="AE203" s="811">
        <f t="shared" si="176"/>
        <v>0</v>
      </c>
      <c r="AF203" s="811">
        <f t="shared" si="176"/>
        <v>0</v>
      </c>
      <c r="AG203" s="811">
        <f t="shared" si="176"/>
        <v>0</v>
      </c>
      <c r="AH203" s="811">
        <f t="shared" si="176"/>
        <v>0</v>
      </c>
      <c r="AI203" s="811">
        <f t="shared" si="176"/>
        <v>0</v>
      </c>
      <c r="AJ203" s="811">
        <f t="shared" si="176"/>
        <v>0</v>
      </c>
      <c r="AK203" s="811">
        <f t="shared" si="176"/>
        <v>0</v>
      </c>
      <c r="AL203" s="811">
        <f t="shared" si="176"/>
        <v>0</v>
      </c>
      <c r="AM203" s="811">
        <f t="shared" si="176"/>
        <v>0</v>
      </c>
      <c r="AN203" s="811">
        <f t="shared" si="176"/>
        <v>0</v>
      </c>
      <c r="AO203" s="811">
        <f t="shared" si="176"/>
        <v>0</v>
      </c>
      <c r="AP203" s="811">
        <f t="shared" si="176"/>
        <v>0</v>
      </c>
      <c r="AQ203" s="811">
        <f t="shared" si="176"/>
        <v>0</v>
      </c>
      <c r="AR203" s="811">
        <f t="shared" si="176"/>
        <v>0</v>
      </c>
      <c r="AS203" s="811">
        <f t="shared" si="176"/>
        <v>0</v>
      </c>
      <c r="AT203" s="811">
        <f t="shared" si="176"/>
        <v>0</v>
      </c>
      <c r="AU203" s="811">
        <f t="shared" si="176"/>
        <v>0</v>
      </c>
      <c r="AV203" s="811">
        <f t="shared" si="176"/>
        <v>0</v>
      </c>
      <c r="AW203" s="811">
        <f t="shared" si="176"/>
        <v>0</v>
      </c>
      <c r="AX203" s="811">
        <f t="shared" si="176"/>
        <v>0</v>
      </c>
      <c r="AY203" s="811">
        <f t="shared" si="176"/>
        <v>0</v>
      </c>
      <c r="AZ203" s="811">
        <f t="shared" si="176"/>
        <v>0</v>
      </c>
      <c r="BA203" s="811">
        <f t="shared" si="176"/>
        <v>0</v>
      </c>
      <c r="BB203" s="811">
        <f t="shared" si="176"/>
        <v>0</v>
      </c>
      <c r="BC203" s="811">
        <f t="shared" si="176"/>
        <v>0</v>
      </c>
      <c r="BD203" s="811">
        <f t="shared" si="176"/>
        <v>0</v>
      </c>
      <c r="BE203" s="811">
        <f t="shared" si="176"/>
        <v>0</v>
      </c>
      <c r="BF203" s="811">
        <f t="shared" si="176"/>
        <v>0</v>
      </c>
      <c r="BG203" s="811">
        <f t="shared" si="176"/>
        <v>0</v>
      </c>
      <c r="BH203" s="811">
        <f t="shared" si="176"/>
        <v>0</v>
      </c>
      <c r="BI203" s="811">
        <f t="shared" si="176"/>
        <v>0</v>
      </c>
      <c r="BJ203" s="811">
        <f t="shared" si="176"/>
        <v>0</v>
      </c>
      <c r="BK203" s="811">
        <f t="shared" si="176"/>
        <v>683000000</v>
      </c>
      <c r="BL203" s="811">
        <f t="shared" si="176"/>
        <v>202520000</v>
      </c>
      <c r="BM203" s="811">
        <f t="shared" si="176"/>
        <v>60360000</v>
      </c>
      <c r="BN203" s="811">
        <f t="shared" si="176"/>
        <v>0</v>
      </c>
      <c r="BO203" s="811">
        <f t="shared" si="176"/>
        <v>0</v>
      </c>
      <c r="BP203" s="811">
        <f t="shared" si="176"/>
        <v>0</v>
      </c>
      <c r="BQ203" s="811">
        <f t="shared" si="176"/>
        <v>0</v>
      </c>
      <c r="BR203" s="811">
        <f t="shared" si="176"/>
        <v>0</v>
      </c>
      <c r="BS203" s="811">
        <f t="shared" si="176"/>
        <v>0</v>
      </c>
      <c r="BT203" s="811">
        <f t="shared" si="176"/>
        <v>0</v>
      </c>
      <c r="BU203" s="811">
        <f t="shared" si="176"/>
        <v>0</v>
      </c>
      <c r="BV203" s="811">
        <f t="shared" si="176"/>
        <v>0</v>
      </c>
      <c r="BW203" s="811">
        <f t="shared" si="176"/>
        <v>0</v>
      </c>
      <c r="BX203" s="811">
        <f t="shared" si="176"/>
        <v>0</v>
      </c>
      <c r="BY203" s="811">
        <f t="shared" si="176"/>
        <v>0</v>
      </c>
      <c r="BZ203" s="811">
        <f>BZ202+BZ188</f>
        <v>683000000</v>
      </c>
      <c r="CA203" s="811">
        <f t="shared" ref="CA203:CB203" si="177">CA202+CA188</f>
        <v>202520000</v>
      </c>
      <c r="CB203" s="811">
        <f t="shared" si="177"/>
        <v>60360000</v>
      </c>
    </row>
    <row r="204" spans="1:80" s="459" customFormat="1" ht="22.5" customHeight="1" x14ac:dyDescent="0.2">
      <c r="A204" s="87"/>
      <c r="B204" s="87"/>
      <c r="C204" s="88"/>
      <c r="D204" s="87"/>
      <c r="E204" s="88"/>
      <c r="F204" s="88"/>
      <c r="G204" s="87"/>
      <c r="H204" s="88"/>
      <c r="I204" s="87"/>
      <c r="J204" s="89"/>
      <c r="K204" s="89"/>
      <c r="L204" s="89"/>
      <c r="M204" s="89"/>
      <c r="N204" s="89"/>
      <c r="O204" s="88"/>
      <c r="P204" s="87"/>
      <c r="Q204" s="88"/>
      <c r="R204" s="561">
        <f t="shared" ref="R204:BY204" si="178">R203+R181</f>
        <v>0</v>
      </c>
      <c r="S204" s="561">
        <f t="shared" si="178"/>
        <v>0</v>
      </c>
      <c r="T204" s="561">
        <f t="shared" si="178"/>
        <v>0</v>
      </c>
      <c r="U204" s="561">
        <f t="shared" si="178"/>
        <v>0</v>
      </c>
      <c r="V204" s="561">
        <f t="shared" si="178"/>
        <v>0</v>
      </c>
      <c r="W204" s="561">
        <f t="shared" si="178"/>
        <v>0</v>
      </c>
      <c r="X204" s="561">
        <f t="shared" si="178"/>
        <v>0</v>
      </c>
      <c r="Y204" s="561">
        <f t="shared" si="178"/>
        <v>0</v>
      </c>
      <c r="Z204" s="561">
        <f t="shared" si="178"/>
        <v>0</v>
      </c>
      <c r="AA204" s="561">
        <f t="shared" si="178"/>
        <v>6994835512.3800001</v>
      </c>
      <c r="AB204" s="561">
        <f t="shared" si="178"/>
        <v>850264060</v>
      </c>
      <c r="AC204" s="561">
        <f t="shared" si="178"/>
        <v>208100000</v>
      </c>
      <c r="AD204" s="561">
        <f t="shared" si="178"/>
        <v>0</v>
      </c>
      <c r="AE204" s="561">
        <f t="shared" si="178"/>
        <v>0</v>
      </c>
      <c r="AF204" s="561">
        <f t="shared" si="178"/>
        <v>0</v>
      </c>
      <c r="AG204" s="561">
        <f t="shared" si="178"/>
        <v>0</v>
      </c>
      <c r="AH204" s="561">
        <f t="shared" si="178"/>
        <v>0</v>
      </c>
      <c r="AI204" s="561">
        <f t="shared" si="178"/>
        <v>0</v>
      </c>
      <c r="AJ204" s="561">
        <f t="shared" si="178"/>
        <v>0</v>
      </c>
      <c r="AK204" s="561">
        <f t="shared" si="178"/>
        <v>0</v>
      </c>
      <c r="AL204" s="561">
        <f t="shared" si="178"/>
        <v>0</v>
      </c>
      <c r="AM204" s="561">
        <f t="shared" si="178"/>
        <v>0</v>
      </c>
      <c r="AN204" s="561">
        <f t="shared" si="178"/>
        <v>0</v>
      </c>
      <c r="AO204" s="561">
        <f t="shared" si="178"/>
        <v>0</v>
      </c>
      <c r="AP204" s="561">
        <f t="shared" si="178"/>
        <v>0</v>
      </c>
      <c r="AQ204" s="561">
        <f t="shared" si="178"/>
        <v>0</v>
      </c>
      <c r="AR204" s="561">
        <f t="shared" si="178"/>
        <v>0</v>
      </c>
      <c r="AS204" s="561">
        <f t="shared" si="178"/>
        <v>0</v>
      </c>
      <c r="AT204" s="561">
        <f t="shared" si="178"/>
        <v>0</v>
      </c>
      <c r="AU204" s="561">
        <f t="shared" si="178"/>
        <v>0</v>
      </c>
      <c r="AV204" s="561">
        <f t="shared" si="178"/>
        <v>0</v>
      </c>
      <c r="AW204" s="561">
        <f t="shared" si="178"/>
        <v>0</v>
      </c>
      <c r="AX204" s="561">
        <f t="shared" si="178"/>
        <v>0</v>
      </c>
      <c r="AY204" s="561">
        <f t="shared" si="178"/>
        <v>0</v>
      </c>
      <c r="AZ204" s="561">
        <f t="shared" si="178"/>
        <v>0</v>
      </c>
      <c r="BA204" s="561">
        <f t="shared" si="178"/>
        <v>0</v>
      </c>
      <c r="BB204" s="561">
        <f t="shared" si="178"/>
        <v>0</v>
      </c>
      <c r="BC204" s="561">
        <f t="shared" si="178"/>
        <v>0</v>
      </c>
      <c r="BD204" s="561">
        <f t="shared" si="178"/>
        <v>0</v>
      </c>
      <c r="BE204" s="561">
        <f t="shared" si="178"/>
        <v>0</v>
      </c>
      <c r="BF204" s="561">
        <f t="shared" si="178"/>
        <v>0</v>
      </c>
      <c r="BG204" s="561">
        <f t="shared" si="178"/>
        <v>0</v>
      </c>
      <c r="BH204" s="561">
        <f t="shared" si="178"/>
        <v>0</v>
      </c>
      <c r="BI204" s="561">
        <f t="shared" si="178"/>
        <v>0</v>
      </c>
      <c r="BJ204" s="561">
        <f t="shared" si="178"/>
        <v>0</v>
      </c>
      <c r="BK204" s="561">
        <f t="shared" si="178"/>
        <v>2259560942</v>
      </c>
      <c r="BL204" s="561">
        <f t="shared" si="178"/>
        <v>630188794</v>
      </c>
      <c r="BM204" s="561">
        <f t="shared" si="178"/>
        <v>196902794</v>
      </c>
      <c r="BN204" s="561">
        <f t="shared" si="178"/>
        <v>0</v>
      </c>
      <c r="BO204" s="561">
        <f t="shared" si="178"/>
        <v>0</v>
      </c>
      <c r="BP204" s="561">
        <f t="shared" si="178"/>
        <v>0</v>
      </c>
      <c r="BQ204" s="561">
        <f t="shared" si="178"/>
        <v>0</v>
      </c>
      <c r="BR204" s="561">
        <f t="shared" si="178"/>
        <v>0</v>
      </c>
      <c r="BS204" s="561">
        <f t="shared" si="178"/>
        <v>0</v>
      </c>
      <c r="BT204" s="561">
        <f t="shared" si="178"/>
        <v>0</v>
      </c>
      <c r="BU204" s="561">
        <f t="shared" si="178"/>
        <v>0</v>
      </c>
      <c r="BV204" s="561">
        <f t="shared" si="178"/>
        <v>0</v>
      </c>
      <c r="BW204" s="561">
        <f t="shared" si="178"/>
        <v>0</v>
      </c>
      <c r="BX204" s="561">
        <f t="shared" si="178"/>
        <v>0</v>
      </c>
      <c r="BY204" s="561">
        <f t="shared" si="178"/>
        <v>0</v>
      </c>
      <c r="BZ204" s="561">
        <f>BZ203+BZ181</f>
        <v>9254396454.3800011</v>
      </c>
      <c r="CA204" s="561">
        <f t="shared" ref="CA204:CB204" si="179">CA203+CA181</f>
        <v>1480452854</v>
      </c>
      <c r="CB204" s="561">
        <f t="shared" si="179"/>
        <v>405002794</v>
      </c>
    </row>
    <row r="205" spans="1:80" s="11" customFormat="1" ht="21" customHeight="1" x14ac:dyDescent="0.2">
      <c r="A205" s="145"/>
      <c r="B205" s="124"/>
      <c r="C205" s="125"/>
      <c r="D205" s="124"/>
      <c r="E205" s="125"/>
      <c r="F205" s="125"/>
      <c r="G205" s="124"/>
      <c r="H205" s="125"/>
      <c r="I205" s="124"/>
      <c r="J205" s="146"/>
      <c r="K205" s="146"/>
      <c r="L205" s="146"/>
      <c r="M205" s="146"/>
      <c r="N205" s="146"/>
      <c r="O205" s="499"/>
      <c r="P205" s="124"/>
      <c r="Q205" s="125"/>
      <c r="R205" s="834"/>
      <c r="S205" s="834"/>
      <c r="T205" s="834"/>
      <c r="U205" s="835"/>
      <c r="V205" s="835"/>
      <c r="W205" s="835"/>
      <c r="X205" s="834"/>
      <c r="Y205" s="834"/>
      <c r="Z205" s="834"/>
      <c r="AA205" s="834"/>
      <c r="AB205" s="834"/>
      <c r="AC205" s="834"/>
      <c r="AD205" s="834"/>
      <c r="AE205" s="834"/>
      <c r="AF205" s="834"/>
      <c r="AG205" s="834"/>
      <c r="AH205" s="834"/>
      <c r="AI205" s="834"/>
      <c r="AJ205" s="834"/>
      <c r="AK205" s="834"/>
      <c r="AL205" s="834"/>
      <c r="AM205" s="834"/>
      <c r="AN205" s="834"/>
      <c r="AO205" s="834"/>
      <c r="AP205" s="834"/>
      <c r="AQ205" s="834"/>
      <c r="AR205" s="834"/>
      <c r="AS205" s="834"/>
      <c r="AT205" s="834"/>
      <c r="AU205" s="834"/>
      <c r="AV205" s="834"/>
      <c r="AW205" s="834"/>
      <c r="AX205" s="834"/>
      <c r="AY205" s="835"/>
      <c r="AZ205" s="835"/>
      <c r="BA205" s="835"/>
      <c r="BB205" s="835"/>
      <c r="BC205" s="835"/>
      <c r="BD205" s="835"/>
      <c r="BE205" s="834"/>
      <c r="BF205" s="834"/>
      <c r="BG205" s="834"/>
      <c r="BH205" s="834"/>
      <c r="BI205" s="834"/>
      <c r="BJ205" s="834"/>
      <c r="BK205" s="540"/>
      <c r="BL205" s="836"/>
      <c r="BM205" s="836"/>
      <c r="BN205" s="837"/>
      <c r="BO205" s="837"/>
      <c r="BP205" s="837"/>
      <c r="BQ205" s="834"/>
      <c r="BR205" s="834"/>
      <c r="BS205" s="834"/>
      <c r="BT205" s="834"/>
      <c r="BU205" s="834"/>
      <c r="BV205" s="834"/>
      <c r="BW205" s="835"/>
      <c r="BX205" s="835"/>
      <c r="BY205" s="835"/>
      <c r="BZ205" s="834"/>
      <c r="CA205" s="834"/>
      <c r="CB205" s="834"/>
    </row>
    <row r="206" spans="1:80" s="459" customFormat="1" ht="15.75" x14ac:dyDescent="0.2">
      <c r="A206" s="147" t="s">
        <v>258</v>
      </c>
      <c r="B206" s="148"/>
      <c r="C206" s="149"/>
      <c r="D206" s="148"/>
      <c r="E206" s="148"/>
      <c r="F206" s="148"/>
      <c r="G206" s="148"/>
      <c r="H206" s="149"/>
      <c r="I206" s="148"/>
      <c r="J206" s="148"/>
      <c r="K206" s="148"/>
      <c r="L206" s="148"/>
      <c r="M206" s="148"/>
      <c r="N206" s="148"/>
      <c r="O206" s="149"/>
      <c r="P206" s="148"/>
      <c r="Q206" s="149"/>
      <c r="R206" s="830"/>
      <c r="S206" s="830"/>
      <c r="T206" s="830"/>
      <c r="U206" s="830"/>
      <c r="V206" s="830"/>
      <c r="W206" s="830"/>
      <c r="X206" s="830"/>
      <c r="Y206" s="830"/>
      <c r="Z206" s="830"/>
      <c r="AA206" s="830"/>
      <c r="AB206" s="830"/>
      <c r="AC206" s="830"/>
      <c r="AD206" s="830"/>
      <c r="AE206" s="830"/>
      <c r="AF206" s="830"/>
      <c r="AG206" s="830"/>
      <c r="AH206" s="830"/>
      <c r="AI206" s="830"/>
      <c r="AJ206" s="830"/>
      <c r="AK206" s="830"/>
      <c r="AL206" s="830"/>
      <c r="AM206" s="830"/>
      <c r="AN206" s="830"/>
      <c r="AO206" s="830"/>
      <c r="AP206" s="830"/>
      <c r="AQ206" s="830"/>
      <c r="AR206" s="830"/>
      <c r="AS206" s="830"/>
      <c r="AT206" s="830"/>
      <c r="AU206" s="830"/>
      <c r="AV206" s="830"/>
      <c r="AW206" s="830"/>
      <c r="AX206" s="830"/>
      <c r="AY206" s="830"/>
      <c r="AZ206" s="830"/>
      <c r="BA206" s="830"/>
      <c r="BB206" s="830"/>
      <c r="BC206" s="830"/>
      <c r="BD206" s="830"/>
      <c r="BE206" s="830"/>
      <c r="BF206" s="830"/>
      <c r="BG206" s="830"/>
      <c r="BH206" s="830"/>
      <c r="BI206" s="830"/>
      <c r="BJ206" s="830"/>
      <c r="BK206" s="838"/>
      <c r="BL206" s="831"/>
      <c r="BM206" s="831"/>
      <c r="BN206" s="832"/>
      <c r="BO206" s="832"/>
      <c r="BP206" s="832"/>
      <c r="BQ206" s="830"/>
      <c r="BR206" s="830"/>
      <c r="BS206" s="830"/>
      <c r="BT206" s="830"/>
      <c r="BU206" s="830"/>
      <c r="BV206" s="830"/>
      <c r="BW206" s="830"/>
      <c r="BX206" s="830"/>
      <c r="BY206" s="830"/>
      <c r="BZ206" s="833" t="s">
        <v>62</v>
      </c>
      <c r="CA206" s="833" t="s">
        <v>62</v>
      </c>
      <c r="CB206" s="833" t="s">
        <v>62</v>
      </c>
    </row>
    <row r="207" spans="1:80" s="11" customFormat="1" ht="15.75" x14ac:dyDescent="0.2">
      <c r="A207" s="44">
        <v>3</v>
      </c>
      <c r="B207" s="45" t="s">
        <v>259</v>
      </c>
      <c r="C207" s="46"/>
      <c r="D207" s="45"/>
      <c r="E207" s="45"/>
      <c r="F207" s="45"/>
      <c r="G207" s="45"/>
      <c r="H207" s="46"/>
      <c r="I207" s="45"/>
      <c r="J207" s="45"/>
      <c r="K207" s="45"/>
      <c r="L207" s="45"/>
      <c r="M207" s="45"/>
      <c r="N207" s="45"/>
      <c r="O207" s="46"/>
      <c r="P207" s="45"/>
      <c r="Q207" s="45"/>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B207" s="572"/>
      <c r="BC207" s="572"/>
      <c r="BD207" s="572"/>
      <c r="BE207" s="572"/>
      <c r="BF207" s="572"/>
      <c r="BG207" s="572"/>
      <c r="BH207" s="572"/>
      <c r="BI207" s="572"/>
      <c r="BJ207" s="572"/>
      <c r="BK207" s="573"/>
      <c r="BL207" s="573"/>
      <c r="BM207" s="573"/>
      <c r="BN207" s="572"/>
      <c r="BO207" s="572"/>
      <c r="BP207" s="572"/>
      <c r="BQ207" s="572"/>
      <c r="BR207" s="572"/>
      <c r="BS207" s="572"/>
      <c r="BT207" s="572"/>
      <c r="BU207" s="572"/>
      <c r="BV207" s="572"/>
      <c r="BW207" s="572"/>
      <c r="BX207" s="572"/>
      <c r="BY207" s="572"/>
      <c r="BZ207" s="574"/>
      <c r="CA207" s="574"/>
      <c r="CB207" s="574"/>
    </row>
    <row r="208" spans="1:80" s="11" customFormat="1" ht="15.75" x14ac:dyDescent="0.2">
      <c r="A208" s="96"/>
      <c r="B208" s="152">
        <v>9</v>
      </c>
      <c r="C208" s="49" t="s">
        <v>260</v>
      </c>
      <c r="D208" s="50"/>
      <c r="E208" s="50"/>
      <c r="F208" s="50"/>
      <c r="G208" s="50"/>
      <c r="H208" s="51"/>
      <c r="I208" s="50"/>
      <c r="J208" s="50"/>
      <c r="K208" s="50"/>
      <c r="L208" s="50"/>
      <c r="M208" s="50"/>
      <c r="N208" s="50"/>
      <c r="O208" s="51"/>
      <c r="P208" s="50"/>
      <c r="Q208" s="50"/>
      <c r="R208" s="550"/>
      <c r="S208" s="550"/>
      <c r="T208" s="550"/>
      <c r="U208" s="550"/>
      <c r="V208" s="550"/>
      <c r="W208" s="550"/>
      <c r="X208" s="550"/>
      <c r="Y208" s="550"/>
      <c r="Z208" s="550"/>
      <c r="AA208" s="550"/>
      <c r="AB208" s="550"/>
      <c r="AC208" s="550"/>
      <c r="AD208" s="550"/>
      <c r="AE208" s="550"/>
      <c r="AF208" s="550"/>
      <c r="AG208" s="550"/>
      <c r="AH208" s="550"/>
      <c r="AI208" s="550"/>
      <c r="AJ208" s="550"/>
      <c r="AK208" s="550"/>
      <c r="AL208" s="550"/>
      <c r="AM208" s="550"/>
      <c r="AN208" s="550"/>
      <c r="AO208" s="550"/>
      <c r="AP208" s="550"/>
      <c r="AQ208" s="550"/>
      <c r="AR208" s="550"/>
      <c r="AS208" s="550"/>
      <c r="AT208" s="550"/>
      <c r="AU208" s="550"/>
      <c r="AV208" s="550"/>
      <c r="AW208" s="550"/>
      <c r="AX208" s="550"/>
      <c r="AY208" s="550"/>
      <c r="AZ208" s="550"/>
      <c r="BA208" s="550"/>
      <c r="BB208" s="550"/>
      <c r="BC208" s="550"/>
      <c r="BD208" s="550"/>
      <c r="BE208" s="550"/>
      <c r="BF208" s="550"/>
      <c r="BG208" s="550"/>
      <c r="BH208" s="550"/>
      <c r="BI208" s="550"/>
      <c r="BJ208" s="550"/>
      <c r="BK208" s="551"/>
      <c r="BL208" s="551"/>
      <c r="BM208" s="551"/>
      <c r="BN208" s="550"/>
      <c r="BO208" s="550"/>
      <c r="BP208" s="550"/>
      <c r="BQ208" s="550"/>
      <c r="BR208" s="550"/>
      <c r="BS208" s="550"/>
      <c r="BT208" s="550"/>
      <c r="BU208" s="550"/>
      <c r="BV208" s="550"/>
      <c r="BW208" s="550"/>
      <c r="BX208" s="550"/>
      <c r="BY208" s="550"/>
      <c r="BZ208" s="555"/>
      <c r="CA208" s="555"/>
      <c r="CB208" s="555"/>
    </row>
    <row r="209" spans="1:80" s="11" customFormat="1" ht="15.75" x14ac:dyDescent="0.2">
      <c r="A209" s="54"/>
      <c r="B209" s="96"/>
      <c r="C209" s="36"/>
      <c r="D209" s="96"/>
      <c r="E209" s="96"/>
      <c r="F209" s="96"/>
      <c r="G209" s="98">
        <v>29</v>
      </c>
      <c r="H209" s="100" t="s">
        <v>261</v>
      </c>
      <c r="I209" s="100"/>
      <c r="J209" s="100"/>
      <c r="K209" s="100"/>
      <c r="L209" s="100"/>
      <c r="M209" s="100"/>
      <c r="N209" s="100"/>
      <c r="O209" s="212"/>
      <c r="P209" s="100"/>
      <c r="Q209" s="100"/>
      <c r="R209" s="336" t="s">
        <v>62</v>
      </c>
      <c r="S209" s="336"/>
      <c r="T209" s="336"/>
      <c r="U209" s="594"/>
      <c r="V209" s="594"/>
      <c r="W209" s="594"/>
      <c r="X209" s="336"/>
      <c r="Y209" s="336"/>
      <c r="Z209" s="336"/>
      <c r="AA209" s="336"/>
      <c r="AB209" s="336"/>
      <c r="AC209" s="336"/>
      <c r="AD209" s="336"/>
      <c r="AE209" s="336"/>
      <c r="AF209" s="336"/>
      <c r="AG209" s="336"/>
      <c r="AH209" s="336"/>
      <c r="AI209" s="336"/>
      <c r="AJ209" s="336"/>
      <c r="AK209" s="336"/>
      <c r="AL209" s="336"/>
      <c r="AM209" s="336"/>
      <c r="AN209" s="336"/>
      <c r="AO209" s="336"/>
      <c r="AP209" s="336"/>
      <c r="AQ209" s="336"/>
      <c r="AR209" s="336"/>
      <c r="AS209" s="336"/>
      <c r="AT209" s="336"/>
      <c r="AU209" s="336"/>
      <c r="AV209" s="336"/>
      <c r="AW209" s="336"/>
      <c r="AX209" s="336"/>
      <c r="AY209" s="336"/>
      <c r="AZ209" s="336"/>
      <c r="BA209" s="336"/>
      <c r="BB209" s="336"/>
      <c r="BC209" s="336"/>
      <c r="BD209" s="336"/>
      <c r="BE209" s="336"/>
      <c r="BF209" s="336"/>
      <c r="BG209" s="336"/>
      <c r="BH209" s="336"/>
      <c r="BI209" s="336"/>
      <c r="BJ209" s="336"/>
      <c r="BK209" s="552"/>
      <c r="BL209" s="552"/>
      <c r="BM209" s="552"/>
      <c r="BN209" s="336"/>
      <c r="BO209" s="336"/>
      <c r="BP209" s="336"/>
      <c r="BQ209" s="336"/>
      <c r="BR209" s="336"/>
      <c r="BS209" s="336"/>
      <c r="BT209" s="336"/>
      <c r="BU209" s="336"/>
      <c r="BV209" s="336"/>
      <c r="BW209" s="336"/>
      <c r="BX209" s="336"/>
      <c r="BY209" s="336"/>
      <c r="BZ209" s="338"/>
      <c r="CA209" s="338"/>
      <c r="CB209" s="338"/>
    </row>
    <row r="210" spans="1:80" s="11" customFormat="1" ht="192" customHeight="1" x14ac:dyDescent="0.2">
      <c r="A210" s="54"/>
      <c r="B210" s="54"/>
      <c r="C210" s="510" t="s">
        <v>262</v>
      </c>
      <c r="D210" s="530" t="s">
        <v>263</v>
      </c>
      <c r="E210" s="535" t="s">
        <v>919</v>
      </c>
      <c r="F210" s="510" t="s">
        <v>916</v>
      </c>
      <c r="G210" s="64"/>
      <c r="H210" s="29">
        <v>114</v>
      </c>
      <c r="I210" s="71" t="s">
        <v>264</v>
      </c>
      <c r="J210" s="236" t="s">
        <v>42</v>
      </c>
      <c r="K210" s="237">
        <v>30</v>
      </c>
      <c r="L210" s="237"/>
      <c r="M210" s="61">
        <v>2017003630006</v>
      </c>
      <c r="N210" s="29" t="s">
        <v>265</v>
      </c>
      <c r="O210" s="498" t="s">
        <v>266</v>
      </c>
      <c r="P210" s="70" t="s">
        <v>267</v>
      </c>
      <c r="Q210" s="29" t="s">
        <v>51</v>
      </c>
      <c r="R210" s="553">
        <f>169700000+890857735</f>
        <v>1060557735</v>
      </c>
      <c r="S210" s="595"/>
      <c r="T210" s="595"/>
      <c r="U210" s="563"/>
      <c r="V210" s="563"/>
      <c r="W210" s="563"/>
      <c r="X210" s="563"/>
      <c r="Y210" s="563"/>
      <c r="Z210" s="563"/>
      <c r="AA210" s="563"/>
      <c r="AB210" s="563"/>
      <c r="AC210" s="563"/>
      <c r="AD210" s="563"/>
      <c r="AE210" s="563"/>
      <c r="AF210" s="563"/>
      <c r="AG210" s="563"/>
      <c r="AH210" s="563"/>
      <c r="AI210" s="563"/>
      <c r="AJ210" s="563"/>
      <c r="AK210" s="563"/>
      <c r="AL210" s="563"/>
      <c r="AM210" s="563"/>
      <c r="AN210" s="563"/>
      <c r="AO210" s="563"/>
      <c r="AP210" s="563"/>
      <c r="AQ210" s="563"/>
      <c r="AR210" s="563"/>
      <c r="AS210" s="563"/>
      <c r="AT210" s="563"/>
      <c r="AU210" s="563"/>
      <c r="AV210" s="563"/>
      <c r="AW210" s="563"/>
      <c r="AX210" s="563"/>
      <c r="AY210" s="563"/>
      <c r="AZ210" s="563"/>
      <c r="BA210" s="563"/>
      <c r="BB210" s="563"/>
      <c r="BC210" s="563"/>
      <c r="BD210" s="563"/>
      <c r="BE210" s="563"/>
      <c r="BF210" s="563"/>
      <c r="BG210" s="563"/>
      <c r="BH210" s="563"/>
      <c r="BI210" s="563"/>
      <c r="BJ210" s="563"/>
      <c r="BK210" s="596">
        <v>0</v>
      </c>
      <c r="BL210" s="596"/>
      <c r="BM210" s="596"/>
      <c r="BN210" s="595"/>
      <c r="BO210" s="595"/>
      <c r="BP210" s="595"/>
      <c r="BQ210" s="563"/>
      <c r="BR210" s="597"/>
      <c r="BS210" s="597"/>
      <c r="BT210" s="597"/>
      <c r="BU210" s="597"/>
      <c r="BV210" s="597"/>
      <c r="BW210" s="597"/>
      <c r="BX210" s="597"/>
      <c r="BY210" s="597"/>
      <c r="BZ210" s="539">
        <f t="shared" ref="BZ210:BZ213" si="180">R210+U210+X210+AA210+AD210+AG210+AJ210+AM210+AP210+AS210+AV210+AY210+BB210+BE210+BH210+BK210+BN210+BQ210+BT210+BW210</f>
        <v>1060557735</v>
      </c>
      <c r="CA210" s="539">
        <f t="shared" ref="CA210:CA213" si="181">S210+V210+Y210+AB210+AE210+AH210+AK210+AN210+AQ210+AT210+AW210+AZ210+BC210+BF210+BI210+BL210+BO210+BR210+BU210+BX210</f>
        <v>0</v>
      </c>
      <c r="CB210" s="539">
        <f t="shared" ref="CB210:CB213" si="182">T210+W210+Z210+AC210+AF210+AI210+AL210+AO210+AR210+AU210+AX210+BA210+BD210+BG210+BJ210+BM210+BP210+BS210+BV210+BY210</f>
        <v>0</v>
      </c>
    </row>
    <row r="211" spans="1:80" s="11" customFormat="1" ht="88.5" customHeight="1" x14ac:dyDescent="0.2">
      <c r="A211" s="54"/>
      <c r="B211" s="54"/>
      <c r="C211" s="856" t="s">
        <v>262</v>
      </c>
      <c r="D211" s="886" t="s">
        <v>268</v>
      </c>
      <c r="E211" s="888" t="s">
        <v>917</v>
      </c>
      <c r="F211" s="856" t="s">
        <v>918</v>
      </c>
      <c r="G211" s="64"/>
      <c r="H211" s="29">
        <v>114</v>
      </c>
      <c r="I211" s="71" t="s">
        <v>264</v>
      </c>
      <c r="J211" s="236" t="s">
        <v>42</v>
      </c>
      <c r="K211" s="238">
        <v>30</v>
      </c>
      <c r="L211" s="237">
        <v>15</v>
      </c>
      <c r="M211" s="850">
        <v>2017003630007</v>
      </c>
      <c r="N211" s="856" t="s">
        <v>265</v>
      </c>
      <c r="O211" s="857" t="s">
        <v>269</v>
      </c>
      <c r="P211" s="853" t="s">
        <v>270</v>
      </c>
      <c r="Q211" s="29" t="s">
        <v>51</v>
      </c>
      <c r="R211" s="598">
        <v>0</v>
      </c>
      <c r="S211" s="599"/>
      <c r="T211" s="599"/>
      <c r="U211" s="564">
        <v>0</v>
      </c>
      <c r="V211" s="564"/>
      <c r="W211" s="564"/>
      <c r="X211" s="564">
        <v>0</v>
      </c>
      <c r="Y211" s="564"/>
      <c r="Z211" s="564"/>
      <c r="AA211" s="564">
        <v>0</v>
      </c>
      <c r="AB211" s="564"/>
      <c r="AC211" s="564"/>
      <c r="AD211" s="564">
        <v>0</v>
      </c>
      <c r="AE211" s="564"/>
      <c r="AF211" s="564"/>
      <c r="AG211" s="564">
        <v>0</v>
      </c>
      <c r="AH211" s="564"/>
      <c r="AI211" s="564"/>
      <c r="AJ211" s="564">
        <v>0</v>
      </c>
      <c r="AK211" s="564"/>
      <c r="AL211" s="564"/>
      <c r="AM211" s="564"/>
      <c r="AN211" s="564"/>
      <c r="AO211" s="564"/>
      <c r="AP211" s="564"/>
      <c r="AQ211" s="564"/>
      <c r="AR211" s="564"/>
      <c r="AS211" s="564">
        <v>0</v>
      </c>
      <c r="AT211" s="564"/>
      <c r="AU211" s="564"/>
      <c r="AV211" s="564">
        <v>0</v>
      </c>
      <c r="AW211" s="564"/>
      <c r="AX211" s="564"/>
      <c r="AY211" s="564"/>
      <c r="AZ211" s="564"/>
      <c r="BA211" s="564"/>
      <c r="BB211" s="564"/>
      <c r="BC211" s="564"/>
      <c r="BD211" s="564"/>
      <c r="BE211" s="564">
        <v>0</v>
      </c>
      <c r="BF211" s="564"/>
      <c r="BG211" s="564"/>
      <c r="BH211" s="564">
        <v>0</v>
      </c>
      <c r="BI211" s="564"/>
      <c r="BJ211" s="564"/>
      <c r="BK211" s="596">
        <f>920000000+530000000</f>
        <v>1450000000</v>
      </c>
      <c r="BL211" s="596">
        <v>713780000</v>
      </c>
      <c r="BM211" s="596">
        <v>47530000</v>
      </c>
      <c r="BN211" s="595"/>
      <c r="BO211" s="595"/>
      <c r="BP211" s="595"/>
      <c r="BQ211" s="564">
        <v>0</v>
      </c>
      <c r="BR211" s="600"/>
      <c r="BS211" s="600"/>
      <c r="BT211" s="600"/>
      <c r="BU211" s="600"/>
      <c r="BV211" s="600"/>
      <c r="BW211" s="600">
        <v>0</v>
      </c>
      <c r="BX211" s="600"/>
      <c r="BY211" s="600"/>
      <c r="BZ211" s="539">
        <f t="shared" si="180"/>
        <v>1450000000</v>
      </c>
      <c r="CA211" s="539">
        <f t="shared" si="181"/>
        <v>713780000</v>
      </c>
      <c r="CB211" s="539">
        <f t="shared" si="182"/>
        <v>47530000</v>
      </c>
    </row>
    <row r="212" spans="1:80" s="11" customFormat="1" ht="68.25" customHeight="1" x14ac:dyDescent="0.2">
      <c r="A212" s="54"/>
      <c r="B212" s="54"/>
      <c r="C212" s="857"/>
      <c r="D212" s="887"/>
      <c r="E212" s="889"/>
      <c r="F212" s="857"/>
      <c r="G212" s="64"/>
      <c r="H212" s="29">
        <v>115</v>
      </c>
      <c r="I212" s="56" t="s">
        <v>271</v>
      </c>
      <c r="J212" s="65">
        <v>0</v>
      </c>
      <c r="K212" s="463">
        <v>35</v>
      </c>
      <c r="L212" s="237">
        <v>0</v>
      </c>
      <c r="M212" s="851"/>
      <c r="N212" s="857"/>
      <c r="O212" s="857"/>
      <c r="P212" s="854"/>
      <c r="Q212" s="57" t="s">
        <v>67</v>
      </c>
      <c r="R212" s="540">
        <f>848500000+590796102</f>
        <v>1439296102</v>
      </c>
      <c r="S212" s="540">
        <v>52400000</v>
      </c>
      <c r="T212" s="540">
        <v>16160000</v>
      </c>
      <c r="U212" s="539">
        <v>0</v>
      </c>
      <c r="V212" s="539"/>
      <c r="W212" s="539"/>
      <c r="X212" s="539">
        <v>0</v>
      </c>
      <c r="Y212" s="539"/>
      <c r="Z212" s="539"/>
      <c r="AA212" s="539">
        <v>0</v>
      </c>
      <c r="AB212" s="539"/>
      <c r="AC212" s="539"/>
      <c r="AD212" s="539">
        <v>0</v>
      </c>
      <c r="AE212" s="539"/>
      <c r="AF212" s="539"/>
      <c r="AG212" s="539">
        <v>0</v>
      </c>
      <c r="AH212" s="539"/>
      <c r="AI212" s="539"/>
      <c r="AJ212" s="539">
        <v>0</v>
      </c>
      <c r="AK212" s="539"/>
      <c r="AL212" s="539"/>
      <c r="AM212" s="539"/>
      <c r="AN212" s="539"/>
      <c r="AO212" s="539"/>
      <c r="AP212" s="539"/>
      <c r="AQ212" s="539"/>
      <c r="AR212" s="539"/>
      <c r="AS212" s="539">
        <v>0</v>
      </c>
      <c r="AT212" s="539"/>
      <c r="AU212" s="539"/>
      <c r="AV212" s="539">
        <v>0</v>
      </c>
      <c r="AW212" s="539"/>
      <c r="AX212" s="539"/>
      <c r="AY212" s="539"/>
      <c r="AZ212" s="539"/>
      <c r="BA212" s="539"/>
      <c r="BB212" s="539"/>
      <c r="BC212" s="539"/>
      <c r="BD212" s="539"/>
      <c r="BE212" s="539">
        <v>0</v>
      </c>
      <c r="BF212" s="539"/>
      <c r="BG212" s="539"/>
      <c r="BH212" s="539">
        <v>0</v>
      </c>
      <c r="BI212" s="539"/>
      <c r="BJ212" s="539"/>
      <c r="BK212" s="540">
        <f>400000000-400000000</f>
        <v>0</v>
      </c>
      <c r="BL212" s="540"/>
      <c r="BM212" s="540"/>
      <c r="BN212" s="553"/>
      <c r="BO212" s="553"/>
      <c r="BP212" s="553"/>
      <c r="BQ212" s="539">
        <v>0</v>
      </c>
      <c r="BR212" s="541"/>
      <c r="BS212" s="541"/>
      <c r="BT212" s="541"/>
      <c r="BU212" s="541"/>
      <c r="BV212" s="541"/>
      <c r="BW212" s="541">
        <v>0</v>
      </c>
      <c r="BX212" s="541"/>
      <c r="BY212" s="541"/>
      <c r="BZ212" s="539">
        <f t="shared" si="180"/>
        <v>1439296102</v>
      </c>
      <c r="CA212" s="539">
        <f t="shared" si="181"/>
        <v>52400000</v>
      </c>
      <c r="CB212" s="539">
        <f t="shared" si="182"/>
        <v>16160000</v>
      </c>
    </row>
    <row r="213" spans="1:80" s="11" customFormat="1" ht="73.5" customHeight="1" x14ac:dyDescent="0.2">
      <c r="A213" s="54"/>
      <c r="B213" s="54"/>
      <c r="C213" s="857"/>
      <c r="D213" s="887"/>
      <c r="E213" s="889"/>
      <c r="F213" s="857"/>
      <c r="G213" s="139"/>
      <c r="H213" s="29">
        <v>116</v>
      </c>
      <c r="I213" s="56" t="s">
        <v>272</v>
      </c>
      <c r="J213" s="65" t="s">
        <v>42</v>
      </c>
      <c r="K213" s="464">
        <v>10</v>
      </c>
      <c r="L213" s="237">
        <v>0</v>
      </c>
      <c r="M213" s="852"/>
      <c r="N213" s="858"/>
      <c r="O213" s="858"/>
      <c r="P213" s="855"/>
      <c r="Q213" s="57" t="s">
        <v>67</v>
      </c>
      <c r="R213" s="553">
        <f>169700000+124179245</f>
        <v>293879245</v>
      </c>
      <c r="S213" s="553">
        <v>25980000</v>
      </c>
      <c r="T213" s="553">
        <v>8660000</v>
      </c>
      <c r="U213" s="539">
        <v>0</v>
      </c>
      <c r="V213" s="539"/>
      <c r="W213" s="539"/>
      <c r="X213" s="539">
        <v>0</v>
      </c>
      <c r="Y213" s="539"/>
      <c r="Z213" s="539"/>
      <c r="AA213" s="539">
        <v>0</v>
      </c>
      <c r="AB213" s="539"/>
      <c r="AC213" s="539"/>
      <c r="AD213" s="539">
        <v>0</v>
      </c>
      <c r="AE213" s="539"/>
      <c r="AF213" s="539"/>
      <c r="AG213" s="539">
        <v>0</v>
      </c>
      <c r="AH213" s="539"/>
      <c r="AI213" s="539"/>
      <c r="AJ213" s="539">
        <v>0</v>
      </c>
      <c r="AK213" s="539"/>
      <c r="AL213" s="539"/>
      <c r="AM213" s="539"/>
      <c r="AN213" s="539"/>
      <c r="AO213" s="539"/>
      <c r="AP213" s="539"/>
      <c r="AQ213" s="539"/>
      <c r="AR213" s="539"/>
      <c r="AS213" s="539">
        <v>0</v>
      </c>
      <c r="AT213" s="539"/>
      <c r="AU213" s="539"/>
      <c r="AV213" s="539">
        <v>0</v>
      </c>
      <c r="AW213" s="539"/>
      <c r="AX213" s="539"/>
      <c r="AY213" s="539"/>
      <c r="AZ213" s="539"/>
      <c r="BA213" s="539"/>
      <c r="BB213" s="539"/>
      <c r="BC213" s="539"/>
      <c r="BD213" s="539"/>
      <c r="BE213" s="539">
        <v>0</v>
      </c>
      <c r="BF213" s="539"/>
      <c r="BG213" s="539"/>
      <c r="BH213" s="539">
        <v>0</v>
      </c>
      <c r="BI213" s="539"/>
      <c r="BJ213" s="539"/>
      <c r="BK213" s="540">
        <f>50000000-50000000</f>
        <v>0</v>
      </c>
      <c r="BL213" s="540"/>
      <c r="BM213" s="540"/>
      <c r="BN213" s="553"/>
      <c r="BO213" s="553"/>
      <c r="BP213" s="553"/>
      <c r="BQ213" s="539">
        <v>0</v>
      </c>
      <c r="BR213" s="541"/>
      <c r="BS213" s="541"/>
      <c r="BT213" s="541"/>
      <c r="BU213" s="541"/>
      <c r="BV213" s="541"/>
      <c r="BW213" s="541">
        <v>0</v>
      </c>
      <c r="BX213" s="541"/>
      <c r="BY213" s="541"/>
      <c r="BZ213" s="539">
        <f t="shared" si="180"/>
        <v>293879245</v>
      </c>
      <c r="CA213" s="539">
        <f t="shared" si="181"/>
        <v>25980000</v>
      </c>
      <c r="CB213" s="539">
        <f t="shared" si="182"/>
        <v>8660000</v>
      </c>
    </row>
    <row r="214" spans="1:80" s="459" customFormat="1" ht="15.75" x14ac:dyDescent="0.2">
      <c r="A214" s="54"/>
      <c r="B214" s="54"/>
      <c r="C214" s="510"/>
      <c r="D214" s="518"/>
      <c r="E214" s="510"/>
      <c r="F214" s="510"/>
      <c r="G214" s="77"/>
      <c r="H214" s="78"/>
      <c r="I214" s="77"/>
      <c r="J214" s="239"/>
      <c r="K214" s="240"/>
      <c r="L214" s="240"/>
      <c r="M214" s="240"/>
      <c r="N214" s="78"/>
      <c r="O214" s="78"/>
      <c r="P214" s="77"/>
      <c r="Q214" s="78"/>
      <c r="R214" s="548">
        <f t="shared" ref="R214:BZ214" si="183">SUM(R210:R213)</f>
        <v>2793733082</v>
      </c>
      <c r="S214" s="548"/>
      <c r="T214" s="548"/>
      <c r="U214" s="548">
        <f t="shared" si="183"/>
        <v>0</v>
      </c>
      <c r="V214" s="548"/>
      <c r="W214" s="548"/>
      <c r="X214" s="548">
        <f t="shared" si="183"/>
        <v>0</v>
      </c>
      <c r="Y214" s="548"/>
      <c r="Z214" s="548"/>
      <c r="AA214" s="548">
        <f t="shared" si="183"/>
        <v>0</v>
      </c>
      <c r="AB214" s="548"/>
      <c r="AC214" s="548"/>
      <c r="AD214" s="548">
        <f t="shared" si="183"/>
        <v>0</v>
      </c>
      <c r="AE214" s="548"/>
      <c r="AF214" s="548"/>
      <c r="AG214" s="548">
        <f t="shared" si="183"/>
        <v>0</v>
      </c>
      <c r="AH214" s="548"/>
      <c r="AI214" s="548"/>
      <c r="AJ214" s="548">
        <f t="shared" si="183"/>
        <v>0</v>
      </c>
      <c r="AK214" s="548"/>
      <c r="AL214" s="548"/>
      <c r="AM214" s="548">
        <f t="shared" si="183"/>
        <v>0</v>
      </c>
      <c r="AN214" s="548"/>
      <c r="AO214" s="548"/>
      <c r="AP214" s="548">
        <f t="shared" si="183"/>
        <v>0</v>
      </c>
      <c r="AQ214" s="548"/>
      <c r="AR214" s="548"/>
      <c r="AS214" s="548">
        <f t="shared" si="183"/>
        <v>0</v>
      </c>
      <c r="AT214" s="548"/>
      <c r="AU214" s="548"/>
      <c r="AV214" s="548">
        <f t="shared" si="183"/>
        <v>0</v>
      </c>
      <c r="AW214" s="548"/>
      <c r="AX214" s="548"/>
      <c r="AY214" s="548">
        <f t="shared" si="183"/>
        <v>0</v>
      </c>
      <c r="AZ214" s="548"/>
      <c r="BA214" s="548"/>
      <c r="BB214" s="548">
        <f t="shared" si="183"/>
        <v>0</v>
      </c>
      <c r="BC214" s="548"/>
      <c r="BD214" s="548"/>
      <c r="BE214" s="548">
        <f t="shared" si="183"/>
        <v>0</v>
      </c>
      <c r="BF214" s="548"/>
      <c r="BG214" s="548"/>
      <c r="BH214" s="548">
        <f t="shared" si="183"/>
        <v>0</v>
      </c>
      <c r="BI214" s="548"/>
      <c r="BJ214" s="548"/>
      <c r="BK214" s="548">
        <f t="shared" si="183"/>
        <v>1450000000</v>
      </c>
      <c r="BL214" s="548"/>
      <c r="BM214" s="548"/>
      <c r="BN214" s="548">
        <f t="shared" si="183"/>
        <v>0</v>
      </c>
      <c r="BO214" s="548"/>
      <c r="BP214" s="548"/>
      <c r="BQ214" s="548">
        <f t="shared" si="183"/>
        <v>0</v>
      </c>
      <c r="BR214" s="548"/>
      <c r="BS214" s="548"/>
      <c r="BT214" s="548"/>
      <c r="BU214" s="548"/>
      <c r="BV214" s="548"/>
      <c r="BW214" s="548"/>
      <c r="BX214" s="548"/>
      <c r="BY214" s="548"/>
      <c r="BZ214" s="548">
        <f t="shared" si="183"/>
        <v>4243733082</v>
      </c>
      <c r="CA214" s="548">
        <f t="shared" ref="CA214:CB214" si="184">SUM(CA210:CA213)</f>
        <v>792160000</v>
      </c>
      <c r="CB214" s="548">
        <f t="shared" si="184"/>
        <v>72350000</v>
      </c>
    </row>
    <row r="215" spans="1:80" s="11" customFormat="1" ht="15.75" x14ac:dyDescent="0.2">
      <c r="A215" s="54"/>
      <c r="B215" s="54"/>
      <c r="C215" s="241"/>
      <c r="D215" s="242"/>
      <c r="E215" s="243"/>
      <c r="F215" s="243"/>
      <c r="G215" s="91"/>
      <c r="H215" s="92"/>
      <c r="I215" s="91"/>
      <c r="J215" s="244"/>
      <c r="K215" s="245"/>
      <c r="L215" s="245"/>
      <c r="M215" s="245"/>
      <c r="N215" s="92"/>
      <c r="O215" s="500"/>
      <c r="P215" s="91"/>
      <c r="Q215" s="92"/>
      <c r="R215" s="543"/>
      <c r="S215" s="543"/>
      <c r="T215" s="543"/>
      <c r="U215" s="544"/>
      <c r="V215" s="544"/>
      <c r="W215" s="544"/>
      <c r="X215" s="543"/>
      <c r="Y215" s="543"/>
      <c r="Z215" s="543"/>
      <c r="AA215" s="543"/>
      <c r="AB215" s="543"/>
      <c r="AC215" s="543"/>
      <c r="AD215" s="543"/>
      <c r="AE215" s="543"/>
      <c r="AF215" s="543"/>
      <c r="AG215" s="543"/>
      <c r="AH215" s="543"/>
      <c r="AI215" s="543"/>
      <c r="AJ215" s="543"/>
      <c r="AK215" s="543"/>
      <c r="AL215" s="543"/>
      <c r="AM215" s="543"/>
      <c r="AN215" s="543"/>
      <c r="AO215" s="543"/>
      <c r="AP215" s="543"/>
      <c r="AQ215" s="543"/>
      <c r="AR215" s="543"/>
      <c r="AS215" s="543"/>
      <c r="AT215" s="543"/>
      <c r="AU215" s="543"/>
      <c r="AV215" s="543"/>
      <c r="AW215" s="543"/>
      <c r="AX215" s="543"/>
      <c r="AY215" s="543"/>
      <c r="AZ215" s="543"/>
      <c r="BA215" s="543"/>
      <c r="BB215" s="543"/>
      <c r="BC215" s="543"/>
      <c r="BD215" s="543"/>
      <c r="BE215" s="543"/>
      <c r="BF215" s="543"/>
      <c r="BG215" s="543"/>
      <c r="BH215" s="543"/>
      <c r="BI215" s="543"/>
      <c r="BJ215" s="543"/>
      <c r="BK215" s="545"/>
      <c r="BL215" s="545"/>
      <c r="BM215" s="545"/>
      <c r="BN215" s="543"/>
      <c r="BO215" s="543"/>
      <c r="BP215" s="543"/>
      <c r="BQ215" s="543"/>
      <c r="BR215" s="543"/>
      <c r="BS215" s="543"/>
      <c r="BT215" s="543"/>
      <c r="BU215" s="543"/>
      <c r="BV215" s="543"/>
      <c r="BW215" s="544"/>
      <c r="BX215" s="544"/>
      <c r="BY215" s="544"/>
      <c r="BZ215" s="543"/>
      <c r="CA215" s="543"/>
      <c r="CB215" s="543"/>
    </row>
    <row r="216" spans="1:80" s="11" customFormat="1" ht="15.75" x14ac:dyDescent="0.2">
      <c r="A216" s="54"/>
      <c r="B216" s="54"/>
      <c r="C216" s="508"/>
      <c r="D216" s="516"/>
      <c r="E216" s="508"/>
      <c r="F216" s="508"/>
      <c r="G216" s="98">
        <v>30</v>
      </c>
      <c r="H216" s="100" t="s">
        <v>273</v>
      </c>
      <c r="I216" s="100"/>
      <c r="J216" s="100"/>
      <c r="K216" s="186"/>
      <c r="L216" s="186"/>
      <c r="M216" s="186"/>
      <c r="N216" s="100"/>
      <c r="O216" s="212"/>
      <c r="P216" s="100"/>
      <c r="Q216" s="100"/>
      <c r="R216" s="336"/>
      <c r="S216" s="336"/>
      <c r="T216" s="336"/>
      <c r="U216" s="336"/>
      <c r="V216" s="336"/>
      <c r="W216" s="336"/>
      <c r="X216" s="336"/>
      <c r="Y216" s="336"/>
      <c r="Z216" s="336"/>
      <c r="AA216" s="336"/>
      <c r="AB216" s="336"/>
      <c r="AC216" s="336"/>
      <c r="AD216" s="336"/>
      <c r="AE216" s="336"/>
      <c r="AF216" s="336"/>
      <c r="AG216" s="336"/>
      <c r="AH216" s="336"/>
      <c r="AI216" s="336"/>
      <c r="AJ216" s="336"/>
      <c r="AK216" s="336"/>
      <c r="AL216" s="336"/>
      <c r="AM216" s="336"/>
      <c r="AN216" s="336"/>
      <c r="AO216" s="336"/>
      <c r="AP216" s="336"/>
      <c r="AQ216" s="336"/>
      <c r="AR216" s="336"/>
      <c r="AS216" s="336"/>
      <c r="AT216" s="336"/>
      <c r="AU216" s="336"/>
      <c r="AV216" s="336"/>
      <c r="AW216" s="336"/>
      <c r="AX216" s="336"/>
      <c r="AY216" s="336"/>
      <c r="AZ216" s="336"/>
      <c r="BA216" s="336"/>
      <c r="BB216" s="336"/>
      <c r="BC216" s="336"/>
      <c r="BD216" s="336"/>
      <c r="BE216" s="336"/>
      <c r="BF216" s="336"/>
      <c r="BG216" s="336"/>
      <c r="BH216" s="336"/>
      <c r="BI216" s="336"/>
      <c r="BJ216" s="336"/>
      <c r="BK216" s="552"/>
      <c r="BL216" s="552"/>
      <c r="BM216" s="552"/>
      <c r="BN216" s="336"/>
      <c r="BO216" s="336"/>
      <c r="BP216" s="336"/>
      <c r="BQ216" s="336"/>
      <c r="BR216" s="336"/>
      <c r="BS216" s="336"/>
      <c r="BT216" s="336"/>
      <c r="BU216" s="336"/>
      <c r="BV216" s="336"/>
      <c r="BW216" s="336"/>
      <c r="BX216" s="336"/>
      <c r="BY216" s="336"/>
      <c r="BZ216" s="338"/>
      <c r="CA216" s="338"/>
      <c r="CB216" s="338"/>
    </row>
    <row r="217" spans="1:80" s="11" customFormat="1" ht="112.5" customHeight="1" x14ac:dyDescent="0.2">
      <c r="A217" s="54"/>
      <c r="B217" s="54"/>
      <c r="C217" s="509" t="s">
        <v>274</v>
      </c>
      <c r="D217" s="529" t="s">
        <v>275</v>
      </c>
      <c r="E217" s="536" t="s">
        <v>920</v>
      </c>
      <c r="F217" s="509" t="s">
        <v>921</v>
      </c>
      <c r="G217" s="56"/>
      <c r="H217" s="57">
        <v>117</v>
      </c>
      <c r="I217" s="56" t="s">
        <v>276</v>
      </c>
      <c r="J217" s="65" t="s">
        <v>42</v>
      </c>
      <c r="K217" s="237">
        <v>2</v>
      </c>
      <c r="L217" s="237">
        <v>0</v>
      </c>
      <c r="M217" s="61">
        <v>2017003630004</v>
      </c>
      <c r="N217" s="65" t="s">
        <v>265</v>
      </c>
      <c r="O217" s="498" t="s">
        <v>277</v>
      </c>
      <c r="P217" s="56" t="s">
        <v>278</v>
      </c>
      <c r="Q217" s="57" t="s">
        <v>67</v>
      </c>
      <c r="R217" s="539"/>
      <c r="S217" s="539"/>
      <c r="T217" s="539"/>
      <c r="U217" s="539">
        <v>0</v>
      </c>
      <c r="V217" s="539"/>
      <c r="W217" s="539"/>
      <c r="X217" s="539">
        <v>0</v>
      </c>
      <c r="Y217" s="539"/>
      <c r="Z217" s="539"/>
      <c r="AA217" s="539">
        <v>0</v>
      </c>
      <c r="AB217" s="539"/>
      <c r="AC217" s="539"/>
      <c r="AD217" s="539">
        <v>0</v>
      </c>
      <c r="AE217" s="539"/>
      <c r="AF217" s="539"/>
      <c r="AG217" s="539">
        <v>0</v>
      </c>
      <c r="AH217" s="539"/>
      <c r="AI217" s="539"/>
      <c r="AJ217" s="539">
        <v>0</v>
      </c>
      <c r="AK217" s="539"/>
      <c r="AL217" s="539"/>
      <c r="AM217" s="539"/>
      <c r="AN217" s="539"/>
      <c r="AO217" s="539"/>
      <c r="AP217" s="539"/>
      <c r="AQ217" s="539"/>
      <c r="AR217" s="539"/>
      <c r="AS217" s="539">
        <v>0</v>
      </c>
      <c r="AT217" s="539"/>
      <c r="AU217" s="539"/>
      <c r="AV217" s="539">
        <v>0</v>
      </c>
      <c r="AW217" s="539"/>
      <c r="AX217" s="539"/>
      <c r="AY217" s="539"/>
      <c r="AZ217" s="539"/>
      <c r="BA217" s="539"/>
      <c r="BB217" s="539"/>
      <c r="BC217" s="539"/>
      <c r="BD217" s="539"/>
      <c r="BE217" s="539">
        <v>0</v>
      </c>
      <c r="BF217" s="539"/>
      <c r="BG217" s="539"/>
      <c r="BH217" s="539">
        <v>0</v>
      </c>
      <c r="BI217" s="539"/>
      <c r="BJ217" s="539"/>
      <c r="BK217" s="540">
        <v>80000000</v>
      </c>
      <c r="BL217" s="540">
        <v>4000000</v>
      </c>
      <c r="BM217" s="540"/>
      <c r="BN217" s="553"/>
      <c r="BO217" s="553"/>
      <c r="BP217" s="553"/>
      <c r="BQ217" s="539">
        <v>0</v>
      </c>
      <c r="BR217" s="541"/>
      <c r="BS217" s="541"/>
      <c r="BT217" s="541"/>
      <c r="BU217" s="541"/>
      <c r="BV217" s="541"/>
      <c r="BW217" s="541">
        <v>0</v>
      </c>
      <c r="BX217" s="541"/>
      <c r="BY217" s="541"/>
      <c r="BZ217" s="539">
        <f>R217+U217+X217+AA217+AD217+AG217+AJ217+AM217+AP217+AS217+AV217+AY217+BB217+BE217+BH217+BK217+BN217+BQ217+BT217+BW217</f>
        <v>80000000</v>
      </c>
      <c r="CA217" s="539">
        <f t="shared" ref="CA217" si="185">S217+V217+Y217+AB217+AE217+AH217+AK217+AN217+AQ217+AT217+AW217+AZ217+BC217+BF217+BI217+BL217+BO217+BR217+BU217+BX217</f>
        <v>4000000</v>
      </c>
      <c r="CB217" s="539">
        <f t="shared" ref="CB217" si="186">T217+W217+Z217+AC217+AF217+AI217+AL217+AO217+AR217+AU217+AX217+BA217+BD217+BG217+BJ217+BM217+BP217+BS217+BV217+BY217</f>
        <v>0</v>
      </c>
    </row>
    <row r="218" spans="1:80" s="459" customFormat="1" ht="15.75" x14ac:dyDescent="0.2">
      <c r="A218" s="54"/>
      <c r="B218" s="54"/>
      <c r="C218" s="510"/>
      <c r="D218" s="518"/>
      <c r="E218" s="510"/>
      <c r="F218" s="510"/>
      <c r="G218" s="77"/>
      <c r="H218" s="78"/>
      <c r="I218" s="77"/>
      <c r="J218" s="239"/>
      <c r="K218" s="246"/>
      <c r="L218" s="246"/>
      <c r="M218" s="246"/>
      <c r="N218" s="239"/>
      <c r="O218" s="78"/>
      <c r="P218" s="77"/>
      <c r="Q218" s="78"/>
      <c r="R218" s="548">
        <f t="shared" ref="R218:BY218" si="187">R217</f>
        <v>0</v>
      </c>
      <c r="S218" s="548">
        <f t="shared" si="187"/>
        <v>0</v>
      </c>
      <c r="T218" s="548">
        <f t="shared" si="187"/>
        <v>0</v>
      </c>
      <c r="U218" s="548">
        <f t="shared" si="187"/>
        <v>0</v>
      </c>
      <c r="V218" s="548">
        <f t="shared" si="187"/>
        <v>0</v>
      </c>
      <c r="W218" s="548">
        <f t="shared" si="187"/>
        <v>0</v>
      </c>
      <c r="X218" s="548">
        <f t="shared" si="187"/>
        <v>0</v>
      </c>
      <c r="Y218" s="548">
        <f t="shared" si="187"/>
        <v>0</v>
      </c>
      <c r="Z218" s="548">
        <f t="shared" si="187"/>
        <v>0</v>
      </c>
      <c r="AA218" s="548">
        <f t="shared" si="187"/>
        <v>0</v>
      </c>
      <c r="AB218" s="548">
        <f t="shared" si="187"/>
        <v>0</v>
      </c>
      <c r="AC218" s="548">
        <f t="shared" si="187"/>
        <v>0</v>
      </c>
      <c r="AD218" s="548">
        <f t="shared" si="187"/>
        <v>0</v>
      </c>
      <c r="AE218" s="548">
        <f t="shared" si="187"/>
        <v>0</v>
      </c>
      <c r="AF218" s="548">
        <f t="shared" si="187"/>
        <v>0</v>
      </c>
      <c r="AG218" s="548">
        <f t="shared" si="187"/>
        <v>0</v>
      </c>
      <c r="AH218" s="548">
        <f t="shared" si="187"/>
        <v>0</v>
      </c>
      <c r="AI218" s="548">
        <f t="shared" si="187"/>
        <v>0</v>
      </c>
      <c r="AJ218" s="548">
        <f t="shared" si="187"/>
        <v>0</v>
      </c>
      <c r="AK218" s="548">
        <f t="shared" si="187"/>
        <v>0</v>
      </c>
      <c r="AL218" s="548">
        <f t="shared" si="187"/>
        <v>0</v>
      </c>
      <c r="AM218" s="548">
        <f t="shared" si="187"/>
        <v>0</v>
      </c>
      <c r="AN218" s="548">
        <f t="shared" si="187"/>
        <v>0</v>
      </c>
      <c r="AO218" s="548">
        <f t="shared" si="187"/>
        <v>0</v>
      </c>
      <c r="AP218" s="548">
        <f t="shared" si="187"/>
        <v>0</v>
      </c>
      <c r="AQ218" s="548">
        <f t="shared" si="187"/>
        <v>0</v>
      </c>
      <c r="AR218" s="548">
        <f t="shared" si="187"/>
        <v>0</v>
      </c>
      <c r="AS218" s="548">
        <f t="shared" si="187"/>
        <v>0</v>
      </c>
      <c r="AT218" s="548">
        <f t="shared" si="187"/>
        <v>0</v>
      </c>
      <c r="AU218" s="548">
        <f t="shared" si="187"/>
        <v>0</v>
      </c>
      <c r="AV218" s="548">
        <f t="shared" si="187"/>
        <v>0</v>
      </c>
      <c r="AW218" s="548">
        <f t="shared" si="187"/>
        <v>0</v>
      </c>
      <c r="AX218" s="548">
        <f t="shared" si="187"/>
        <v>0</v>
      </c>
      <c r="AY218" s="548">
        <f t="shared" si="187"/>
        <v>0</v>
      </c>
      <c r="AZ218" s="548">
        <f t="shared" si="187"/>
        <v>0</v>
      </c>
      <c r="BA218" s="548">
        <f t="shared" si="187"/>
        <v>0</v>
      </c>
      <c r="BB218" s="548">
        <f t="shared" si="187"/>
        <v>0</v>
      </c>
      <c r="BC218" s="548">
        <f t="shared" si="187"/>
        <v>0</v>
      </c>
      <c r="BD218" s="548">
        <f t="shared" si="187"/>
        <v>0</v>
      </c>
      <c r="BE218" s="548">
        <f t="shared" si="187"/>
        <v>0</v>
      </c>
      <c r="BF218" s="548">
        <f t="shared" si="187"/>
        <v>0</v>
      </c>
      <c r="BG218" s="548">
        <f t="shared" si="187"/>
        <v>0</v>
      </c>
      <c r="BH218" s="548">
        <f t="shared" si="187"/>
        <v>0</v>
      </c>
      <c r="BI218" s="548">
        <f t="shared" si="187"/>
        <v>0</v>
      </c>
      <c r="BJ218" s="548">
        <f t="shared" si="187"/>
        <v>0</v>
      </c>
      <c r="BK218" s="548">
        <f t="shared" si="187"/>
        <v>80000000</v>
      </c>
      <c r="BL218" s="548">
        <f t="shared" si="187"/>
        <v>4000000</v>
      </c>
      <c r="BM218" s="548">
        <f t="shared" si="187"/>
        <v>0</v>
      </c>
      <c r="BN218" s="548">
        <f t="shared" si="187"/>
        <v>0</v>
      </c>
      <c r="BO218" s="548">
        <f t="shared" si="187"/>
        <v>0</v>
      </c>
      <c r="BP218" s="548">
        <f t="shared" si="187"/>
        <v>0</v>
      </c>
      <c r="BQ218" s="548">
        <f t="shared" si="187"/>
        <v>0</v>
      </c>
      <c r="BR218" s="548">
        <f t="shared" si="187"/>
        <v>0</v>
      </c>
      <c r="BS218" s="548">
        <f t="shared" si="187"/>
        <v>0</v>
      </c>
      <c r="BT218" s="548">
        <f t="shared" si="187"/>
        <v>0</v>
      </c>
      <c r="BU218" s="548">
        <f t="shared" si="187"/>
        <v>0</v>
      </c>
      <c r="BV218" s="548">
        <f t="shared" si="187"/>
        <v>0</v>
      </c>
      <c r="BW218" s="548">
        <f t="shared" si="187"/>
        <v>0</v>
      </c>
      <c r="BX218" s="548">
        <f t="shared" si="187"/>
        <v>0</v>
      </c>
      <c r="BY218" s="548">
        <f t="shared" si="187"/>
        <v>0</v>
      </c>
      <c r="BZ218" s="548">
        <f t="shared" ref="BZ218" si="188">BZ217</f>
        <v>80000000</v>
      </c>
      <c r="CA218" s="548">
        <f t="shared" ref="CA218:CB218" si="189">CA217</f>
        <v>4000000</v>
      </c>
      <c r="CB218" s="548">
        <f t="shared" si="189"/>
        <v>0</v>
      </c>
    </row>
    <row r="219" spans="1:80" s="11" customFormat="1" ht="15.75" x14ac:dyDescent="0.2">
      <c r="A219" s="54"/>
      <c r="B219" s="54"/>
      <c r="C219" s="508"/>
      <c r="D219" s="689"/>
      <c r="E219" s="690"/>
      <c r="F219" s="690"/>
      <c r="G219" s="91"/>
      <c r="H219" s="92"/>
      <c r="I219" s="91"/>
      <c r="J219" s="244"/>
      <c r="K219" s="247"/>
      <c r="L219" s="247"/>
      <c r="M219" s="247"/>
      <c r="N219" s="244"/>
      <c r="O219" s="500"/>
      <c r="P219" s="91"/>
      <c r="Q219" s="92"/>
      <c r="R219" s="543"/>
      <c r="S219" s="543"/>
      <c r="T219" s="543"/>
      <c r="U219" s="544"/>
      <c r="V219" s="544"/>
      <c r="W219" s="544"/>
      <c r="X219" s="543"/>
      <c r="Y219" s="543"/>
      <c r="Z219" s="543"/>
      <c r="AA219" s="543"/>
      <c r="AB219" s="543"/>
      <c r="AC219" s="543"/>
      <c r="AD219" s="543"/>
      <c r="AE219" s="543"/>
      <c r="AF219" s="543"/>
      <c r="AG219" s="543"/>
      <c r="AH219" s="543"/>
      <c r="AI219" s="543"/>
      <c r="AJ219" s="543"/>
      <c r="AK219" s="543"/>
      <c r="AL219" s="543"/>
      <c r="AM219" s="543"/>
      <c r="AN219" s="543"/>
      <c r="AO219" s="543"/>
      <c r="AP219" s="543"/>
      <c r="AQ219" s="543"/>
      <c r="AR219" s="543"/>
      <c r="AS219" s="543"/>
      <c r="AT219" s="543"/>
      <c r="AU219" s="543"/>
      <c r="AV219" s="543"/>
      <c r="AW219" s="543"/>
      <c r="AX219" s="543"/>
      <c r="AY219" s="543"/>
      <c r="AZ219" s="543"/>
      <c r="BA219" s="543"/>
      <c r="BB219" s="543"/>
      <c r="BC219" s="543"/>
      <c r="BD219" s="543"/>
      <c r="BE219" s="543"/>
      <c r="BF219" s="543"/>
      <c r="BG219" s="543"/>
      <c r="BH219" s="543"/>
      <c r="BI219" s="543"/>
      <c r="BJ219" s="543"/>
      <c r="BK219" s="545"/>
      <c r="BL219" s="545"/>
      <c r="BM219" s="545"/>
      <c r="BN219" s="546"/>
      <c r="BO219" s="546"/>
      <c r="BP219" s="546"/>
      <c r="BQ219" s="543"/>
      <c r="BR219" s="543"/>
      <c r="BS219" s="543"/>
      <c r="BT219" s="543"/>
      <c r="BU219" s="543"/>
      <c r="BV219" s="543"/>
      <c r="BW219" s="544"/>
      <c r="BX219" s="544"/>
      <c r="BY219" s="544"/>
      <c r="BZ219" s="543"/>
      <c r="CA219" s="543"/>
      <c r="CB219" s="543"/>
    </row>
    <row r="220" spans="1:80" s="459" customFormat="1" ht="15.75" x14ac:dyDescent="0.2">
      <c r="A220" s="54"/>
      <c r="B220" s="54"/>
      <c r="C220" s="509"/>
      <c r="D220" s="517"/>
      <c r="E220" s="509"/>
      <c r="F220" s="509"/>
      <c r="G220" s="195">
        <v>31</v>
      </c>
      <c r="H220" s="211" t="s">
        <v>279</v>
      </c>
      <c r="I220" s="100"/>
      <c r="J220" s="100"/>
      <c r="K220" s="186"/>
      <c r="L220" s="186"/>
      <c r="M220" s="186"/>
      <c r="N220" s="100"/>
      <c r="O220" s="212"/>
      <c r="P220" s="100"/>
      <c r="Q220" s="100"/>
      <c r="R220" s="336"/>
      <c r="S220" s="336"/>
      <c r="T220" s="336"/>
      <c r="U220" s="336"/>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6"/>
      <c r="AY220" s="336"/>
      <c r="AZ220" s="336"/>
      <c r="BA220" s="336"/>
      <c r="BB220" s="336"/>
      <c r="BC220" s="336"/>
      <c r="BD220" s="336"/>
      <c r="BE220" s="336"/>
      <c r="BF220" s="336"/>
      <c r="BG220" s="336"/>
      <c r="BH220" s="336"/>
      <c r="BI220" s="336"/>
      <c r="BJ220" s="336"/>
      <c r="BK220" s="552"/>
      <c r="BL220" s="552"/>
      <c r="BM220" s="552"/>
      <c r="BN220" s="336"/>
      <c r="BO220" s="336"/>
      <c r="BP220" s="336"/>
      <c r="BQ220" s="336"/>
      <c r="BR220" s="336"/>
      <c r="BS220" s="336"/>
      <c r="BT220" s="336"/>
      <c r="BU220" s="336"/>
      <c r="BV220" s="336"/>
      <c r="BW220" s="336"/>
      <c r="BX220" s="336"/>
      <c r="BY220" s="336"/>
      <c r="BZ220" s="336"/>
      <c r="CA220" s="336"/>
      <c r="CB220" s="336"/>
    </row>
    <row r="221" spans="1:80" s="11" customFormat="1" ht="121.5" customHeight="1" x14ac:dyDescent="0.2">
      <c r="A221" s="54"/>
      <c r="B221" s="54"/>
      <c r="C221" s="509" t="s">
        <v>280</v>
      </c>
      <c r="D221" s="529" t="s">
        <v>281</v>
      </c>
      <c r="E221" s="536" t="s">
        <v>282</v>
      </c>
      <c r="F221" s="509" t="s">
        <v>922</v>
      </c>
      <c r="G221" s="102"/>
      <c r="H221" s="57">
        <v>118</v>
      </c>
      <c r="I221" s="56" t="s">
        <v>283</v>
      </c>
      <c r="J221" s="65">
        <v>16</v>
      </c>
      <c r="K221" s="361">
        <v>6</v>
      </c>
      <c r="L221" s="361">
        <v>3</v>
      </c>
      <c r="M221" s="61">
        <v>2017003630005</v>
      </c>
      <c r="N221" s="65" t="s">
        <v>265</v>
      </c>
      <c r="O221" s="498" t="s">
        <v>284</v>
      </c>
      <c r="P221" s="56" t="s">
        <v>285</v>
      </c>
      <c r="Q221" s="57" t="s">
        <v>67</v>
      </c>
      <c r="R221" s="553">
        <f>169700000+330733</f>
        <v>170030733</v>
      </c>
      <c r="S221" s="553">
        <v>50700000</v>
      </c>
      <c r="T221" s="553">
        <v>15420000</v>
      </c>
      <c r="U221" s="539">
        <v>0</v>
      </c>
      <c r="V221" s="539"/>
      <c r="W221" s="539"/>
      <c r="X221" s="539">
        <v>0</v>
      </c>
      <c r="Y221" s="539"/>
      <c r="Z221" s="539"/>
      <c r="AA221" s="539">
        <v>0</v>
      </c>
      <c r="AB221" s="539"/>
      <c r="AC221" s="539"/>
      <c r="AD221" s="539">
        <v>0</v>
      </c>
      <c r="AE221" s="539"/>
      <c r="AF221" s="539"/>
      <c r="AG221" s="539">
        <v>0</v>
      </c>
      <c r="AH221" s="539"/>
      <c r="AI221" s="539"/>
      <c r="AJ221" s="539">
        <v>0</v>
      </c>
      <c r="AK221" s="539"/>
      <c r="AL221" s="539"/>
      <c r="AM221" s="539"/>
      <c r="AN221" s="539"/>
      <c r="AO221" s="539"/>
      <c r="AP221" s="539"/>
      <c r="AQ221" s="539"/>
      <c r="AR221" s="539"/>
      <c r="AS221" s="539">
        <v>0</v>
      </c>
      <c r="AT221" s="539"/>
      <c r="AU221" s="539"/>
      <c r="AV221" s="539">
        <v>0</v>
      </c>
      <c r="AW221" s="539"/>
      <c r="AX221" s="539"/>
      <c r="AY221" s="539"/>
      <c r="AZ221" s="539"/>
      <c r="BA221" s="539"/>
      <c r="BB221" s="539"/>
      <c r="BC221" s="539"/>
      <c r="BD221" s="539"/>
      <c r="BE221" s="539">
        <v>0</v>
      </c>
      <c r="BF221" s="539"/>
      <c r="BG221" s="539"/>
      <c r="BH221" s="539">
        <v>0</v>
      </c>
      <c r="BI221" s="539"/>
      <c r="BJ221" s="539"/>
      <c r="BK221" s="540">
        <v>0</v>
      </c>
      <c r="BL221" s="540"/>
      <c r="BM221" s="540"/>
      <c r="BN221" s="553"/>
      <c r="BO221" s="553"/>
      <c r="BP221" s="553"/>
      <c r="BQ221" s="539">
        <v>0</v>
      </c>
      <c r="BR221" s="541"/>
      <c r="BS221" s="541"/>
      <c r="BT221" s="541"/>
      <c r="BU221" s="541"/>
      <c r="BV221" s="541"/>
      <c r="BW221" s="541">
        <v>0</v>
      </c>
      <c r="BX221" s="541"/>
      <c r="BY221" s="541"/>
      <c r="BZ221" s="539">
        <f>R221+U221+X221+AA221+AD221+AG221+AJ221+AM221+AP221+AS221+AV221+AY221+BB221+BE221+BH221+BK221+BN221+BQ221+BT221+BW221</f>
        <v>170030733</v>
      </c>
      <c r="CA221" s="539">
        <f t="shared" ref="CA221" si="190">S221+V221+Y221+AB221+AE221+AH221+AK221+AN221+AQ221+AT221+AW221+AZ221+BC221+BF221+BI221+BL221+BO221+BR221+BU221+BX221</f>
        <v>50700000</v>
      </c>
      <c r="CB221" s="539">
        <f t="shared" ref="CB221" si="191">T221+W221+Z221+AC221+AF221+AI221+AL221+AO221+AR221+AU221+AX221+BA221+BD221+BG221+BJ221+BM221+BP221+BS221+BV221+BY221</f>
        <v>15420000</v>
      </c>
    </row>
    <row r="222" spans="1:80" s="459" customFormat="1" ht="15.75" x14ac:dyDescent="0.2">
      <c r="A222" s="54"/>
      <c r="B222" s="74"/>
      <c r="C222" s="510"/>
      <c r="D222" s="518"/>
      <c r="E222" s="510"/>
      <c r="F222" s="510"/>
      <c r="G222" s="350"/>
      <c r="H222" s="78"/>
      <c r="I222" s="77"/>
      <c r="J222" s="239"/>
      <c r="K222" s="246"/>
      <c r="L222" s="246"/>
      <c r="M222" s="246"/>
      <c r="N222" s="239"/>
      <c r="O222" s="78"/>
      <c r="P222" s="77"/>
      <c r="Q222" s="78"/>
      <c r="R222" s="548">
        <f t="shared" ref="R222:BY222" si="192">SUM(R221)</f>
        <v>170030733</v>
      </c>
      <c r="S222" s="548">
        <f t="shared" si="192"/>
        <v>50700000</v>
      </c>
      <c r="T222" s="548">
        <f t="shared" si="192"/>
        <v>15420000</v>
      </c>
      <c r="U222" s="548">
        <f t="shared" si="192"/>
        <v>0</v>
      </c>
      <c r="V222" s="548">
        <f t="shared" si="192"/>
        <v>0</v>
      </c>
      <c r="W222" s="548">
        <f t="shared" si="192"/>
        <v>0</v>
      </c>
      <c r="X222" s="548">
        <f t="shared" si="192"/>
        <v>0</v>
      </c>
      <c r="Y222" s="548">
        <f t="shared" si="192"/>
        <v>0</v>
      </c>
      <c r="Z222" s="548">
        <f t="shared" si="192"/>
        <v>0</v>
      </c>
      <c r="AA222" s="548">
        <f t="shared" si="192"/>
        <v>0</v>
      </c>
      <c r="AB222" s="548">
        <f t="shared" si="192"/>
        <v>0</v>
      </c>
      <c r="AC222" s="548">
        <f t="shared" si="192"/>
        <v>0</v>
      </c>
      <c r="AD222" s="548">
        <f t="shared" si="192"/>
        <v>0</v>
      </c>
      <c r="AE222" s="548">
        <f t="shared" si="192"/>
        <v>0</v>
      </c>
      <c r="AF222" s="548">
        <f t="shared" si="192"/>
        <v>0</v>
      </c>
      <c r="AG222" s="548">
        <f t="shared" si="192"/>
        <v>0</v>
      </c>
      <c r="AH222" s="548">
        <f t="shared" si="192"/>
        <v>0</v>
      </c>
      <c r="AI222" s="548">
        <f t="shared" si="192"/>
        <v>0</v>
      </c>
      <c r="AJ222" s="548">
        <f t="shared" si="192"/>
        <v>0</v>
      </c>
      <c r="AK222" s="548">
        <f t="shared" si="192"/>
        <v>0</v>
      </c>
      <c r="AL222" s="548">
        <f t="shared" si="192"/>
        <v>0</v>
      </c>
      <c r="AM222" s="548">
        <f t="shared" si="192"/>
        <v>0</v>
      </c>
      <c r="AN222" s="548">
        <f t="shared" si="192"/>
        <v>0</v>
      </c>
      <c r="AO222" s="548">
        <f t="shared" si="192"/>
        <v>0</v>
      </c>
      <c r="AP222" s="548">
        <f t="shared" si="192"/>
        <v>0</v>
      </c>
      <c r="AQ222" s="548">
        <f t="shared" si="192"/>
        <v>0</v>
      </c>
      <c r="AR222" s="548">
        <f t="shared" si="192"/>
        <v>0</v>
      </c>
      <c r="AS222" s="548">
        <f t="shared" si="192"/>
        <v>0</v>
      </c>
      <c r="AT222" s="548">
        <f t="shared" si="192"/>
        <v>0</v>
      </c>
      <c r="AU222" s="548">
        <f t="shared" si="192"/>
        <v>0</v>
      </c>
      <c r="AV222" s="548">
        <f t="shared" si="192"/>
        <v>0</v>
      </c>
      <c r="AW222" s="548">
        <f t="shared" si="192"/>
        <v>0</v>
      </c>
      <c r="AX222" s="548">
        <f t="shared" si="192"/>
        <v>0</v>
      </c>
      <c r="AY222" s="548">
        <f t="shared" si="192"/>
        <v>0</v>
      </c>
      <c r="AZ222" s="548">
        <f t="shared" si="192"/>
        <v>0</v>
      </c>
      <c r="BA222" s="548">
        <f t="shared" si="192"/>
        <v>0</v>
      </c>
      <c r="BB222" s="548">
        <f t="shared" si="192"/>
        <v>0</v>
      </c>
      <c r="BC222" s="548">
        <f t="shared" si="192"/>
        <v>0</v>
      </c>
      <c r="BD222" s="548">
        <f t="shared" si="192"/>
        <v>0</v>
      </c>
      <c r="BE222" s="548">
        <f t="shared" si="192"/>
        <v>0</v>
      </c>
      <c r="BF222" s="548">
        <f t="shared" si="192"/>
        <v>0</v>
      </c>
      <c r="BG222" s="548">
        <f t="shared" si="192"/>
        <v>0</v>
      </c>
      <c r="BH222" s="548">
        <f t="shared" si="192"/>
        <v>0</v>
      </c>
      <c r="BI222" s="548">
        <f t="shared" si="192"/>
        <v>0</v>
      </c>
      <c r="BJ222" s="548">
        <f t="shared" si="192"/>
        <v>0</v>
      </c>
      <c r="BK222" s="548">
        <f t="shared" si="192"/>
        <v>0</v>
      </c>
      <c r="BL222" s="548">
        <f t="shared" si="192"/>
        <v>0</v>
      </c>
      <c r="BM222" s="548">
        <f t="shared" si="192"/>
        <v>0</v>
      </c>
      <c r="BN222" s="548">
        <f t="shared" si="192"/>
        <v>0</v>
      </c>
      <c r="BO222" s="548">
        <f t="shared" si="192"/>
        <v>0</v>
      </c>
      <c r="BP222" s="548">
        <f t="shared" si="192"/>
        <v>0</v>
      </c>
      <c r="BQ222" s="548">
        <f t="shared" si="192"/>
        <v>0</v>
      </c>
      <c r="BR222" s="548">
        <f t="shared" si="192"/>
        <v>0</v>
      </c>
      <c r="BS222" s="548">
        <f t="shared" si="192"/>
        <v>0</v>
      </c>
      <c r="BT222" s="548">
        <f t="shared" si="192"/>
        <v>0</v>
      </c>
      <c r="BU222" s="548">
        <f t="shared" si="192"/>
        <v>0</v>
      </c>
      <c r="BV222" s="548">
        <f t="shared" si="192"/>
        <v>0</v>
      </c>
      <c r="BW222" s="548">
        <f t="shared" si="192"/>
        <v>0</v>
      </c>
      <c r="BX222" s="548">
        <f t="shared" si="192"/>
        <v>0</v>
      </c>
      <c r="BY222" s="548">
        <f t="shared" si="192"/>
        <v>0</v>
      </c>
      <c r="BZ222" s="548">
        <f t="shared" ref="BZ222" si="193">SUM(BZ221)</f>
        <v>170030733</v>
      </c>
      <c r="CA222" s="548">
        <f t="shared" ref="CA222:CB222" si="194">SUM(CA221)</f>
        <v>50700000</v>
      </c>
      <c r="CB222" s="548">
        <f t="shared" si="194"/>
        <v>15420000</v>
      </c>
    </row>
    <row r="223" spans="1:80" s="459" customFormat="1" ht="15.75" x14ac:dyDescent="0.2">
      <c r="A223" s="54"/>
      <c r="B223" s="118"/>
      <c r="C223" s="82"/>
      <c r="D223" s="248"/>
      <c r="E223" s="249"/>
      <c r="F223" s="249"/>
      <c r="G223" s="81"/>
      <c r="H223" s="82"/>
      <c r="I223" s="81"/>
      <c r="J223" s="250"/>
      <c r="K223" s="251"/>
      <c r="L223" s="251"/>
      <c r="M223" s="251"/>
      <c r="N223" s="250"/>
      <c r="O223" s="82"/>
      <c r="P223" s="81"/>
      <c r="Q223" s="82"/>
      <c r="R223" s="554">
        <f t="shared" ref="R223:BY223" si="195">R222+R218+R214</f>
        <v>2963763815</v>
      </c>
      <c r="S223" s="554">
        <f t="shared" si="195"/>
        <v>50700000</v>
      </c>
      <c r="T223" s="554">
        <f t="shared" si="195"/>
        <v>15420000</v>
      </c>
      <c r="U223" s="554">
        <f t="shared" si="195"/>
        <v>0</v>
      </c>
      <c r="V223" s="554">
        <f t="shared" si="195"/>
        <v>0</v>
      </c>
      <c r="W223" s="554">
        <f t="shared" si="195"/>
        <v>0</v>
      </c>
      <c r="X223" s="554">
        <f t="shared" si="195"/>
        <v>0</v>
      </c>
      <c r="Y223" s="554">
        <f t="shared" si="195"/>
        <v>0</v>
      </c>
      <c r="Z223" s="554">
        <f t="shared" si="195"/>
        <v>0</v>
      </c>
      <c r="AA223" s="554">
        <f t="shared" si="195"/>
        <v>0</v>
      </c>
      <c r="AB223" s="554">
        <f t="shared" si="195"/>
        <v>0</v>
      </c>
      <c r="AC223" s="554">
        <f t="shared" si="195"/>
        <v>0</v>
      </c>
      <c r="AD223" s="554">
        <f t="shared" si="195"/>
        <v>0</v>
      </c>
      <c r="AE223" s="554">
        <f t="shared" si="195"/>
        <v>0</v>
      </c>
      <c r="AF223" s="554">
        <f t="shared" si="195"/>
        <v>0</v>
      </c>
      <c r="AG223" s="554">
        <f t="shared" si="195"/>
        <v>0</v>
      </c>
      <c r="AH223" s="554">
        <f t="shared" si="195"/>
        <v>0</v>
      </c>
      <c r="AI223" s="554">
        <f t="shared" si="195"/>
        <v>0</v>
      </c>
      <c r="AJ223" s="554">
        <f t="shared" si="195"/>
        <v>0</v>
      </c>
      <c r="AK223" s="554">
        <f t="shared" si="195"/>
        <v>0</v>
      </c>
      <c r="AL223" s="554">
        <f t="shared" si="195"/>
        <v>0</v>
      </c>
      <c r="AM223" s="554">
        <f t="shared" si="195"/>
        <v>0</v>
      </c>
      <c r="AN223" s="554">
        <f t="shared" si="195"/>
        <v>0</v>
      </c>
      <c r="AO223" s="554">
        <f t="shared" si="195"/>
        <v>0</v>
      </c>
      <c r="AP223" s="554">
        <f t="shared" si="195"/>
        <v>0</v>
      </c>
      <c r="AQ223" s="554">
        <f t="shared" si="195"/>
        <v>0</v>
      </c>
      <c r="AR223" s="554">
        <f t="shared" si="195"/>
        <v>0</v>
      </c>
      <c r="AS223" s="554">
        <f t="shared" si="195"/>
        <v>0</v>
      </c>
      <c r="AT223" s="554">
        <f t="shared" si="195"/>
        <v>0</v>
      </c>
      <c r="AU223" s="554">
        <f t="shared" si="195"/>
        <v>0</v>
      </c>
      <c r="AV223" s="554">
        <f t="shared" si="195"/>
        <v>0</v>
      </c>
      <c r="AW223" s="554">
        <f t="shared" si="195"/>
        <v>0</v>
      </c>
      <c r="AX223" s="554">
        <f t="shared" si="195"/>
        <v>0</v>
      </c>
      <c r="AY223" s="554">
        <f t="shared" si="195"/>
        <v>0</v>
      </c>
      <c r="AZ223" s="554">
        <f t="shared" si="195"/>
        <v>0</v>
      </c>
      <c r="BA223" s="554">
        <f t="shared" si="195"/>
        <v>0</v>
      </c>
      <c r="BB223" s="554">
        <f t="shared" si="195"/>
        <v>0</v>
      </c>
      <c r="BC223" s="554">
        <f t="shared" si="195"/>
        <v>0</v>
      </c>
      <c r="BD223" s="554">
        <f t="shared" si="195"/>
        <v>0</v>
      </c>
      <c r="BE223" s="554">
        <f t="shared" si="195"/>
        <v>0</v>
      </c>
      <c r="BF223" s="554">
        <f t="shared" si="195"/>
        <v>0</v>
      </c>
      <c r="BG223" s="554">
        <f t="shared" si="195"/>
        <v>0</v>
      </c>
      <c r="BH223" s="554">
        <f t="shared" si="195"/>
        <v>0</v>
      </c>
      <c r="BI223" s="554">
        <f t="shared" si="195"/>
        <v>0</v>
      </c>
      <c r="BJ223" s="554">
        <f t="shared" si="195"/>
        <v>0</v>
      </c>
      <c r="BK223" s="554">
        <f t="shared" si="195"/>
        <v>1530000000</v>
      </c>
      <c r="BL223" s="554">
        <f t="shared" si="195"/>
        <v>4000000</v>
      </c>
      <c r="BM223" s="554">
        <f t="shared" si="195"/>
        <v>0</v>
      </c>
      <c r="BN223" s="554">
        <f t="shared" si="195"/>
        <v>0</v>
      </c>
      <c r="BO223" s="554">
        <f t="shared" si="195"/>
        <v>0</v>
      </c>
      <c r="BP223" s="554">
        <f t="shared" si="195"/>
        <v>0</v>
      </c>
      <c r="BQ223" s="554">
        <f t="shared" si="195"/>
        <v>0</v>
      </c>
      <c r="BR223" s="554">
        <f t="shared" si="195"/>
        <v>0</v>
      </c>
      <c r="BS223" s="554">
        <f t="shared" si="195"/>
        <v>0</v>
      </c>
      <c r="BT223" s="554">
        <f t="shared" si="195"/>
        <v>0</v>
      </c>
      <c r="BU223" s="554">
        <f t="shared" si="195"/>
        <v>0</v>
      </c>
      <c r="BV223" s="554">
        <f t="shared" si="195"/>
        <v>0</v>
      </c>
      <c r="BW223" s="554">
        <f t="shared" si="195"/>
        <v>0</v>
      </c>
      <c r="BX223" s="554">
        <f t="shared" si="195"/>
        <v>0</v>
      </c>
      <c r="BY223" s="554">
        <f t="shared" si="195"/>
        <v>0</v>
      </c>
      <c r="BZ223" s="554">
        <f t="shared" ref="BZ223" si="196">BZ222+BZ218+BZ214</f>
        <v>4493763815</v>
      </c>
      <c r="CA223" s="554">
        <f t="shared" ref="CA223:CB223" si="197">CA222+CA218+CA214</f>
        <v>846860000</v>
      </c>
      <c r="CB223" s="554">
        <f t="shared" si="197"/>
        <v>87770000</v>
      </c>
    </row>
    <row r="224" spans="1:80" s="11" customFormat="1" ht="15.75" x14ac:dyDescent="0.2">
      <c r="A224" s="54"/>
      <c r="B224" s="91"/>
      <c r="C224" s="241"/>
      <c r="D224" s="242"/>
      <c r="E224" s="243"/>
      <c r="F224" s="243"/>
      <c r="G224" s="91"/>
      <c r="H224" s="92"/>
      <c r="I224" s="91"/>
      <c r="J224" s="244"/>
      <c r="K224" s="247"/>
      <c r="L224" s="247"/>
      <c r="M224" s="247"/>
      <c r="N224" s="244"/>
      <c r="O224" s="500"/>
      <c r="P224" s="91"/>
      <c r="Q224" s="92"/>
      <c r="R224" s="543"/>
      <c r="S224" s="543"/>
      <c r="T224" s="543"/>
      <c r="U224" s="544"/>
      <c r="V224" s="544"/>
      <c r="W224" s="544"/>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3"/>
      <c r="AY224" s="543"/>
      <c r="AZ224" s="543"/>
      <c r="BA224" s="543"/>
      <c r="BB224" s="543"/>
      <c r="BC224" s="543"/>
      <c r="BD224" s="543"/>
      <c r="BE224" s="543"/>
      <c r="BF224" s="543"/>
      <c r="BG224" s="543"/>
      <c r="BH224" s="543"/>
      <c r="BI224" s="543"/>
      <c r="BJ224" s="543"/>
      <c r="BK224" s="545"/>
      <c r="BL224" s="545"/>
      <c r="BM224" s="545"/>
      <c r="BN224" s="546"/>
      <c r="BO224" s="546"/>
      <c r="BP224" s="546"/>
      <c r="BQ224" s="543"/>
      <c r="BR224" s="543"/>
      <c r="BS224" s="543"/>
      <c r="BT224" s="543"/>
      <c r="BU224" s="543"/>
      <c r="BV224" s="543"/>
      <c r="BW224" s="544"/>
      <c r="BX224" s="544"/>
      <c r="BY224" s="544"/>
      <c r="BZ224" s="543"/>
      <c r="CA224" s="543"/>
      <c r="CB224" s="543"/>
    </row>
    <row r="225" spans="1:80" s="459" customFormat="1" ht="15.75" x14ac:dyDescent="0.2">
      <c r="A225" s="54"/>
      <c r="B225" s="152">
        <v>10</v>
      </c>
      <c r="C225" s="49" t="s">
        <v>286</v>
      </c>
      <c r="D225" s="50"/>
      <c r="E225" s="50"/>
      <c r="F225" s="50"/>
      <c r="G225" s="50"/>
      <c r="H225" s="51"/>
      <c r="I225" s="50"/>
      <c r="J225" s="50"/>
      <c r="K225" s="252"/>
      <c r="L225" s="252"/>
      <c r="M225" s="252"/>
      <c r="N225" s="50"/>
      <c r="O225" s="51"/>
      <c r="P225" s="50"/>
      <c r="Q225" s="50"/>
      <c r="R225" s="550"/>
      <c r="S225" s="550"/>
      <c r="T225" s="550"/>
      <c r="U225" s="550"/>
      <c r="V225" s="550"/>
      <c r="W225" s="550"/>
      <c r="X225" s="550"/>
      <c r="Y225" s="550"/>
      <c r="Z225" s="550"/>
      <c r="AA225" s="550"/>
      <c r="AB225" s="550"/>
      <c r="AC225" s="550"/>
      <c r="AD225" s="550"/>
      <c r="AE225" s="550"/>
      <c r="AF225" s="550"/>
      <c r="AG225" s="550"/>
      <c r="AH225" s="550"/>
      <c r="AI225" s="550"/>
      <c r="AJ225" s="550"/>
      <c r="AK225" s="550"/>
      <c r="AL225" s="550"/>
      <c r="AM225" s="550"/>
      <c r="AN225" s="550"/>
      <c r="AO225" s="550"/>
      <c r="AP225" s="550"/>
      <c r="AQ225" s="550"/>
      <c r="AR225" s="550"/>
      <c r="AS225" s="550"/>
      <c r="AT225" s="550"/>
      <c r="AU225" s="550"/>
      <c r="AV225" s="550"/>
      <c r="AW225" s="550"/>
      <c r="AX225" s="550"/>
      <c r="AY225" s="550"/>
      <c r="AZ225" s="550"/>
      <c r="BA225" s="550"/>
      <c r="BB225" s="550"/>
      <c r="BC225" s="550"/>
      <c r="BD225" s="550"/>
      <c r="BE225" s="550"/>
      <c r="BF225" s="550"/>
      <c r="BG225" s="550"/>
      <c r="BH225" s="550"/>
      <c r="BI225" s="550"/>
      <c r="BJ225" s="550"/>
      <c r="BK225" s="551"/>
      <c r="BL225" s="551"/>
      <c r="BM225" s="551"/>
      <c r="BN225" s="550"/>
      <c r="BO225" s="550"/>
      <c r="BP225" s="550"/>
      <c r="BQ225" s="550"/>
      <c r="BR225" s="550"/>
      <c r="BS225" s="550"/>
      <c r="BT225" s="550"/>
      <c r="BU225" s="550"/>
      <c r="BV225" s="550"/>
      <c r="BW225" s="550"/>
      <c r="BX225" s="550"/>
      <c r="BY225" s="550"/>
      <c r="BZ225" s="555"/>
      <c r="CA225" s="555"/>
      <c r="CB225" s="555"/>
    </row>
    <row r="226" spans="1:80" s="459" customFormat="1" ht="15.75" x14ac:dyDescent="0.2">
      <c r="A226" s="54"/>
      <c r="B226" s="194"/>
      <c r="C226" s="36"/>
      <c r="D226" s="688"/>
      <c r="E226" s="688"/>
      <c r="F226" s="688"/>
      <c r="G226" s="254">
        <v>32</v>
      </c>
      <c r="H226" s="129" t="s">
        <v>287</v>
      </c>
      <c r="I226" s="129"/>
      <c r="J226" s="129"/>
      <c r="K226" s="255"/>
      <c r="L226" s="255"/>
      <c r="M226" s="255"/>
      <c r="N226" s="129"/>
      <c r="O226" s="502"/>
      <c r="P226" s="129"/>
      <c r="Q226" s="129"/>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6"/>
      <c r="AY226" s="556"/>
      <c r="AZ226" s="556"/>
      <c r="BA226" s="556"/>
      <c r="BB226" s="556"/>
      <c r="BC226" s="556"/>
      <c r="BD226" s="556"/>
      <c r="BE226" s="556"/>
      <c r="BF226" s="556"/>
      <c r="BG226" s="556"/>
      <c r="BH226" s="556"/>
      <c r="BI226" s="556"/>
      <c r="BJ226" s="556"/>
      <c r="BK226" s="557"/>
      <c r="BL226" s="557"/>
      <c r="BM226" s="557"/>
      <c r="BN226" s="556"/>
      <c r="BO226" s="556"/>
      <c r="BP226" s="556"/>
      <c r="BQ226" s="556"/>
      <c r="BR226" s="556"/>
      <c r="BS226" s="556"/>
      <c r="BT226" s="556"/>
      <c r="BU226" s="556"/>
      <c r="BV226" s="556"/>
      <c r="BW226" s="556"/>
      <c r="BX226" s="556"/>
      <c r="BY226" s="556"/>
      <c r="BZ226" s="558"/>
      <c r="CA226" s="558"/>
      <c r="CB226" s="558"/>
    </row>
    <row r="227" spans="1:80" s="11" customFormat="1" ht="99" customHeight="1" x14ac:dyDescent="0.2">
      <c r="A227" s="54"/>
      <c r="B227" s="256"/>
      <c r="C227" s="509" t="s">
        <v>288</v>
      </c>
      <c r="D227" s="529" t="s">
        <v>289</v>
      </c>
      <c r="E227" s="536" t="s">
        <v>924</v>
      </c>
      <c r="F227" s="509" t="s">
        <v>923</v>
      </c>
      <c r="G227" s="56"/>
      <c r="H227" s="57">
        <v>119</v>
      </c>
      <c r="I227" s="56" t="s">
        <v>290</v>
      </c>
      <c r="J227" s="65">
        <v>10</v>
      </c>
      <c r="K227" s="237">
        <v>9</v>
      </c>
      <c r="L227" s="237">
        <v>1</v>
      </c>
      <c r="M227" s="61">
        <v>2017003630009</v>
      </c>
      <c r="N227" s="65" t="s">
        <v>265</v>
      </c>
      <c r="O227" s="498" t="s">
        <v>291</v>
      </c>
      <c r="P227" s="56" t="s">
        <v>292</v>
      </c>
      <c r="Q227" s="57" t="s">
        <v>67</v>
      </c>
      <c r="R227" s="539">
        <v>0</v>
      </c>
      <c r="S227" s="539"/>
      <c r="T227" s="539"/>
      <c r="U227" s="539">
        <v>0</v>
      </c>
      <c r="V227" s="539"/>
      <c r="W227" s="539"/>
      <c r="X227" s="539">
        <v>0</v>
      </c>
      <c r="Y227" s="539"/>
      <c r="Z227" s="539"/>
      <c r="AA227" s="539">
        <v>0</v>
      </c>
      <c r="AB227" s="539"/>
      <c r="AC227" s="539"/>
      <c r="AD227" s="539">
        <v>0</v>
      </c>
      <c r="AE227" s="539"/>
      <c r="AF227" s="539"/>
      <c r="AG227" s="539">
        <v>0</v>
      </c>
      <c r="AH227" s="539"/>
      <c r="AI227" s="539"/>
      <c r="AJ227" s="539">
        <v>0</v>
      </c>
      <c r="AK227" s="539"/>
      <c r="AL227" s="539"/>
      <c r="AM227" s="539"/>
      <c r="AN227" s="539"/>
      <c r="AO227" s="539"/>
      <c r="AP227" s="539"/>
      <c r="AQ227" s="539"/>
      <c r="AR227" s="539"/>
      <c r="AS227" s="539">
        <v>0</v>
      </c>
      <c r="AT227" s="539"/>
      <c r="AU227" s="539"/>
      <c r="AV227" s="539">
        <v>0</v>
      </c>
      <c r="AW227" s="539"/>
      <c r="AX227" s="539"/>
      <c r="AY227" s="539">
        <v>0</v>
      </c>
      <c r="AZ227" s="539"/>
      <c r="BA227" s="539"/>
      <c r="BB227" s="539">
        <v>0</v>
      </c>
      <c r="BC227" s="539"/>
      <c r="BD227" s="539"/>
      <c r="BE227" s="539">
        <v>0</v>
      </c>
      <c r="BF227" s="539"/>
      <c r="BG227" s="539"/>
      <c r="BH227" s="539">
        <v>0</v>
      </c>
      <c r="BI227" s="539"/>
      <c r="BJ227" s="539"/>
      <c r="BK227" s="540">
        <f>139000000+11000000</f>
        <v>150000000</v>
      </c>
      <c r="BL227" s="540">
        <v>44752000</v>
      </c>
      <c r="BM227" s="540">
        <v>13953600</v>
      </c>
      <c r="BN227" s="553"/>
      <c r="BO227" s="553"/>
      <c r="BP227" s="553"/>
      <c r="BQ227" s="539">
        <f>244500000+156456761</f>
        <v>400956761</v>
      </c>
      <c r="BR227" s="541"/>
      <c r="BS227" s="541"/>
      <c r="BT227" s="541"/>
      <c r="BU227" s="541"/>
      <c r="BV227" s="541"/>
      <c r="BW227" s="569">
        <v>0</v>
      </c>
      <c r="BX227" s="569"/>
      <c r="BY227" s="569"/>
      <c r="BZ227" s="539">
        <f>R227+U227+X227+AA227+AD227+AG227+AJ227+AM227+AP227+AS227+AV227+AY227+BB227+BE227+BH227+BK227+BN227+BQ227+BT227+BW227</f>
        <v>550956761</v>
      </c>
      <c r="CA227" s="539">
        <f t="shared" ref="CA227" si="198">S227+V227+Y227+AB227+AE227+AH227+AK227+AN227+AQ227+AT227+AW227+AZ227+BC227+BF227+BI227+BL227+BO227+BR227+BU227+BX227</f>
        <v>44752000</v>
      </c>
      <c r="CB227" s="539">
        <f t="shared" ref="CB227" si="199">T227+W227+Z227+AC227+AF227+AI227+AL227+AO227+AR227+AU227+AX227+BA227+BD227+BG227+BJ227+BM227+BP227+BS227+BV227+BY227</f>
        <v>13953600</v>
      </c>
    </row>
    <row r="228" spans="1:80" s="2" customFormat="1" ht="20.25" x14ac:dyDescent="0.25">
      <c r="A228" s="54"/>
      <c r="B228" s="256"/>
      <c r="C228" s="510"/>
      <c r="D228" s="518"/>
      <c r="E228" s="510"/>
      <c r="F228" s="510"/>
      <c r="G228" s="77"/>
      <c r="H228" s="78"/>
      <c r="I228" s="77"/>
      <c r="J228" s="239"/>
      <c r="K228" s="246"/>
      <c r="L228" s="246"/>
      <c r="M228" s="246"/>
      <c r="N228" s="239"/>
      <c r="O228" s="78"/>
      <c r="P228" s="77"/>
      <c r="Q228" s="78"/>
      <c r="R228" s="548">
        <f t="shared" ref="R228:BY228" si="200">SUM(R227)</f>
        <v>0</v>
      </c>
      <c r="S228" s="548">
        <f t="shared" si="200"/>
        <v>0</v>
      </c>
      <c r="T228" s="548">
        <f t="shared" si="200"/>
        <v>0</v>
      </c>
      <c r="U228" s="548">
        <f t="shared" si="200"/>
        <v>0</v>
      </c>
      <c r="V228" s="548">
        <f t="shared" si="200"/>
        <v>0</v>
      </c>
      <c r="W228" s="548">
        <f t="shared" si="200"/>
        <v>0</v>
      </c>
      <c r="X228" s="548">
        <f t="shared" si="200"/>
        <v>0</v>
      </c>
      <c r="Y228" s="548">
        <f t="shared" si="200"/>
        <v>0</v>
      </c>
      <c r="Z228" s="548">
        <f t="shared" si="200"/>
        <v>0</v>
      </c>
      <c r="AA228" s="548">
        <f t="shared" si="200"/>
        <v>0</v>
      </c>
      <c r="AB228" s="548">
        <f t="shared" si="200"/>
        <v>0</v>
      </c>
      <c r="AC228" s="548">
        <f t="shared" si="200"/>
        <v>0</v>
      </c>
      <c r="AD228" s="548">
        <f t="shared" si="200"/>
        <v>0</v>
      </c>
      <c r="AE228" s="548">
        <f t="shared" si="200"/>
        <v>0</v>
      </c>
      <c r="AF228" s="548">
        <f t="shared" si="200"/>
        <v>0</v>
      </c>
      <c r="AG228" s="548">
        <f t="shared" si="200"/>
        <v>0</v>
      </c>
      <c r="AH228" s="548">
        <f t="shared" si="200"/>
        <v>0</v>
      </c>
      <c r="AI228" s="548">
        <f t="shared" si="200"/>
        <v>0</v>
      </c>
      <c r="AJ228" s="548">
        <f t="shared" si="200"/>
        <v>0</v>
      </c>
      <c r="AK228" s="548">
        <f t="shared" si="200"/>
        <v>0</v>
      </c>
      <c r="AL228" s="548">
        <f t="shared" si="200"/>
        <v>0</v>
      </c>
      <c r="AM228" s="548">
        <f t="shared" si="200"/>
        <v>0</v>
      </c>
      <c r="AN228" s="548">
        <f t="shared" si="200"/>
        <v>0</v>
      </c>
      <c r="AO228" s="548">
        <f t="shared" si="200"/>
        <v>0</v>
      </c>
      <c r="AP228" s="548">
        <f t="shared" si="200"/>
        <v>0</v>
      </c>
      <c r="AQ228" s="548">
        <f t="shared" si="200"/>
        <v>0</v>
      </c>
      <c r="AR228" s="548">
        <f t="shared" si="200"/>
        <v>0</v>
      </c>
      <c r="AS228" s="548">
        <f t="shared" si="200"/>
        <v>0</v>
      </c>
      <c r="AT228" s="548">
        <f t="shared" si="200"/>
        <v>0</v>
      </c>
      <c r="AU228" s="548">
        <f t="shared" si="200"/>
        <v>0</v>
      </c>
      <c r="AV228" s="548">
        <f t="shared" si="200"/>
        <v>0</v>
      </c>
      <c r="AW228" s="548">
        <f t="shared" si="200"/>
        <v>0</v>
      </c>
      <c r="AX228" s="548">
        <f t="shared" si="200"/>
        <v>0</v>
      </c>
      <c r="AY228" s="548">
        <f t="shared" si="200"/>
        <v>0</v>
      </c>
      <c r="AZ228" s="548">
        <f t="shared" si="200"/>
        <v>0</v>
      </c>
      <c r="BA228" s="548">
        <f t="shared" si="200"/>
        <v>0</v>
      </c>
      <c r="BB228" s="548">
        <f t="shared" si="200"/>
        <v>0</v>
      </c>
      <c r="BC228" s="548">
        <f t="shared" si="200"/>
        <v>0</v>
      </c>
      <c r="BD228" s="548">
        <f t="shared" si="200"/>
        <v>0</v>
      </c>
      <c r="BE228" s="548">
        <f t="shared" si="200"/>
        <v>0</v>
      </c>
      <c r="BF228" s="548">
        <f t="shared" si="200"/>
        <v>0</v>
      </c>
      <c r="BG228" s="548">
        <f t="shared" si="200"/>
        <v>0</v>
      </c>
      <c r="BH228" s="548">
        <f t="shared" si="200"/>
        <v>0</v>
      </c>
      <c r="BI228" s="548">
        <f t="shared" si="200"/>
        <v>0</v>
      </c>
      <c r="BJ228" s="548">
        <f t="shared" si="200"/>
        <v>0</v>
      </c>
      <c r="BK228" s="548">
        <f t="shared" si="200"/>
        <v>150000000</v>
      </c>
      <c r="BL228" s="548">
        <f t="shared" si="200"/>
        <v>44752000</v>
      </c>
      <c r="BM228" s="548">
        <f t="shared" si="200"/>
        <v>13953600</v>
      </c>
      <c r="BN228" s="548">
        <f t="shared" si="200"/>
        <v>0</v>
      </c>
      <c r="BO228" s="548">
        <f t="shared" si="200"/>
        <v>0</v>
      </c>
      <c r="BP228" s="548">
        <f t="shared" si="200"/>
        <v>0</v>
      </c>
      <c r="BQ228" s="548">
        <f t="shared" si="200"/>
        <v>400956761</v>
      </c>
      <c r="BR228" s="548">
        <f t="shared" si="200"/>
        <v>0</v>
      </c>
      <c r="BS228" s="548">
        <f t="shared" si="200"/>
        <v>0</v>
      </c>
      <c r="BT228" s="548">
        <f t="shared" si="200"/>
        <v>0</v>
      </c>
      <c r="BU228" s="548">
        <f t="shared" si="200"/>
        <v>0</v>
      </c>
      <c r="BV228" s="548">
        <f t="shared" si="200"/>
        <v>0</v>
      </c>
      <c r="BW228" s="548">
        <f t="shared" si="200"/>
        <v>0</v>
      </c>
      <c r="BX228" s="548">
        <f t="shared" si="200"/>
        <v>0</v>
      </c>
      <c r="BY228" s="548">
        <f t="shared" si="200"/>
        <v>0</v>
      </c>
      <c r="BZ228" s="548">
        <f>SUM(BZ227)</f>
        <v>550956761</v>
      </c>
      <c r="CA228" s="548">
        <f t="shared" ref="CA228:CB228" si="201">SUM(CA227)</f>
        <v>44752000</v>
      </c>
      <c r="CB228" s="548">
        <f t="shared" si="201"/>
        <v>13953600</v>
      </c>
    </row>
    <row r="229" spans="1:80" s="2" customFormat="1" ht="20.25" x14ac:dyDescent="0.25">
      <c r="A229" s="54"/>
      <c r="B229" s="256"/>
      <c r="C229" s="241"/>
      <c r="D229" s="242"/>
      <c r="E229" s="243"/>
      <c r="F229" s="243"/>
      <c r="G229" s="91"/>
      <c r="H229" s="92"/>
      <c r="I229" s="91"/>
      <c r="J229" s="244"/>
      <c r="K229" s="247"/>
      <c r="L229" s="257"/>
      <c r="M229" s="257"/>
      <c r="N229" s="258"/>
      <c r="O229" s="499"/>
      <c r="P229" s="124"/>
      <c r="Q229" s="92"/>
      <c r="R229" s="543"/>
      <c r="S229" s="543"/>
      <c r="T229" s="543"/>
      <c r="U229" s="544"/>
      <c r="V229" s="544"/>
      <c r="W229" s="544"/>
      <c r="X229" s="543"/>
      <c r="Y229" s="543"/>
      <c r="Z229" s="543"/>
      <c r="AA229" s="543"/>
      <c r="AB229" s="543"/>
      <c r="AC229" s="543"/>
      <c r="AD229" s="543"/>
      <c r="AE229" s="543"/>
      <c r="AF229" s="543"/>
      <c r="AG229" s="543"/>
      <c r="AH229" s="543"/>
      <c r="AI229" s="543"/>
      <c r="AJ229" s="543"/>
      <c r="AK229" s="543"/>
      <c r="AL229" s="543"/>
      <c r="AM229" s="543"/>
      <c r="AN229" s="543"/>
      <c r="AO229" s="543"/>
      <c r="AP229" s="543"/>
      <c r="AQ229" s="543"/>
      <c r="AR229" s="543"/>
      <c r="AS229" s="543"/>
      <c r="AT229" s="543"/>
      <c r="AU229" s="543"/>
      <c r="AV229" s="543"/>
      <c r="AW229" s="543"/>
      <c r="AX229" s="543"/>
      <c r="AY229" s="543"/>
      <c r="AZ229" s="543"/>
      <c r="BA229" s="543"/>
      <c r="BB229" s="543"/>
      <c r="BC229" s="543"/>
      <c r="BD229" s="543"/>
      <c r="BE229" s="543"/>
      <c r="BF229" s="543"/>
      <c r="BG229" s="543"/>
      <c r="BH229" s="543"/>
      <c r="BI229" s="543"/>
      <c r="BJ229" s="543"/>
      <c r="BK229" s="545"/>
      <c r="BL229" s="545"/>
      <c r="BM229" s="545"/>
      <c r="BN229" s="546"/>
      <c r="BO229" s="546"/>
      <c r="BP229" s="546"/>
      <c r="BQ229" s="543"/>
      <c r="BR229" s="543"/>
      <c r="BS229" s="543"/>
      <c r="BT229" s="543"/>
      <c r="BU229" s="543"/>
      <c r="BV229" s="543"/>
      <c r="BW229" s="544"/>
      <c r="BX229" s="544"/>
      <c r="BY229" s="544"/>
      <c r="BZ229" s="543"/>
      <c r="CA229" s="543"/>
      <c r="CB229" s="543"/>
    </row>
    <row r="230" spans="1:80" s="2" customFormat="1" ht="20.25" x14ac:dyDescent="0.25">
      <c r="A230" s="54"/>
      <c r="B230" s="256"/>
      <c r="C230" s="508"/>
      <c r="D230" s="516"/>
      <c r="E230" s="508"/>
      <c r="F230" s="508"/>
      <c r="G230" s="98">
        <v>33</v>
      </c>
      <c r="H230" s="100" t="s">
        <v>293</v>
      </c>
      <c r="I230" s="100"/>
      <c r="J230" s="100"/>
      <c r="K230" s="186"/>
      <c r="L230" s="186"/>
      <c r="M230" s="186"/>
      <c r="N230" s="100"/>
      <c r="O230" s="212"/>
      <c r="P230" s="100"/>
      <c r="Q230" s="100"/>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6"/>
      <c r="AY230" s="336"/>
      <c r="AZ230" s="336"/>
      <c r="BA230" s="336"/>
      <c r="BB230" s="336"/>
      <c r="BC230" s="336"/>
      <c r="BD230" s="336"/>
      <c r="BE230" s="336"/>
      <c r="BF230" s="336"/>
      <c r="BG230" s="336"/>
      <c r="BH230" s="336"/>
      <c r="BI230" s="336"/>
      <c r="BJ230" s="336"/>
      <c r="BK230" s="552"/>
      <c r="BL230" s="552"/>
      <c r="BM230" s="552"/>
      <c r="BN230" s="336"/>
      <c r="BO230" s="336"/>
      <c r="BP230" s="336"/>
      <c r="BQ230" s="336"/>
      <c r="BR230" s="336"/>
      <c r="BS230" s="336"/>
      <c r="BT230" s="336"/>
      <c r="BU230" s="336"/>
      <c r="BV230" s="336"/>
      <c r="BW230" s="336"/>
      <c r="BX230" s="336"/>
      <c r="BY230" s="336"/>
      <c r="BZ230" s="338"/>
      <c r="CA230" s="338"/>
      <c r="CB230" s="338"/>
    </row>
    <row r="231" spans="1:80" s="11" customFormat="1" ht="64.5" customHeight="1" x14ac:dyDescent="0.2">
      <c r="A231" s="54"/>
      <c r="B231" s="256"/>
      <c r="C231" s="857" t="s">
        <v>294</v>
      </c>
      <c r="D231" s="887" t="s">
        <v>295</v>
      </c>
      <c r="E231" s="889" t="s">
        <v>296</v>
      </c>
      <c r="F231" s="857" t="s">
        <v>297</v>
      </c>
      <c r="G231" s="58"/>
      <c r="H231" s="57">
        <v>120</v>
      </c>
      <c r="I231" s="56" t="s">
        <v>298</v>
      </c>
      <c r="J231" s="65">
        <v>0</v>
      </c>
      <c r="K231" s="237">
        <v>3</v>
      </c>
      <c r="L231" s="237">
        <v>0</v>
      </c>
      <c r="M231" s="850">
        <v>2017003630008</v>
      </c>
      <c r="N231" s="856" t="s">
        <v>265</v>
      </c>
      <c r="O231" s="856" t="s">
        <v>299</v>
      </c>
      <c r="P231" s="853" t="s">
        <v>884</v>
      </c>
      <c r="Q231" s="57" t="s">
        <v>67</v>
      </c>
      <c r="R231" s="539">
        <v>0</v>
      </c>
      <c r="S231" s="539"/>
      <c r="T231" s="539"/>
      <c r="U231" s="539">
        <v>0</v>
      </c>
      <c r="V231" s="539"/>
      <c r="W231" s="539"/>
      <c r="X231" s="539">
        <v>0</v>
      </c>
      <c r="Y231" s="539"/>
      <c r="Z231" s="539"/>
      <c r="AA231" s="539">
        <v>0</v>
      </c>
      <c r="AB231" s="539"/>
      <c r="AC231" s="539"/>
      <c r="AD231" s="539">
        <v>0</v>
      </c>
      <c r="AE231" s="539"/>
      <c r="AF231" s="539"/>
      <c r="AG231" s="539">
        <v>0</v>
      </c>
      <c r="AH231" s="539"/>
      <c r="AI231" s="539"/>
      <c r="AJ231" s="539">
        <v>0</v>
      </c>
      <c r="AK231" s="539"/>
      <c r="AL231" s="539"/>
      <c r="AM231" s="539"/>
      <c r="AN231" s="539"/>
      <c r="AO231" s="539"/>
      <c r="AP231" s="539"/>
      <c r="AQ231" s="539"/>
      <c r="AR231" s="539"/>
      <c r="AS231" s="539">
        <v>0</v>
      </c>
      <c r="AT231" s="539"/>
      <c r="AU231" s="539"/>
      <c r="AV231" s="539">
        <v>0</v>
      </c>
      <c r="AW231" s="539"/>
      <c r="AX231" s="539"/>
      <c r="AY231" s="539"/>
      <c r="AZ231" s="539"/>
      <c r="BA231" s="539"/>
      <c r="BB231" s="539"/>
      <c r="BC231" s="539"/>
      <c r="BD231" s="539"/>
      <c r="BE231" s="539">
        <v>0</v>
      </c>
      <c r="BF231" s="539"/>
      <c r="BG231" s="539"/>
      <c r="BH231" s="539">
        <v>0</v>
      </c>
      <c r="BI231" s="539"/>
      <c r="BJ231" s="539"/>
      <c r="BK231" s="540">
        <f>40000000-15770000+450000000</f>
        <v>474230000</v>
      </c>
      <c r="BL231" s="540"/>
      <c r="BM231" s="540"/>
      <c r="BN231" s="540"/>
      <c r="BO231" s="540"/>
      <c r="BP231" s="540"/>
      <c r="BQ231" s="539">
        <v>0</v>
      </c>
      <c r="BR231" s="541"/>
      <c r="BS231" s="541"/>
      <c r="BT231" s="541"/>
      <c r="BU231" s="541"/>
      <c r="BV231" s="541"/>
      <c r="BW231" s="541">
        <v>0</v>
      </c>
      <c r="BX231" s="541"/>
      <c r="BY231" s="541"/>
      <c r="BZ231" s="539">
        <f t="shared" ref="BZ231:BZ232" si="202">R231+U231+X231+AA231+AD231+AG231+AJ231+AM231+AP231+AS231+AV231+AY231+BB231+BE231+BH231+BK231+BN231+BQ231+BT231+BW231</f>
        <v>474230000</v>
      </c>
      <c r="CA231" s="539">
        <f t="shared" ref="CA231:CA232" si="203">S231+V231+Y231+AB231+AE231+AH231+AK231+AN231+AQ231+AT231+AW231+AZ231+BC231+BF231+BI231+BL231+BO231+BR231+BU231+BX231</f>
        <v>0</v>
      </c>
      <c r="CB231" s="539">
        <f t="shared" ref="CB231:CB232" si="204">T231+W231+Z231+AC231+AF231+AI231+AL231+AO231+AR231+AU231+AX231+BA231+BD231+BG231+BJ231+BM231+BP231+BS231+BV231+BY231</f>
        <v>0</v>
      </c>
    </row>
    <row r="232" spans="1:80" s="11" customFormat="1" ht="66.75" customHeight="1" x14ac:dyDescent="0.2">
      <c r="A232" s="54"/>
      <c r="B232" s="256"/>
      <c r="C232" s="857"/>
      <c r="D232" s="887"/>
      <c r="E232" s="889"/>
      <c r="F232" s="857"/>
      <c r="G232" s="139"/>
      <c r="H232" s="57">
        <v>121</v>
      </c>
      <c r="I232" s="56" t="s">
        <v>300</v>
      </c>
      <c r="J232" s="65">
        <v>9</v>
      </c>
      <c r="K232" s="237">
        <v>4</v>
      </c>
      <c r="L232" s="238">
        <v>1</v>
      </c>
      <c r="M232" s="852"/>
      <c r="N232" s="858"/>
      <c r="O232" s="858"/>
      <c r="P232" s="855"/>
      <c r="Q232" s="57" t="s">
        <v>67</v>
      </c>
      <c r="R232" s="539">
        <v>0</v>
      </c>
      <c r="S232" s="539"/>
      <c r="T232" s="539"/>
      <c r="U232" s="539">
        <v>0</v>
      </c>
      <c r="V232" s="539"/>
      <c r="W232" s="539"/>
      <c r="X232" s="539">
        <v>0</v>
      </c>
      <c r="Y232" s="539"/>
      <c r="Z232" s="539"/>
      <c r="AA232" s="539">
        <v>0</v>
      </c>
      <c r="AB232" s="539"/>
      <c r="AC232" s="539"/>
      <c r="AD232" s="539">
        <v>0</v>
      </c>
      <c r="AE232" s="539"/>
      <c r="AF232" s="539"/>
      <c r="AG232" s="539">
        <v>0</v>
      </c>
      <c r="AH232" s="539"/>
      <c r="AI232" s="539"/>
      <c r="AJ232" s="539">
        <v>0</v>
      </c>
      <c r="AK232" s="539"/>
      <c r="AL232" s="539"/>
      <c r="AM232" s="539"/>
      <c r="AN232" s="539"/>
      <c r="AO232" s="539"/>
      <c r="AP232" s="539"/>
      <c r="AQ232" s="539"/>
      <c r="AR232" s="539"/>
      <c r="AS232" s="539">
        <v>0</v>
      </c>
      <c r="AT232" s="539"/>
      <c r="AU232" s="539"/>
      <c r="AV232" s="539">
        <v>0</v>
      </c>
      <c r="AW232" s="539"/>
      <c r="AX232" s="539"/>
      <c r="AY232" s="539"/>
      <c r="AZ232" s="539"/>
      <c r="BA232" s="539"/>
      <c r="BB232" s="539"/>
      <c r="BC232" s="539"/>
      <c r="BD232" s="539"/>
      <c r="BE232" s="539">
        <v>0</v>
      </c>
      <c r="BF232" s="539"/>
      <c r="BG232" s="539"/>
      <c r="BH232" s="539">
        <v>0</v>
      </c>
      <c r="BI232" s="539"/>
      <c r="BJ232" s="539"/>
      <c r="BK232" s="540">
        <f>40000000+15770000+20000000</f>
        <v>75770000</v>
      </c>
      <c r="BL232" s="540">
        <v>30420000</v>
      </c>
      <c r="BM232" s="540">
        <v>10140000</v>
      </c>
      <c r="BN232" s="540"/>
      <c r="BO232" s="540"/>
      <c r="BP232" s="540"/>
      <c r="BQ232" s="539">
        <v>0</v>
      </c>
      <c r="BR232" s="541"/>
      <c r="BS232" s="541"/>
      <c r="BT232" s="541"/>
      <c r="BU232" s="541"/>
      <c r="BV232" s="541"/>
      <c r="BW232" s="541">
        <v>0</v>
      </c>
      <c r="BX232" s="541"/>
      <c r="BY232" s="541"/>
      <c r="BZ232" s="539">
        <f t="shared" si="202"/>
        <v>75770000</v>
      </c>
      <c r="CA232" s="539">
        <f t="shared" si="203"/>
        <v>30420000</v>
      </c>
      <c r="CB232" s="539">
        <f t="shared" si="204"/>
        <v>10140000</v>
      </c>
    </row>
    <row r="233" spans="1:80" s="459" customFormat="1" ht="15.75" x14ac:dyDescent="0.2">
      <c r="A233" s="54"/>
      <c r="B233" s="260"/>
      <c r="C233" s="510"/>
      <c r="D233" s="518"/>
      <c r="E233" s="510"/>
      <c r="F233" s="510"/>
      <c r="G233" s="77"/>
      <c r="H233" s="78"/>
      <c r="I233" s="77"/>
      <c r="J233" s="239"/>
      <c r="K233" s="240"/>
      <c r="L233" s="240"/>
      <c r="M233" s="240"/>
      <c r="N233" s="78"/>
      <c r="O233" s="78"/>
      <c r="P233" s="77"/>
      <c r="Q233" s="78"/>
      <c r="R233" s="548">
        <f t="shared" ref="R233:BY233" si="205">SUM(R231:R232)</f>
        <v>0</v>
      </c>
      <c r="S233" s="548">
        <f t="shared" si="205"/>
        <v>0</v>
      </c>
      <c r="T233" s="548">
        <f t="shared" si="205"/>
        <v>0</v>
      </c>
      <c r="U233" s="548">
        <f t="shared" si="205"/>
        <v>0</v>
      </c>
      <c r="V233" s="548">
        <f t="shared" si="205"/>
        <v>0</v>
      </c>
      <c r="W233" s="548">
        <f t="shared" si="205"/>
        <v>0</v>
      </c>
      <c r="X233" s="548">
        <f t="shared" si="205"/>
        <v>0</v>
      </c>
      <c r="Y233" s="548">
        <f t="shared" si="205"/>
        <v>0</v>
      </c>
      <c r="Z233" s="548">
        <f t="shared" si="205"/>
        <v>0</v>
      </c>
      <c r="AA233" s="548">
        <f t="shared" si="205"/>
        <v>0</v>
      </c>
      <c r="AB233" s="548">
        <f t="shared" si="205"/>
        <v>0</v>
      </c>
      <c r="AC233" s="548">
        <f t="shared" si="205"/>
        <v>0</v>
      </c>
      <c r="AD233" s="548">
        <f t="shared" si="205"/>
        <v>0</v>
      </c>
      <c r="AE233" s="548">
        <f t="shared" si="205"/>
        <v>0</v>
      </c>
      <c r="AF233" s="548">
        <f t="shared" si="205"/>
        <v>0</v>
      </c>
      <c r="AG233" s="548">
        <f t="shared" si="205"/>
        <v>0</v>
      </c>
      <c r="AH233" s="548">
        <f t="shared" si="205"/>
        <v>0</v>
      </c>
      <c r="AI233" s="548">
        <f t="shared" si="205"/>
        <v>0</v>
      </c>
      <c r="AJ233" s="548">
        <f t="shared" si="205"/>
        <v>0</v>
      </c>
      <c r="AK233" s="548">
        <f t="shared" si="205"/>
        <v>0</v>
      </c>
      <c r="AL233" s="548">
        <f t="shared" si="205"/>
        <v>0</v>
      </c>
      <c r="AM233" s="548">
        <f t="shared" si="205"/>
        <v>0</v>
      </c>
      <c r="AN233" s="548">
        <f t="shared" si="205"/>
        <v>0</v>
      </c>
      <c r="AO233" s="548">
        <f t="shared" si="205"/>
        <v>0</v>
      </c>
      <c r="AP233" s="548">
        <f t="shared" si="205"/>
        <v>0</v>
      </c>
      <c r="AQ233" s="548">
        <f t="shared" si="205"/>
        <v>0</v>
      </c>
      <c r="AR233" s="548">
        <f t="shared" si="205"/>
        <v>0</v>
      </c>
      <c r="AS233" s="548">
        <f t="shared" si="205"/>
        <v>0</v>
      </c>
      <c r="AT233" s="548">
        <f t="shared" si="205"/>
        <v>0</v>
      </c>
      <c r="AU233" s="548">
        <f t="shared" si="205"/>
        <v>0</v>
      </c>
      <c r="AV233" s="548">
        <f t="shared" si="205"/>
        <v>0</v>
      </c>
      <c r="AW233" s="548">
        <f t="shared" si="205"/>
        <v>0</v>
      </c>
      <c r="AX233" s="548">
        <f t="shared" si="205"/>
        <v>0</v>
      </c>
      <c r="AY233" s="548">
        <f t="shared" si="205"/>
        <v>0</v>
      </c>
      <c r="AZ233" s="548">
        <f t="shared" si="205"/>
        <v>0</v>
      </c>
      <c r="BA233" s="548">
        <f t="shared" si="205"/>
        <v>0</v>
      </c>
      <c r="BB233" s="548">
        <f t="shared" si="205"/>
        <v>0</v>
      </c>
      <c r="BC233" s="548">
        <f t="shared" si="205"/>
        <v>0</v>
      </c>
      <c r="BD233" s="548">
        <f t="shared" si="205"/>
        <v>0</v>
      </c>
      <c r="BE233" s="548">
        <f t="shared" si="205"/>
        <v>0</v>
      </c>
      <c r="BF233" s="548">
        <f t="shared" si="205"/>
        <v>0</v>
      </c>
      <c r="BG233" s="548">
        <f t="shared" si="205"/>
        <v>0</v>
      </c>
      <c r="BH233" s="548">
        <f t="shared" si="205"/>
        <v>0</v>
      </c>
      <c r="BI233" s="548">
        <f t="shared" si="205"/>
        <v>0</v>
      </c>
      <c r="BJ233" s="548">
        <f t="shared" si="205"/>
        <v>0</v>
      </c>
      <c r="BK233" s="548">
        <f t="shared" si="205"/>
        <v>550000000</v>
      </c>
      <c r="BL233" s="548">
        <f t="shared" si="205"/>
        <v>30420000</v>
      </c>
      <c r="BM233" s="548">
        <f t="shared" si="205"/>
        <v>10140000</v>
      </c>
      <c r="BN233" s="548">
        <f t="shared" si="205"/>
        <v>0</v>
      </c>
      <c r="BO233" s="548">
        <f t="shared" si="205"/>
        <v>0</v>
      </c>
      <c r="BP233" s="548">
        <f t="shared" si="205"/>
        <v>0</v>
      </c>
      <c r="BQ233" s="548">
        <f t="shared" si="205"/>
        <v>0</v>
      </c>
      <c r="BR233" s="548">
        <f t="shared" si="205"/>
        <v>0</v>
      </c>
      <c r="BS233" s="548">
        <f t="shared" si="205"/>
        <v>0</v>
      </c>
      <c r="BT233" s="548">
        <f t="shared" si="205"/>
        <v>0</v>
      </c>
      <c r="BU233" s="548">
        <f t="shared" si="205"/>
        <v>0</v>
      </c>
      <c r="BV233" s="548">
        <f t="shared" si="205"/>
        <v>0</v>
      </c>
      <c r="BW233" s="548">
        <f t="shared" si="205"/>
        <v>0</v>
      </c>
      <c r="BX233" s="548">
        <f t="shared" si="205"/>
        <v>0</v>
      </c>
      <c r="BY233" s="548">
        <f t="shared" si="205"/>
        <v>0</v>
      </c>
      <c r="BZ233" s="548">
        <f t="shared" ref="BZ233" si="206">SUM(BZ231:BZ232)</f>
        <v>550000000</v>
      </c>
      <c r="CA233" s="548">
        <f t="shared" ref="CA233:CB233" si="207">SUM(CA231:CA232)</f>
        <v>30420000</v>
      </c>
      <c r="CB233" s="548">
        <f t="shared" si="207"/>
        <v>10140000</v>
      </c>
    </row>
    <row r="234" spans="1:80" s="11" customFormat="1" ht="15.75" x14ac:dyDescent="0.2">
      <c r="A234" s="74"/>
      <c r="B234" s="118"/>
      <c r="C234" s="82"/>
      <c r="D234" s="248"/>
      <c r="E234" s="249"/>
      <c r="F234" s="249"/>
      <c r="G234" s="81"/>
      <c r="H234" s="82"/>
      <c r="I234" s="81"/>
      <c r="J234" s="250"/>
      <c r="K234" s="261"/>
      <c r="L234" s="261"/>
      <c r="M234" s="261"/>
      <c r="N234" s="82"/>
      <c r="O234" s="82"/>
      <c r="P234" s="81"/>
      <c r="Q234" s="82"/>
      <c r="R234" s="554">
        <f t="shared" ref="R234:BY234" si="208">R233+R228</f>
        <v>0</v>
      </c>
      <c r="S234" s="554">
        <f t="shared" si="208"/>
        <v>0</v>
      </c>
      <c r="T234" s="554">
        <f t="shared" si="208"/>
        <v>0</v>
      </c>
      <c r="U234" s="554">
        <f t="shared" si="208"/>
        <v>0</v>
      </c>
      <c r="V234" s="554">
        <f t="shared" si="208"/>
        <v>0</v>
      </c>
      <c r="W234" s="554">
        <f t="shared" si="208"/>
        <v>0</v>
      </c>
      <c r="X234" s="554">
        <f t="shared" si="208"/>
        <v>0</v>
      </c>
      <c r="Y234" s="554">
        <f t="shared" si="208"/>
        <v>0</v>
      </c>
      <c r="Z234" s="554">
        <f t="shared" si="208"/>
        <v>0</v>
      </c>
      <c r="AA234" s="554">
        <f t="shared" si="208"/>
        <v>0</v>
      </c>
      <c r="AB234" s="554">
        <f t="shared" si="208"/>
        <v>0</v>
      </c>
      <c r="AC234" s="554">
        <f t="shared" si="208"/>
        <v>0</v>
      </c>
      <c r="AD234" s="554">
        <f t="shared" si="208"/>
        <v>0</v>
      </c>
      <c r="AE234" s="554">
        <f t="shared" si="208"/>
        <v>0</v>
      </c>
      <c r="AF234" s="554">
        <f t="shared" si="208"/>
        <v>0</v>
      </c>
      <c r="AG234" s="554">
        <f t="shared" si="208"/>
        <v>0</v>
      </c>
      <c r="AH234" s="554">
        <f t="shared" si="208"/>
        <v>0</v>
      </c>
      <c r="AI234" s="554">
        <f t="shared" si="208"/>
        <v>0</v>
      </c>
      <c r="AJ234" s="554">
        <f t="shared" si="208"/>
        <v>0</v>
      </c>
      <c r="AK234" s="554">
        <f t="shared" si="208"/>
        <v>0</v>
      </c>
      <c r="AL234" s="554">
        <f t="shared" si="208"/>
        <v>0</v>
      </c>
      <c r="AM234" s="554">
        <f t="shared" si="208"/>
        <v>0</v>
      </c>
      <c r="AN234" s="554">
        <f t="shared" si="208"/>
        <v>0</v>
      </c>
      <c r="AO234" s="554">
        <f t="shared" si="208"/>
        <v>0</v>
      </c>
      <c r="AP234" s="554">
        <f t="shared" si="208"/>
        <v>0</v>
      </c>
      <c r="AQ234" s="554">
        <f t="shared" si="208"/>
        <v>0</v>
      </c>
      <c r="AR234" s="554">
        <f t="shared" si="208"/>
        <v>0</v>
      </c>
      <c r="AS234" s="554">
        <f t="shared" si="208"/>
        <v>0</v>
      </c>
      <c r="AT234" s="554">
        <f t="shared" si="208"/>
        <v>0</v>
      </c>
      <c r="AU234" s="554">
        <f t="shared" si="208"/>
        <v>0</v>
      </c>
      <c r="AV234" s="554">
        <f t="shared" si="208"/>
        <v>0</v>
      </c>
      <c r="AW234" s="554">
        <f t="shared" si="208"/>
        <v>0</v>
      </c>
      <c r="AX234" s="554">
        <f t="shared" si="208"/>
        <v>0</v>
      </c>
      <c r="AY234" s="554">
        <f t="shared" si="208"/>
        <v>0</v>
      </c>
      <c r="AZ234" s="554">
        <f t="shared" si="208"/>
        <v>0</v>
      </c>
      <c r="BA234" s="554">
        <f t="shared" si="208"/>
        <v>0</v>
      </c>
      <c r="BB234" s="554">
        <f t="shared" si="208"/>
        <v>0</v>
      </c>
      <c r="BC234" s="554">
        <f t="shared" si="208"/>
        <v>0</v>
      </c>
      <c r="BD234" s="554">
        <f t="shared" si="208"/>
        <v>0</v>
      </c>
      <c r="BE234" s="554">
        <f t="shared" si="208"/>
        <v>0</v>
      </c>
      <c r="BF234" s="554">
        <f t="shared" si="208"/>
        <v>0</v>
      </c>
      <c r="BG234" s="554">
        <f t="shared" si="208"/>
        <v>0</v>
      </c>
      <c r="BH234" s="554">
        <f t="shared" si="208"/>
        <v>0</v>
      </c>
      <c r="BI234" s="554">
        <f t="shared" si="208"/>
        <v>0</v>
      </c>
      <c r="BJ234" s="554">
        <f t="shared" si="208"/>
        <v>0</v>
      </c>
      <c r="BK234" s="554">
        <f t="shared" si="208"/>
        <v>700000000</v>
      </c>
      <c r="BL234" s="554">
        <f t="shared" si="208"/>
        <v>75172000</v>
      </c>
      <c r="BM234" s="554">
        <f t="shared" si="208"/>
        <v>24093600</v>
      </c>
      <c r="BN234" s="554">
        <f t="shared" si="208"/>
        <v>0</v>
      </c>
      <c r="BO234" s="554">
        <f t="shared" si="208"/>
        <v>0</v>
      </c>
      <c r="BP234" s="554">
        <f t="shared" si="208"/>
        <v>0</v>
      </c>
      <c r="BQ234" s="554">
        <f t="shared" si="208"/>
        <v>400956761</v>
      </c>
      <c r="BR234" s="554">
        <f t="shared" si="208"/>
        <v>0</v>
      </c>
      <c r="BS234" s="554">
        <f t="shared" si="208"/>
        <v>0</v>
      </c>
      <c r="BT234" s="554">
        <f t="shared" si="208"/>
        <v>0</v>
      </c>
      <c r="BU234" s="554">
        <f t="shared" si="208"/>
        <v>0</v>
      </c>
      <c r="BV234" s="554">
        <f t="shared" si="208"/>
        <v>0</v>
      </c>
      <c r="BW234" s="554">
        <f t="shared" si="208"/>
        <v>0</v>
      </c>
      <c r="BX234" s="554">
        <f t="shared" si="208"/>
        <v>0</v>
      </c>
      <c r="BY234" s="554">
        <f t="shared" si="208"/>
        <v>0</v>
      </c>
      <c r="BZ234" s="554">
        <f t="shared" ref="BZ234" si="209">BZ233+BZ228</f>
        <v>1100956761</v>
      </c>
      <c r="CA234" s="554">
        <f t="shared" ref="CA234:CB234" si="210">CA233+CA228</f>
        <v>75172000</v>
      </c>
      <c r="CB234" s="554">
        <f t="shared" si="210"/>
        <v>24093600</v>
      </c>
    </row>
    <row r="235" spans="1:80" s="459" customFormat="1" ht="15.75" x14ac:dyDescent="0.2">
      <c r="A235" s="84"/>
      <c r="B235" s="84"/>
      <c r="C235" s="85"/>
      <c r="D235" s="262"/>
      <c r="E235" s="263"/>
      <c r="F235" s="263"/>
      <c r="G235" s="84"/>
      <c r="H235" s="85"/>
      <c r="I235" s="84"/>
      <c r="J235" s="264"/>
      <c r="K235" s="265"/>
      <c r="L235" s="265"/>
      <c r="M235" s="265"/>
      <c r="N235" s="85"/>
      <c r="O235" s="85"/>
      <c r="P235" s="84"/>
      <c r="Q235" s="85"/>
      <c r="R235" s="560">
        <f t="shared" ref="R235:BY235" si="211">R234+R223</f>
        <v>2963763815</v>
      </c>
      <c r="S235" s="560">
        <f t="shared" si="211"/>
        <v>50700000</v>
      </c>
      <c r="T235" s="560">
        <f t="shared" si="211"/>
        <v>15420000</v>
      </c>
      <c r="U235" s="560">
        <f t="shared" si="211"/>
        <v>0</v>
      </c>
      <c r="V235" s="560">
        <f t="shared" si="211"/>
        <v>0</v>
      </c>
      <c r="W235" s="560">
        <f t="shared" si="211"/>
        <v>0</v>
      </c>
      <c r="X235" s="560">
        <f t="shared" si="211"/>
        <v>0</v>
      </c>
      <c r="Y235" s="560">
        <f t="shared" si="211"/>
        <v>0</v>
      </c>
      <c r="Z235" s="560">
        <f t="shared" si="211"/>
        <v>0</v>
      </c>
      <c r="AA235" s="560">
        <f t="shared" si="211"/>
        <v>0</v>
      </c>
      <c r="AB235" s="560">
        <f t="shared" si="211"/>
        <v>0</v>
      </c>
      <c r="AC235" s="560">
        <f t="shared" si="211"/>
        <v>0</v>
      </c>
      <c r="AD235" s="560">
        <f t="shared" si="211"/>
        <v>0</v>
      </c>
      <c r="AE235" s="560">
        <f t="shared" si="211"/>
        <v>0</v>
      </c>
      <c r="AF235" s="560">
        <f t="shared" si="211"/>
        <v>0</v>
      </c>
      <c r="AG235" s="560">
        <f t="shared" si="211"/>
        <v>0</v>
      </c>
      <c r="AH235" s="560">
        <f t="shared" si="211"/>
        <v>0</v>
      </c>
      <c r="AI235" s="560">
        <f t="shared" si="211"/>
        <v>0</v>
      </c>
      <c r="AJ235" s="560">
        <f t="shared" si="211"/>
        <v>0</v>
      </c>
      <c r="AK235" s="560">
        <f t="shared" si="211"/>
        <v>0</v>
      </c>
      <c r="AL235" s="560">
        <f t="shared" si="211"/>
        <v>0</v>
      </c>
      <c r="AM235" s="560">
        <f t="shared" si="211"/>
        <v>0</v>
      </c>
      <c r="AN235" s="560">
        <f t="shared" si="211"/>
        <v>0</v>
      </c>
      <c r="AO235" s="560">
        <f t="shared" si="211"/>
        <v>0</v>
      </c>
      <c r="AP235" s="560">
        <f t="shared" si="211"/>
        <v>0</v>
      </c>
      <c r="AQ235" s="560">
        <f t="shared" si="211"/>
        <v>0</v>
      </c>
      <c r="AR235" s="560">
        <f t="shared" si="211"/>
        <v>0</v>
      </c>
      <c r="AS235" s="560">
        <f t="shared" si="211"/>
        <v>0</v>
      </c>
      <c r="AT235" s="560">
        <f t="shared" si="211"/>
        <v>0</v>
      </c>
      <c r="AU235" s="560">
        <f t="shared" si="211"/>
        <v>0</v>
      </c>
      <c r="AV235" s="560">
        <f t="shared" si="211"/>
        <v>0</v>
      </c>
      <c r="AW235" s="560">
        <f t="shared" si="211"/>
        <v>0</v>
      </c>
      <c r="AX235" s="560">
        <f t="shared" si="211"/>
        <v>0</v>
      </c>
      <c r="AY235" s="560">
        <f t="shared" si="211"/>
        <v>0</v>
      </c>
      <c r="AZ235" s="560">
        <f t="shared" si="211"/>
        <v>0</v>
      </c>
      <c r="BA235" s="560">
        <f t="shared" si="211"/>
        <v>0</v>
      </c>
      <c r="BB235" s="560">
        <f t="shared" si="211"/>
        <v>0</v>
      </c>
      <c r="BC235" s="560">
        <f t="shared" si="211"/>
        <v>0</v>
      </c>
      <c r="BD235" s="560">
        <f t="shared" si="211"/>
        <v>0</v>
      </c>
      <c r="BE235" s="560">
        <f t="shared" si="211"/>
        <v>0</v>
      </c>
      <c r="BF235" s="560">
        <f t="shared" si="211"/>
        <v>0</v>
      </c>
      <c r="BG235" s="560">
        <f t="shared" si="211"/>
        <v>0</v>
      </c>
      <c r="BH235" s="560">
        <f t="shared" si="211"/>
        <v>0</v>
      </c>
      <c r="BI235" s="560">
        <f t="shared" si="211"/>
        <v>0</v>
      </c>
      <c r="BJ235" s="560">
        <f t="shared" si="211"/>
        <v>0</v>
      </c>
      <c r="BK235" s="560">
        <f t="shared" si="211"/>
        <v>2230000000</v>
      </c>
      <c r="BL235" s="560">
        <f t="shared" si="211"/>
        <v>79172000</v>
      </c>
      <c r="BM235" s="560">
        <f t="shared" si="211"/>
        <v>24093600</v>
      </c>
      <c r="BN235" s="560">
        <f t="shared" si="211"/>
        <v>0</v>
      </c>
      <c r="BO235" s="560">
        <f t="shared" si="211"/>
        <v>0</v>
      </c>
      <c r="BP235" s="560">
        <f t="shared" si="211"/>
        <v>0</v>
      </c>
      <c r="BQ235" s="560">
        <f t="shared" si="211"/>
        <v>400956761</v>
      </c>
      <c r="BR235" s="560">
        <f t="shared" si="211"/>
        <v>0</v>
      </c>
      <c r="BS235" s="560">
        <f t="shared" si="211"/>
        <v>0</v>
      </c>
      <c r="BT235" s="560">
        <f t="shared" si="211"/>
        <v>0</v>
      </c>
      <c r="BU235" s="560">
        <f t="shared" si="211"/>
        <v>0</v>
      </c>
      <c r="BV235" s="560">
        <f t="shared" si="211"/>
        <v>0</v>
      </c>
      <c r="BW235" s="560">
        <f t="shared" si="211"/>
        <v>0</v>
      </c>
      <c r="BX235" s="560">
        <f t="shared" si="211"/>
        <v>0</v>
      </c>
      <c r="BY235" s="560">
        <f t="shared" si="211"/>
        <v>0</v>
      </c>
      <c r="BZ235" s="560">
        <f t="shared" ref="BZ235" si="212">BZ234+BZ223</f>
        <v>5594720576</v>
      </c>
      <c r="CA235" s="560">
        <f t="shared" ref="CA235:CB235" si="213">CA234+CA223</f>
        <v>922032000</v>
      </c>
      <c r="CB235" s="560">
        <f t="shared" si="213"/>
        <v>111863600</v>
      </c>
    </row>
    <row r="236" spans="1:80" s="459" customFormat="1" ht="15.75" x14ac:dyDescent="0.2">
      <c r="A236" s="87"/>
      <c r="B236" s="87"/>
      <c r="C236" s="88"/>
      <c r="D236" s="266"/>
      <c r="E236" s="267"/>
      <c r="F236" s="267"/>
      <c r="G236" s="87"/>
      <c r="H236" s="88"/>
      <c r="I236" s="87"/>
      <c r="J236" s="268"/>
      <c r="K236" s="269"/>
      <c r="L236" s="269"/>
      <c r="M236" s="269"/>
      <c r="N236" s="88"/>
      <c r="O236" s="88"/>
      <c r="P236" s="87"/>
      <c r="Q236" s="88"/>
      <c r="R236" s="561">
        <f t="shared" ref="R236:BY236" si="214">R235</f>
        <v>2963763815</v>
      </c>
      <c r="S236" s="561">
        <f t="shared" si="214"/>
        <v>50700000</v>
      </c>
      <c r="T236" s="561">
        <f t="shared" si="214"/>
        <v>15420000</v>
      </c>
      <c r="U236" s="561">
        <f t="shared" si="214"/>
        <v>0</v>
      </c>
      <c r="V236" s="561">
        <f t="shared" si="214"/>
        <v>0</v>
      </c>
      <c r="W236" s="561">
        <f t="shared" si="214"/>
        <v>0</v>
      </c>
      <c r="X236" s="561">
        <f t="shared" si="214"/>
        <v>0</v>
      </c>
      <c r="Y236" s="561">
        <f t="shared" si="214"/>
        <v>0</v>
      </c>
      <c r="Z236" s="561">
        <f t="shared" si="214"/>
        <v>0</v>
      </c>
      <c r="AA236" s="561">
        <f t="shared" si="214"/>
        <v>0</v>
      </c>
      <c r="AB236" s="561">
        <f t="shared" si="214"/>
        <v>0</v>
      </c>
      <c r="AC236" s="561">
        <f t="shared" si="214"/>
        <v>0</v>
      </c>
      <c r="AD236" s="561">
        <f t="shared" si="214"/>
        <v>0</v>
      </c>
      <c r="AE236" s="561">
        <f t="shared" si="214"/>
        <v>0</v>
      </c>
      <c r="AF236" s="561">
        <f t="shared" si="214"/>
        <v>0</v>
      </c>
      <c r="AG236" s="561">
        <f t="shared" si="214"/>
        <v>0</v>
      </c>
      <c r="AH236" s="561">
        <f t="shared" si="214"/>
        <v>0</v>
      </c>
      <c r="AI236" s="561">
        <f t="shared" si="214"/>
        <v>0</v>
      </c>
      <c r="AJ236" s="561">
        <f t="shared" si="214"/>
        <v>0</v>
      </c>
      <c r="AK236" s="561">
        <f t="shared" si="214"/>
        <v>0</v>
      </c>
      <c r="AL236" s="561">
        <f t="shared" si="214"/>
        <v>0</v>
      </c>
      <c r="AM236" s="561">
        <f t="shared" si="214"/>
        <v>0</v>
      </c>
      <c r="AN236" s="561">
        <f t="shared" si="214"/>
        <v>0</v>
      </c>
      <c r="AO236" s="561">
        <f t="shared" si="214"/>
        <v>0</v>
      </c>
      <c r="AP236" s="561">
        <f t="shared" si="214"/>
        <v>0</v>
      </c>
      <c r="AQ236" s="561">
        <f t="shared" si="214"/>
        <v>0</v>
      </c>
      <c r="AR236" s="561">
        <f t="shared" si="214"/>
        <v>0</v>
      </c>
      <c r="AS236" s="561">
        <f t="shared" si="214"/>
        <v>0</v>
      </c>
      <c r="AT236" s="561">
        <f t="shared" si="214"/>
        <v>0</v>
      </c>
      <c r="AU236" s="561">
        <f t="shared" si="214"/>
        <v>0</v>
      </c>
      <c r="AV236" s="561">
        <f t="shared" si="214"/>
        <v>0</v>
      </c>
      <c r="AW236" s="561">
        <f t="shared" si="214"/>
        <v>0</v>
      </c>
      <c r="AX236" s="561">
        <f t="shared" si="214"/>
        <v>0</v>
      </c>
      <c r="AY236" s="561">
        <f t="shared" si="214"/>
        <v>0</v>
      </c>
      <c r="AZ236" s="561">
        <f t="shared" si="214"/>
        <v>0</v>
      </c>
      <c r="BA236" s="561">
        <f t="shared" si="214"/>
        <v>0</v>
      </c>
      <c r="BB236" s="561">
        <f t="shared" si="214"/>
        <v>0</v>
      </c>
      <c r="BC236" s="561">
        <f t="shared" si="214"/>
        <v>0</v>
      </c>
      <c r="BD236" s="561">
        <f t="shared" si="214"/>
        <v>0</v>
      </c>
      <c r="BE236" s="561">
        <f t="shared" si="214"/>
        <v>0</v>
      </c>
      <c r="BF236" s="561">
        <f t="shared" si="214"/>
        <v>0</v>
      </c>
      <c r="BG236" s="561">
        <f t="shared" si="214"/>
        <v>0</v>
      </c>
      <c r="BH236" s="561">
        <f t="shared" si="214"/>
        <v>0</v>
      </c>
      <c r="BI236" s="561">
        <f t="shared" si="214"/>
        <v>0</v>
      </c>
      <c r="BJ236" s="561">
        <f t="shared" si="214"/>
        <v>0</v>
      </c>
      <c r="BK236" s="561">
        <f t="shared" si="214"/>
        <v>2230000000</v>
      </c>
      <c r="BL236" s="561">
        <f t="shared" si="214"/>
        <v>79172000</v>
      </c>
      <c r="BM236" s="561">
        <f t="shared" si="214"/>
        <v>24093600</v>
      </c>
      <c r="BN236" s="561">
        <f t="shared" si="214"/>
        <v>0</v>
      </c>
      <c r="BO236" s="561">
        <f t="shared" si="214"/>
        <v>0</v>
      </c>
      <c r="BP236" s="561">
        <f t="shared" si="214"/>
        <v>0</v>
      </c>
      <c r="BQ236" s="561">
        <f t="shared" si="214"/>
        <v>400956761</v>
      </c>
      <c r="BR236" s="561">
        <f t="shared" si="214"/>
        <v>0</v>
      </c>
      <c r="BS236" s="561">
        <f t="shared" si="214"/>
        <v>0</v>
      </c>
      <c r="BT236" s="561">
        <f t="shared" si="214"/>
        <v>0</v>
      </c>
      <c r="BU236" s="561">
        <f t="shared" si="214"/>
        <v>0</v>
      </c>
      <c r="BV236" s="561">
        <f t="shared" si="214"/>
        <v>0</v>
      </c>
      <c r="BW236" s="561">
        <f t="shared" si="214"/>
        <v>0</v>
      </c>
      <c r="BX236" s="561">
        <f t="shared" si="214"/>
        <v>0</v>
      </c>
      <c r="BY236" s="561">
        <f t="shared" si="214"/>
        <v>0</v>
      </c>
      <c r="BZ236" s="561">
        <f t="shared" ref="BZ236" si="215">BZ235</f>
        <v>5594720576</v>
      </c>
      <c r="CA236" s="561">
        <f t="shared" ref="CA236:CB236" si="216">CA235</f>
        <v>922032000</v>
      </c>
      <c r="CB236" s="561">
        <f t="shared" si="216"/>
        <v>111863600</v>
      </c>
    </row>
    <row r="237" spans="1:80" s="11" customFormat="1" ht="15.75" x14ac:dyDescent="0.2">
      <c r="A237" s="90"/>
      <c r="B237" s="91"/>
      <c r="C237" s="92"/>
      <c r="D237" s="270"/>
      <c r="E237" s="271"/>
      <c r="F237" s="271"/>
      <c r="G237" s="91"/>
      <c r="H237" s="92"/>
      <c r="I237" s="91"/>
      <c r="J237" s="244"/>
      <c r="K237" s="245"/>
      <c r="L237" s="245"/>
      <c r="M237" s="245"/>
      <c r="N237" s="92"/>
      <c r="O237" s="500"/>
      <c r="P237" s="91"/>
      <c r="Q237" s="92"/>
      <c r="R237" s="543"/>
      <c r="S237" s="543"/>
      <c r="T237" s="543"/>
      <c r="U237" s="544"/>
      <c r="V237" s="544"/>
      <c r="W237" s="544"/>
      <c r="X237" s="543"/>
      <c r="Y237" s="543"/>
      <c r="Z237" s="543"/>
      <c r="AA237" s="543"/>
      <c r="AB237" s="543"/>
      <c r="AC237" s="543"/>
      <c r="AD237" s="543"/>
      <c r="AE237" s="543"/>
      <c r="AF237" s="543"/>
      <c r="AG237" s="543"/>
      <c r="AH237" s="543"/>
      <c r="AI237" s="543"/>
      <c r="AJ237" s="543"/>
      <c r="AK237" s="543"/>
      <c r="AL237" s="543"/>
      <c r="AM237" s="543"/>
      <c r="AN237" s="543"/>
      <c r="AO237" s="543"/>
      <c r="AP237" s="543"/>
      <c r="AQ237" s="543"/>
      <c r="AR237" s="543"/>
      <c r="AS237" s="543"/>
      <c r="AT237" s="543"/>
      <c r="AU237" s="543"/>
      <c r="AV237" s="543"/>
      <c r="AW237" s="543"/>
      <c r="AX237" s="543"/>
      <c r="AY237" s="544"/>
      <c r="AZ237" s="544"/>
      <c r="BA237" s="544"/>
      <c r="BB237" s="544"/>
      <c r="BC237" s="544"/>
      <c r="BD237" s="544"/>
      <c r="BE237" s="543"/>
      <c r="BF237" s="543"/>
      <c r="BG237" s="543"/>
      <c r="BH237" s="543"/>
      <c r="BI237" s="543"/>
      <c r="BJ237" s="543"/>
      <c r="BK237" s="545"/>
      <c r="BL237" s="545"/>
      <c r="BM237" s="545"/>
      <c r="BN237" s="546"/>
      <c r="BO237" s="546"/>
      <c r="BP237" s="546"/>
      <c r="BQ237" s="543"/>
      <c r="BR237" s="543"/>
      <c r="BS237" s="543"/>
      <c r="BT237" s="543"/>
      <c r="BU237" s="543"/>
      <c r="BV237" s="543"/>
      <c r="BW237" s="544"/>
      <c r="BX237" s="544"/>
      <c r="BY237" s="544"/>
      <c r="BZ237" s="543"/>
      <c r="CA237" s="543"/>
      <c r="CB237" s="543"/>
    </row>
    <row r="238" spans="1:80" s="459" customFormat="1" ht="15.75" x14ac:dyDescent="0.2">
      <c r="A238" s="41" t="s">
        <v>301</v>
      </c>
      <c r="B238" s="42"/>
      <c r="C238" s="43"/>
      <c r="D238" s="42"/>
      <c r="E238" s="42"/>
      <c r="F238" s="42"/>
      <c r="G238" s="42"/>
      <c r="H238" s="43"/>
      <c r="I238" s="42"/>
      <c r="J238" s="42"/>
      <c r="K238" s="272"/>
      <c r="L238" s="272"/>
      <c r="M238" s="272"/>
      <c r="N238" s="42"/>
      <c r="O238" s="43"/>
      <c r="P238" s="42"/>
      <c r="Q238" s="43"/>
      <c r="R238" s="617"/>
      <c r="S238" s="617"/>
      <c r="T238" s="617"/>
      <c r="U238" s="617"/>
      <c r="V238" s="617"/>
      <c r="W238" s="617"/>
      <c r="X238" s="617"/>
      <c r="Y238" s="617"/>
      <c r="Z238" s="617"/>
      <c r="AA238" s="617"/>
      <c r="AB238" s="617"/>
      <c r="AC238" s="617"/>
      <c r="AD238" s="617"/>
      <c r="AE238" s="617"/>
      <c r="AF238" s="617"/>
      <c r="AG238" s="617"/>
      <c r="AH238" s="617"/>
      <c r="AI238" s="617"/>
      <c r="AJ238" s="617"/>
      <c r="AK238" s="617"/>
      <c r="AL238" s="617"/>
      <c r="AM238" s="617"/>
      <c r="AN238" s="617"/>
      <c r="AO238" s="617"/>
      <c r="AP238" s="617"/>
      <c r="AQ238" s="617"/>
      <c r="AR238" s="617"/>
      <c r="AS238" s="617"/>
      <c r="AT238" s="617"/>
      <c r="AU238" s="617"/>
      <c r="AV238" s="617"/>
      <c r="AW238" s="617"/>
      <c r="AX238" s="617"/>
      <c r="AY238" s="617"/>
      <c r="AZ238" s="617"/>
      <c r="BA238" s="617"/>
      <c r="BB238" s="617"/>
      <c r="BC238" s="617"/>
      <c r="BD238" s="617"/>
      <c r="BE238" s="617"/>
      <c r="BF238" s="617"/>
      <c r="BG238" s="617"/>
      <c r="BH238" s="617"/>
      <c r="BI238" s="617"/>
      <c r="BJ238" s="617"/>
      <c r="BK238" s="618"/>
      <c r="BL238" s="618"/>
      <c r="BM238" s="618"/>
      <c r="BN238" s="619"/>
      <c r="BO238" s="619"/>
      <c r="BP238" s="619"/>
      <c r="BQ238" s="617"/>
      <c r="BR238" s="617"/>
      <c r="BS238" s="617"/>
      <c r="BT238" s="617"/>
      <c r="BU238" s="617"/>
      <c r="BV238" s="617"/>
      <c r="BW238" s="617"/>
      <c r="BX238" s="617"/>
      <c r="BY238" s="617"/>
      <c r="BZ238" s="620" t="s">
        <v>62</v>
      </c>
      <c r="CA238" s="620" t="s">
        <v>62</v>
      </c>
      <c r="CB238" s="620" t="s">
        <v>62</v>
      </c>
    </row>
    <row r="239" spans="1:80" s="459" customFormat="1" ht="15.75" x14ac:dyDescent="0.2">
      <c r="A239" s="44">
        <v>2</v>
      </c>
      <c r="B239" s="45" t="s">
        <v>129</v>
      </c>
      <c r="C239" s="46"/>
      <c r="D239" s="45"/>
      <c r="E239" s="45"/>
      <c r="F239" s="45"/>
      <c r="G239" s="45"/>
      <c r="H239" s="46"/>
      <c r="I239" s="45"/>
      <c r="J239" s="45"/>
      <c r="K239" s="273"/>
      <c r="L239" s="273"/>
      <c r="M239" s="273"/>
      <c r="N239" s="45"/>
      <c r="O239" s="46"/>
      <c r="P239" s="45"/>
      <c r="Q239" s="45"/>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2"/>
      <c r="AP239" s="572"/>
      <c r="AQ239" s="572"/>
      <c r="AR239" s="572"/>
      <c r="AS239" s="572"/>
      <c r="AT239" s="572"/>
      <c r="AU239" s="572"/>
      <c r="AV239" s="572"/>
      <c r="AW239" s="572"/>
      <c r="AX239" s="572"/>
      <c r="AY239" s="572"/>
      <c r="AZ239" s="572"/>
      <c r="BA239" s="572"/>
      <c r="BB239" s="572"/>
      <c r="BC239" s="572"/>
      <c r="BD239" s="572"/>
      <c r="BE239" s="572"/>
      <c r="BF239" s="572"/>
      <c r="BG239" s="572"/>
      <c r="BH239" s="572"/>
      <c r="BI239" s="572"/>
      <c r="BJ239" s="572"/>
      <c r="BK239" s="573"/>
      <c r="BL239" s="573"/>
      <c r="BM239" s="573"/>
      <c r="BN239" s="572"/>
      <c r="BO239" s="572"/>
      <c r="BP239" s="572"/>
      <c r="BQ239" s="572"/>
      <c r="BR239" s="572"/>
      <c r="BS239" s="572"/>
      <c r="BT239" s="572"/>
      <c r="BU239" s="572"/>
      <c r="BV239" s="572"/>
      <c r="BW239" s="572"/>
      <c r="BX239" s="572"/>
      <c r="BY239" s="572"/>
      <c r="BZ239" s="574"/>
      <c r="CA239" s="574"/>
      <c r="CB239" s="574"/>
    </row>
    <row r="240" spans="1:80" s="459" customFormat="1" ht="15.75" x14ac:dyDescent="0.2">
      <c r="A240" s="96"/>
      <c r="B240" s="152">
        <v>2</v>
      </c>
      <c r="C240" s="51" t="s">
        <v>302</v>
      </c>
      <c r="D240" s="50"/>
      <c r="E240" s="50"/>
      <c r="F240" s="50"/>
      <c r="G240" s="50"/>
      <c r="H240" s="51"/>
      <c r="I240" s="50"/>
      <c r="J240" s="50"/>
      <c r="K240" s="252"/>
      <c r="L240" s="252"/>
      <c r="M240" s="252"/>
      <c r="N240" s="50"/>
      <c r="O240" s="51"/>
      <c r="P240" s="50"/>
      <c r="Q240" s="50"/>
      <c r="R240" s="550"/>
      <c r="S240" s="550"/>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1"/>
      <c r="BL240" s="551"/>
      <c r="BM240" s="551"/>
      <c r="BN240" s="550"/>
      <c r="BO240" s="550"/>
      <c r="BP240" s="550"/>
      <c r="BQ240" s="550"/>
      <c r="BR240" s="550"/>
      <c r="BS240" s="550"/>
      <c r="BT240" s="550"/>
      <c r="BU240" s="550"/>
      <c r="BV240" s="550"/>
      <c r="BW240" s="550"/>
      <c r="BX240" s="550"/>
      <c r="BY240" s="550"/>
      <c r="BZ240" s="555"/>
      <c r="CA240" s="555"/>
      <c r="CB240" s="555"/>
    </row>
    <row r="241" spans="1:88" s="459" customFormat="1" ht="15.75" x14ac:dyDescent="0.2">
      <c r="A241" s="54"/>
      <c r="B241" s="96"/>
      <c r="C241" s="508"/>
      <c r="D241" s="516"/>
      <c r="E241" s="508"/>
      <c r="F241" s="508"/>
      <c r="G241" s="274">
        <v>8</v>
      </c>
      <c r="H241" s="100" t="s">
        <v>303</v>
      </c>
      <c r="I241" s="100"/>
      <c r="J241" s="100"/>
      <c r="K241" s="186"/>
      <c r="L241" s="186"/>
      <c r="M241" s="186"/>
      <c r="N241" s="100"/>
      <c r="O241" s="212"/>
      <c r="P241" s="100"/>
      <c r="Q241" s="100"/>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6"/>
      <c r="AN241" s="336"/>
      <c r="AO241" s="336"/>
      <c r="AP241" s="336"/>
      <c r="AQ241" s="336"/>
      <c r="AR241" s="336"/>
      <c r="AS241" s="336"/>
      <c r="AT241" s="336"/>
      <c r="AU241" s="336"/>
      <c r="AV241" s="336"/>
      <c r="AW241" s="336"/>
      <c r="AX241" s="336"/>
      <c r="AY241" s="336"/>
      <c r="AZ241" s="336"/>
      <c r="BA241" s="336"/>
      <c r="BB241" s="336"/>
      <c r="BC241" s="336"/>
      <c r="BD241" s="336"/>
      <c r="BE241" s="336"/>
      <c r="BF241" s="336"/>
      <c r="BG241" s="336"/>
      <c r="BH241" s="336"/>
      <c r="BI241" s="336"/>
      <c r="BJ241" s="336"/>
      <c r="BK241" s="552"/>
      <c r="BL241" s="552"/>
      <c r="BM241" s="552"/>
      <c r="BN241" s="336"/>
      <c r="BO241" s="336"/>
      <c r="BP241" s="336"/>
      <c r="BQ241" s="336"/>
      <c r="BR241" s="336"/>
      <c r="BS241" s="336"/>
      <c r="BT241" s="336"/>
      <c r="BU241" s="336"/>
      <c r="BV241" s="336"/>
      <c r="BW241" s="336"/>
      <c r="BX241" s="336"/>
      <c r="BY241" s="336"/>
      <c r="BZ241" s="338"/>
      <c r="CA241" s="338"/>
      <c r="CB241" s="338"/>
    </row>
    <row r="242" spans="1:88" s="11" customFormat="1" ht="75" customHeight="1" x14ac:dyDescent="0.2">
      <c r="A242" s="54"/>
      <c r="B242" s="54"/>
      <c r="C242" s="510">
        <v>5</v>
      </c>
      <c r="D242" s="518" t="s">
        <v>304</v>
      </c>
      <c r="E242" s="510">
        <v>12.9</v>
      </c>
      <c r="F242" s="510">
        <v>8.9</v>
      </c>
      <c r="G242" s="58"/>
      <c r="H242" s="57">
        <v>38</v>
      </c>
      <c r="I242" s="56" t="s">
        <v>305</v>
      </c>
      <c r="J242" s="131">
        <v>3</v>
      </c>
      <c r="K242" s="207">
        <v>4</v>
      </c>
      <c r="L242" s="207">
        <v>0</v>
      </c>
      <c r="M242" s="850">
        <v>2017003630086</v>
      </c>
      <c r="N242" s="853" t="s">
        <v>306</v>
      </c>
      <c r="O242" s="856" t="s">
        <v>307</v>
      </c>
      <c r="P242" s="853" t="s">
        <v>308</v>
      </c>
      <c r="Q242" s="207" t="s">
        <v>51</v>
      </c>
      <c r="R242" s="539">
        <v>0</v>
      </c>
      <c r="S242" s="539"/>
      <c r="T242" s="539"/>
      <c r="U242" s="539">
        <v>0</v>
      </c>
      <c r="V242" s="539"/>
      <c r="W242" s="539"/>
      <c r="X242" s="539">
        <v>0</v>
      </c>
      <c r="Y242" s="539"/>
      <c r="Z242" s="539"/>
      <c r="AA242" s="539">
        <v>0</v>
      </c>
      <c r="AB242" s="539"/>
      <c r="AC242" s="539"/>
      <c r="AD242" s="539">
        <v>0</v>
      </c>
      <c r="AE242" s="539"/>
      <c r="AF242" s="539"/>
      <c r="AG242" s="539">
        <v>0</v>
      </c>
      <c r="AH242" s="539"/>
      <c r="AI242" s="539"/>
      <c r="AJ242" s="539">
        <v>0</v>
      </c>
      <c r="AK242" s="539"/>
      <c r="AL242" s="539"/>
      <c r="AM242" s="539"/>
      <c r="AN242" s="539"/>
      <c r="AO242" s="539"/>
      <c r="AP242" s="539"/>
      <c r="AQ242" s="539"/>
      <c r="AR242" s="539"/>
      <c r="AS242" s="539">
        <v>0</v>
      </c>
      <c r="AT242" s="539"/>
      <c r="AU242" s="539"/>
      <c r="AV242" s="539">
        <v>0</v>
      </c>
      <c r="AW242" s="539"/>
      <c r="AX242" s="539"/>
      <c r="AY242" s="539"/>
      <c r="AZ242" s="539"/>
      <c r="BA242" s="539"/>
      <c r="BB242" s="539"/>
      <c r="BC242" s="539"/>
      <c r="BD242" s="539"/>
      <c r="BE242" s="539">
        <v>0</v>
      </c>
      <c r="BF242" s="539"/>
      <c r="BG242" s="539"/>
      <c r="BH242" s="539">
        <v>0</v>
      </c>
      <c r="BI242" s="539"/>
      <c r="BJ242" s="539"/>
      <c r="BK242" s="540">
        <f>20000000</f>
        <v>20000000</v>
      </c>
      <c r="BL242" s="540">
        <v>15840000</v>
      </c>
      <c r="BM242" s="540">
        <v>2640000</v>
      </c>
      <c r="BN242" s="540"/>
      <c r="BO242" s="540"/>
      <c r="BP242" s="540"/>
      <c r="BQ242" s="539">
        <v>0</v>
      </c>
      <c r="BR242" s="541"/>
      <c r="BS242" s="541"/>
      <c r="BT242" s="541"/>
      <c r="BU242" s="541"/>
      <c r="BV242" s="541"/>
      <c r="BW242" s="541">
        <v>0</v>
      </c>
      <c r="BX242" s="541"/>
      <c r="BY242" s="541"/>
      <c r="BZ242" s="539">
        <f t="shared" ref="BZ242:BZ246" si="217">R242+U242+X242+AA242+AD242+AG242+AJ242+AM242+AP242+AS242+AV242+AY242+BB242+BE242+BH242+BK242+BN242+BQ242+BT242+BW242</f>
        <v>20000000</v>
      </c>
      <c r="CA242" s="539">
        <f t="shared" ref="CA242:CA246" si="218">S242+V242+Y242+AB242+AE242+AH242+AK242+AN242+AQ242+AT242+AW242+AZ242+BC242+BF242+BI242+BL242+BO242+BR242+BU242+BX242</f>
        <v>15840000</v>
      </c>
      <c r="CB242" s="539">
        <f t="shared" ref="CB242:CB246" si="219">T242+W242+Z242+AC242+AF242+AI242+AL242+AO242+AR242+AU242+AX242+BA242+BD242+BG242+BJ242+BM242+BP242+BS242+BV242+BY242</f>
        <v>2640000</v>
      </c>
    </row>
    <row r="243" spans="1:88" s="11" customFormat="1" ht="80.25" customHeight="1" x14ac:dyDescent="0.2">
      <c r="A243" s="54"/>
      <c r="B243" s="54"/>
      <c r="C243" s="55">
        <v>6</v>
      </c>
      <c r="D243" s="56" t="s">
        <v>309</v>
      </c>
      <c r="E243" s="29" t="s">
        <v>310</v>
      </c>
      <c r="F243" s="29" t="s">
        <v>311</v>
      </c>
      <c r="G243" s="64"/>
      <c r="H243" s="57">
        <v>39</v>
      </c>
      <c r="I243" s="58" t="s">
        <v>312</v>
      </c>
      <c r="J243" s="131">
        <v>0</v>
      </c>
      <c r="K243" s="207">
        <v>3</v>
      </c>
      <c r="L243" s="207">
        <v>1</v>
      </c>
      <c r="M243" s="852"/>
      <c r="N243" s="855"/>
      <c r="O243" s="858"/>
      <c r="P243" s="855"/>
      <c r="Q243" s="207" t="s">
        <v>51</v>
      </c>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39"/>
      <c r="AY243" s="539"/>
      <c r="AZ243" s="539"/>
      <c r="BA243" s="539"/>
      <c r="BB243" s="539"/>
      <c r="BC243" s="539"/>
      <c r="BD243" s="539"/>
      <c r="BE243" s="539"/>
      <c r="BF243" s="539"/>
      <c r="BG243" s="539"/>
      <c r="BH243" s="539"/>
      <c r="BI243" s="539"/>
      <c r="BJ243" s="539"/>
      <c r="BK243" s="540">
        <f>40000000+50000000</f>
        <v>90000000</v>
      </c>
      <c r="BL243" s="540">
        <v>60560000</v>
      </c>
      <c r="BM243" s="540"/>
      <c r="BN243" s="540"/>
      <c r="BO243" s="540"/>
      <c r="BP243" s="540"/>
      <c r="BQ243" s="539"/>
      <c r="BR243" s="541"/>
      <c r="BS243" s="541"/>
      <c r="BT243" s="541"/>
      <c r="BU243" s="541"/>
      <c r="BV243" s="541"/>
      <c r="BW243" s="541"/>
      <c r="BX243" s="541"/>
      <c r="BY243" s="541"/>
      <c r="BZ243" s="539">
        <f t="shared" si="217"/>
        <v>90000000</v>
      </c>
      <c r="CA243" s="539">
        <f t="shared" si="218"/>
        <v>60560000</v>
      </c>
      <c r="CB243" s="539">
        <f t="shared" si="219"/>
        <v>0</v>
      </c>
    </row>
    <row r="244" spans="1:88" s="11" customFormat="1" ht="96.75" customHeight="1" x14ac:dyDescent="0.2">
      <c r="A244" s="54"/>
      <c r="B244" s="54"/>
      <c r="C244" s="893">
        <v>5</v>
      </c>
      <c r="D244" s="895" t="s">
        <v>304</v>
      </c>
      <c r="E244" s="856">
        <v>12.9</v>
      </c>
      <c r="F244" s="893">
        <v>8.9</v>
      </c>
      <c r="G244" s="64"/>
      <c r="H244" s="57">
        <v>40</v>
      </c>
      <c r="I244" s="56" t="s">
        <v>313</v>
      </c>
      <c r="J244" s="131">
        <v>0</v>
      </c>
      <c r="K244" s="275">
        <v>0.4</v>
      </c>
      <c r="L244" s="207">
        <v>0</v>
      </c>
      <c r="M244" s="850">
        <v>2017003630045</v>
      </c>
      <c r="N244" s="876" t="s">
        <v>306</v>
      </c>
      <c r="O244" s="856" t="s">
        <v>314</v>
      </c>
      <c r="P244" s="853" t="s">
        <v>315</v>
      </c>
      <c r="Q244" s="207" t="s">
        <v>67</v>
      </c>
      <c r="R244" s="539">
        <v>0</v>
      </c>
      <c r="S244" s="539"/>
      <c r="T244" s="539"/>
      <c r="U244" s="539">
        <v>0</v>
      </c>
      <c r="V244" s="539"/>
      <c r="W244" s="539"/>
      <c r="X244" s="539">
        <v>0</v>
      </c>
      <c r="Y244" s="539"/>
      <c r="Z244" s="539"/>
      <c r="AA244" s="539">
        <v>0</v>
      </c>
      <c r="AB244" s="539"/>
      <c r="AC244" s="539"/>
      <c r="AD244" s="539">
        <v>0</v>
      </c>
      <c r="AE244" s="539"/>
      <c r="AF244" s="539"/>
      <c r="AG244" s="539">
        <v>0</v>
      </c>
      <c r="AH244" s="539"/>
      <c r="AI244" s="539"/>
      <c r="AJ244" s="539">
        <v>0</v>
      </c>
      <c r="AK244" s="539"/>
      <c r="AL244" s="539"/>
      <c r="AM244" s="539"/>
      <c r="AN244" s="539"/>
      <c r="AO244" s="539"/>
      <c r="AP244" s="539"/>
      <c r="AQ244" s="539"/>
      <c r="AR244" s="539"/>
      <c r="AS244" s="539">
        <v>0</v>
      </c>
      <c r="AT244" s="539"/>
      <c r="AU244" s="539"/>
      <c r="AV244" s="539">
        <v>0</v>
      </c>
      <c r="AW244" s="539"/>
      <c r="AX244" s="539"/>
      <c r="AY244" s="539"/>
      <c r="AZ244" s="539"/>
      <c r="BA244" s="539"/>
      <c r="BB244" s="539"/>
      <c r="BC244" s="539"/>
      <c r="BD244" s="539"/>
      <c r="BE244" s="539">
        <v>0</v>
      </c>
      <c r="BF244" s="539"/>
      <c r="BG244" s="539"/>
      <c r="BH244" s="539">
        <v>0</v>
      </c>
      <c r="BI244" s="539"/>
      <c r="BJ244" s="539"/>
      <c r="BK244" s="540">
        <f>20000000+33000000</f>
        <v>53000000</v>
      </c>
      <c r="BL244" s="540">
        <v>3200000</v>
      </c>
      <c r="BM244" s="540">
        <v>2000000</v>
      </c>
      <c r="BN244" s="540"/>
      <c r="BO244" s="540"/>
      <c r="BP244" s="540"/>
      <c r="BQ244" s="539">
        <v>0</v>
      </c>
      <c r="BR244" s="541"/>
      <c r="BS244" s="541"/>
      <c r="BT244" s="541"/>
      <c r="BU244" s="541"/>
      <c r="BV244" s="541"/>
      <c r="BW244" s="541">
        <v>0</v>
      </c>
      <c r="BX244" s="541"/>
      <c r="BY244" s="541"/>
      <c r="BZ244" s="539">
        <f t="shared" si="217"/>
        <v>53000000</v>
      </c>
      <c r="CA244" s="539">
        <f t="shared" si="218"/>
        <v>3200000</v>
      </c>
      <c r="CB244" s="539">
        <f t="shared" si="219"/>
        <v>2000000</v>
      </c>
    </row>
    <row r="245" spans="1:88" s="11" customFormat="1" ht="96.75" customHeight="1" x14ac:dyDescent="0.2">
      <c r="A245" s="54"/>
      <c r="B245" s="54"/>
      <c r="C245" s="894"/>
      <c r="D245" s="853"/>
      <c r="E245" s="857"/>
      <c r="F245" s="894"/>
      <c r="G245" s="64"/>
      <c r="H245" s="57">
        <v>41</v>
      </c>
      <c r="I245" s="56" t="s">
        <v>316</v>
      </c>
      <c r="J245" s="131">
        <v>0</v>
      </c>
      <c r="K245" s="207">
        <v>1</v>
      </c>
      <c r="L245" s="275">
        <v>0.25</v>
      </c>
      <c r="M245" s="851"/>
      <c r="N245" s="877"/>
      <c r="O245" s="857"/>
      <c r="P245" s="854"/>
      <c r="Q245" s="207" t="s">
        <v>51</v>
      </c>
      <c r="R245" s="539">
        <v>0</v>
      </c>
      <c r="S245" s="539"/>
      <c r="T245" s="539"/>
      <c r="U245" s="539">
        <v>0</v>
      </c>
      <c r="V245" s="539"/>
      <c r="W245" s="539"/>
      <c r="X245" s="539">
        <v>0</v>
      </c>
      <c r="Y245" s="539"/>
      <c r="Z245" s="539"/>
      <c r="AA245" s="539">
        <v>0</v>
      </c>
      <c r="AB245" s="539"/>
      <c r="AC245" s="539"/>
      <c r="AD245" s="539">
        <v>0</v>
      </c>
      <c r="AE245" s="539"/>
      <c r="AF245" s="539"/>
      <c r="AG245" s="539">
        <v>0</v>
      </c>
      <c r="AH245" s="539"/>
      <c r="AI245" s="539"/>
      <c r="AJ245" s="539">
        <v>0</v>
      </c>
      <c r="AK245" s="539"/>
      <c r="AL245" s="539"/>
      <c r="AM245" s="539"/>
      <c r="AN245" s="539"/>
      <c r="AO245" s="539"/>
      <c r="AP245" s="539"/>
      <c r="AQ245" s="539"/>
      <c r="AR245" s="539"/>
      <c r="AS245" s="539">
        <v>0</v>
      </c>
      <c r="AT245" s="539"/>
      <c r="AU245" s="539"/>
      <c r="AV245" s="539">
        <v>0</v>
      </c>
      <c r="AW245" s="539"/>
      <c r="AX245" s="539"/>
      <c r="AY245" s="539"/>
      <c r="AZ245" s="539"/>
      <c r="BA245" s="539"/>
      <c r="BB245" s="539"/>
      <c r="BC245" s="539"/>
      <c r="BD245" s="539"/>
      <c r="BE245" s="539">
        <v>0</v>
      </c>
      <c r="BF245" s="539"/>
      <c r="BG245" s="539"/>
      <c r="BH245" s="539">
        <v>0</v>
      </c>
      <c r="BI245" s="539"/>
      <c r="BJ245" s="539"/>
      <c r="BK245" s="540">
        <v>25000000</v>
      </c>
      <c r="BL245" s="540">
        <v>15840000</v>
      </c>
      <c r="BM245" s="540">
        <v>5280000</v>
      </c>
      <c r="BN245" s="540"/>
      <c r="BO245" s="540"/>
      <c r="BP245" s="540"/>
      <c r="BQ245" s="539">
        <v>0</v>
      </c>
      <c r="BR245" s="541"/>
      <c r="BS245" s="541"/>
      <c r="BT245" s="541"/>
      <c r="BU245" s="541"/>
      <c r="BV245" s="541"/>
      <c r="BW245" s="541">
        <v>0</v>
      </c>
      <c r="BX245" s="541"/>
      <c r="BY245" s="541"/>
      <c r="BZ245" s="539">
        <f t="shared" si="217"/>
        <v>25000000</v>
      </c>
      <c r="CA245" s="539">
        <f t="shared" si="218"/>
        <v>15840000</v>
      </c>
      <c r="CB245" s="539">
        <f t="shared" si="219"/>
        <v>5280000</v>
      </c>
    </row>
    <row r="246" spans="1:88" s="11" customFormat="1" ht="96.75" customHeight="1" x14ac:dyDescent="0.2">
      <c r="A246" s="54"/>
      <c r="B246" s="54"/>
      <c r="C246" s="691">
        <v>6</v>
      </c>
      <c r="D246" s="692" t="s">
        <v>309</v>
      </c>
      <c r="E246" s="691" t="s">
        <v>310</v>
      </c>
      <c r="F246" s="691" t="s">
        <v>311</v>
      </c>
      <c r="G246" s="139"/>
      <c r="H246" s="57">
        <v>42</v>
      </c>
      <c r="I246" s="56" t="s">
        <v>317</v>
      </c>
      <c r="J246" s="131">
        <v>1</v>
      </c>
      <c r="K246" s="207">
        <v>1</v>
      </c>
      <c r="L246" s="489">
        <v>0</v>
      </c>
      <c r="M246" s="852"/>
      <c r="N246" s="878"/>
      <c r="O246" s="858"/>
      <c r="P246" s="855"/>
      <c r="Q246" s="207" t="s">
        <v>51</v>
      </c>
      <c r="R246" s="539">
        <v>0</v>
      </c>
      <c r="S246" s="539"/>
      <c r="T246" s="539"/>
      <c r="U246" s="539">
        <v>0</v>
      </c>
      <c r="V246" s="539"/>
      <c r="W246" s="539"/>
      <c r="X246" s="539">
        <v>0</v>
      </c>
      <c r="Y246" s="539"/>
      <c r="Z246" s="539"/>
      <c r="AA246" s="539">
        <v>0</v>
      </c>
      <c r="AB246" s="539"/>
      <c r="AC246" s="539"/>
      <c r="AD246" s="539">
        <v>0</v>
      </c>
      <c r="AE246" s="539"/>
      <c r="AF246" s="539"/>
      <c r="AG246" s="539">
        <v>0</v>
      </c>
      <c r="AH246" s="539"/>
      <c r="AI246" s="539"/>
      <c r="AJ246" s="539">
        <v>0</v>
      </c>
      <c r="AK246" s="539"/>
      <c r="AL246" s="539"/>
      <c r="AM246" s="539"/>
      <c r="AN246" s="539"/>
      <c r="AO246" s="539"/>
      <c r="AP246" s="539"/>
      <c r="AQ246" s="539"/>
      <c r="AR246" s="539"/>
      <c r="AS246" s="539">
        <v>0</v>
      </c>
      <c r="AT246" s="539"/>
      <c r="AU246" s="539"/>
      <c r="AV246" s="539">
        <v>0</v>
      </c>
      <c r="AW246" s="539"/>
      <c r="AX246" s="539"/>
      <c r="AY246" s="539"/>
      <c r="AZ246" s="539"/>
      <c r="BA246" s="539"/>
      <c r="BB246" s="539"/>
      <c r="BC246" s="539"/>
      <c r="BD246" s="539"/>
      <c r="BE246" s="539">
        <v>0</v>
      </c>
      <c r="BF246" s="539"/>
      <c r="BG246" s="539"/>
      <c r="BH246" s="539">
        <v>0</v>
      </c>
      <c r="BI246" s="539"/>
      <c r="BJ246" s="539"/>
      <c r="BK246" s="540">
        <f>35000000+70000000</f>
        <v>105000000</v>
      </c>
      <c r="BL246" s="540">
        <v>15840000</v>
      </c>
      <c r="BM246" s="540">
        <v>5280000</v>
      </c>
      <c r="BN246" s="540"/>
      <c r="BO246" s="540"/>
      <c r="BP246" s="540"/>
      <c r="BQ246" s="539">
        <v>0</v>
      </c>
      <c r="BR246" s="539"/>
      <c r="BS246" s="539"/>
      <c r="BT246" s="539"/>
      <c r="BU246" s="539"/>
      <c r="BV246" s="539"/>
      <c r="BW246" s="539">
        <v>0</v>
      </c>
      <c r="BX246" s="539"/>
      <c r="BY246" s="539"/>
      <c r="BZ246" s="539">
        <f t="shared" si="217"/>
        <v>105000000</v>
      </c>
      <c r="CA246" s="539">
        <f t="shared" si="218"/>
        <v>15840000</v>
      </c>
      <c r="CB246" s="539">
        <f t="shared" si="219"/>
        <v>5280000</v>
      </c>
    </row>
    <row r="247" spans="1:88" s="459" customFormat="1" ht="15.75" x14ac:dyDescent="0.2">
      <c r="A247" s="54"/>
      <c r="B247" s="54"/>
      <c r="C247" s="510"/>
      <c r="D247" s="518"/>
      <c r="E247" s="510"/>
      <c r="F247" s="510"/>
      <c r="G247" s="77"/>
      <c r="H247" s="78"/>
      <c r="I247" s="77"/>
      <c r="J247" s="164"/>
      <c r="K247" s="240"/>
      <c r="L247" s="240"/>
      <c r="M247" s="240"/>
      <c r="N247" s="164"/>
      <c r="O247" s="78"/>
      <c r="P247" s="77"/>
      <c r="Q247" s="78"/>
      <c r="R247" s="548">
        <f t="shared" ref="R247:BY247" si="220">SUM(R242:R246)</f>
        <v>0</v>
      </c>
      <c r="S247" s="548">
        <f t="shared" si="220"/>
        <v>0</v>
      </c>
      <c r="T247" s="548">
        <f t="shared" si="220"/>
        <v>0</v>
      </c>
      <c r="U247" s="548">
        <f t="shared" si="220"/>
        <v>0</v>
      </c>
      <c r="V247" s="548">
        <f t="shared" si="220"/>
        <v>0</v>
      </c>
      <c r="W247" s="548">
        <f t="shared" si="220"/>
        <v>0</v>
      </c>
      <c r="X247" s="548">
        <f t="shared" si="220"/>
        <v>0</v>
      </c>
      <c r="Y247" s="548">
        <f t="shared" si="220"/>
        <v>0</v>
      </c>
      <c r="Z247" s="548">
        <f t="shared" si="220"/>
        <v>0</v>
      </c>
      <c r="AA247" s="548">
        <f t="shared" si="220"/>
        <v>0</v>
      </c>
      <c r="AB247" s="548">
        <f t="shared" si="220"/>
        <v>0</v>
      </c>
      <c r="AC247" s="548">
        <f t="shared" si="220"/>
        <v>0</v>
      </c>
      <c r="AD247" s="548">
        <f t="shared" si="220"/>
        <v>0</v>
      </c>
      <c r="AE247" s="548">
        <f t="shared" si="220"/>
        <v>0</v>
      </c>
      <c r="AF247" s="548">
        <f t="shared" si="220"/>
        <v>0</v>
      </c>
      <c r="AG247" s="548">
        <f t="shared" si="220"/>
        <v>0</v>
      </c>
      <c r="AH247" s="548">
        <f t="shared" si="220"/>
        <v>0</v>
      </c>
      <c r="AI247" s="548">
        <f t="shared" si="220"/>
        <v>0</v>
      </c>
      <c r="AJ247" s="548">
        <f t="shared" si="220"/>
        <v>0</v>
      </c>
      <c r="AK247" s="548">
        <f t="shared" si="220"/>
        <v>0</v>
      </c>
      <c r="AL247" s="548">
        <f t="shared" si="220"/>
        <v>0</v>
      </c>
      <c r="AM247" s="548">
        <f t="shared" si="220"/>
        <v>0</v>
      </c>
      <c r="AN247" s="548">
        <f t="shared" si="220"/>
        <v>0</v>
      </c>
      <c r="AO247" s="548">
        <f t="shared" si="220"/>
        <v>0</v>
      </c>
      <c r="AP247" s="548">
        <f t="shared" si="220"/>
        <v>0</v>
      </c>
      <c r="AQ247" s="548">
        <f t="shared" si="220"/>
        <v>0</v>
      </c>
      <c r="AR247" s="548">
        <f t="shared" si="220"/>
        <v>0</v>
      </c>
      <c r="AS247" s="548">
        <f t="shared" si="220"/>
        <v>0</v>
      </c>
      <c r="AT247" s="548">
        <f t="shared" si="220"/>
        <v>0</v>
      </c>
      <c r="AU247" s="548">
        <f t="shared" si="220"/>
        <v>0</v>
      </c>
      <c r="AV247" s="548">
        <f t="shared" si="220"/>
        <v>0</v>
      </c>
      <c r="AW247" s="548">
        <f t="shared" si="220"/>
        <v>0</v>
      </c>
      <c r="AX247" s="548">
        <f t="shared" si="220"/>
        <v>0</v>
      </c>
      <c r="AY247" s="548">
        <f t="shared" si="220"/>
        <v>0</v>
      </c>
      <c r="AZ247" s="548">
        <f t="shared" si="220"/>
        <v>0</v>
      </c>
      <c r="BA247" s="548">
        <f t="shared" si="220"/>
        <v>0</v>
      </c>
      <c r="BB247" s="548">
        <f t="shared" si="220"/>
        <v>0</v>
      </c>
      <c r="BC247" s="548">
        <f t="shared" si="220"/>
        <v>0</v>
      </c>
      <c r="BD247" s="548">
        <f t="shared" si="220"/>
        <v>0</v>
      </c>
      <c r="BE247" s="548">
        <f t="shared" si="220"/>
        <v>0</v>
      </c>
      <c r="BF247" s="548">
        <f t="shared" si="220"/>
        <v>0</v>
      </c>
      <c r="BG247" s="548">
        <f t="shared" si="220"/>
        <v>0</v>
      </c>
      <c r="BH247" s="548">
        <f t="shared" si="220"/>
        <v>0</v>
      </c>
      <c r="BI247" s="548">
        <f t="shared" si="220"/>
        <v>0</v>
      </c>
      <c r="BJ247" s="548">
        <f t="shared" si="220"/>
        <v>0</v>
      </c>
      <c r="BK247" s="548">
        <f t="shared" si="220"/>
        <v>293000000</v>
      </c>
      <c r="BL247" s="548">
        <f t="shared" si="220"/>
        <v>111280000</v>
      </c>
      <c r="BM247" s="548">
        <f t="shared" si="220"/>
        <v>15200000</v>
      </c>
      <c r="BN247" s="548">
        <f t="shared" si="220"/>
        <v>0</v>
      </c>
      <c r="BO247" s="548">
        <f t="shared" si="220"/>
        <v>0</v>
      </c>
      <c r="BP247" s="548">
        <f t="shared" si="220"/>
        <v>0</v>
      </c>
      <c r="BQ247" s="548">
        <f t="shared" si="220"/>
        <v>0</v>
      </c>
      <c r="BR247" s="548">
        <f t="shared" si="220"/>
        <v>0</v>
      </c>
      <c r="BS247" s="548">
        <f t="shared" si="220"/>
        <v>0</v>
      </c>
      <c r="BT247" s="548">
        <f t="shared" si="220"/>
        <v>0</v>
      </c>
      <c r="BU247" s="548">
        <f t="shared" si="220"/>
        <v>0</v>
      </c>
      <c r="BV247" s="548">
        <f t="shared" si="220"/>
        <v>0</v>
      </c>
      <c r="BW247" s="548">
        <f t="shared" si="220"/>
        <v>0</v>
      </c>
      <c r="BX247" s="548">
        <f t="shared" si="220"/>
        <v>0</v>
      </c>
      <c r="BY247" s="548">
        <f t="shared" si="220"/>
        <v>0</v>
      </c>
      <c r="BZ247" s="548">
        <f>SUM(BZ242:BZ246)</f>
        <v>293000000</v>
      </c>
      <c r="CA247" s="548">
        <f t="shared" ref="CA247:CB247" si="221">SUM(CA242:CA246)</f>
        <v>111280000</v>
      </c>
      <c r="CB247" s="548">
        <f t="shared" si="221"/>
        <v>15200000</v>
      </c>
    </row>
    <row r="248" spans="1:88" s="11" customFormat="1" ht="15.75" x14ac:dyDescent="0.2">
      <c r="A248" s="54"/>
      <c r="B248" s="54"/>
      <c r="C248" s="55"/>
      <c r="D248" s="56"/>
      <c r="E248" s="57"/>
      <c r="F248" s="57"/>
      <c r="G248" s="56"/>
      <c r="H248" s="57"/>
      <c r="I248" s="56"/>
      <c r="J248" s="131"/>
      <c r="K248" s="275"/>
      <c r="L248" s="276"/>
      <c r="M248" s="276"/>
      <c r="N248" s="277"/>
      <c r="O248" s="495"/>
      <c r="P248" s="67"/>
      <c r="Q248" s="57"/>
      <c r="R248" s="539"/>
      <c r="S248" s="539"/>
      <c r="T248" s="539"/>
      <c r="U248" s="566"/>
      <c r="V248" s="566"/>
      <c r="W248" s="566"/>
      <c r="X248" s="539"/>
      <c r="Y248" s="539"/>
      <c r="Z248" s="539"/>
      <c r="AA248" s="539"/>
      <c r="AB248" s="539"/>
      <c r="AC248" s="539"/>
      <c r="AD248" s="539"/>
      <c r="AE248" s="539"/>
      <c r="AF248" s="539"/>
      <c r="AG248" s="539"/>
      <c r="AH248" s="539"/>
      <c r="AI248" s="539"/>
      <c r="AJ248" s="539"/>
      <c r="AK248" s="539"/>
      <c r="AL248" s="539"/>
      <c r="AM248" s="539"/>
      <c r="AN248" s="539"/>
      <c r="AO248" s="539"/>
      <c r="AP248" s="539"/>
      <c r="AQ248" s="539"/>
      <c r="AR248" s="539"/>
      <c r="AS248" s="539"/>
      <c r="AT248" s="539"/>
      <c r="AU248" s="539"/>
      <c r="AV248" s="539"/>
      <c r="AW248" s="539"/>
      <c r="AX248" s="539"/>
      <c r="AY248" s="539"/>
      <c r="AZ248" s="539"/>
      <c r="BA248" s="539"/>
      <c r="BB248" s="539"/>
      <c r="BC248" s="539"/>
      <c r="BD248" s="539"/>
      <c r="BE248" s="539"/>
      <c r="BF248" s="539"/>
      <c r="BG248" s="539"/>
      <c r="BH248" s="539"/>
      <c r="BI248" s="580"/>
      <c r="BJ248" s="580"/>
      <c r="BK248" s="601"/>
      <c r="BL248" s="601"/>
      <c r="BM248" s="601"/>
      <c r="BN248" s="581"/>
      <c r="BO248" s="581"/>
      <c r="BP248" s="581"/>
      <c r="BQ248" s="539"/>
      <c r="BR248" s="541"/>
      <c r="BS248" s="541"/>
      <c r="BT248" s="541"/>
      <c r="BU248" s="541"/>
      <c r="BV248" s="541"/>
      <c r="BW248" s="541"/>
      <c r="BX248" s="541"/>
      <c r="BY248" s="541"/>
      <c r="BZ248" s="539"/>
      <c r="CA248" s="539"/>
      <c r="CB248" s="539"/>
    </row>
    <row r="249" spans="1:88" s="459" customFormat="1" ht="15.75" x14ac:dyDescent="0.2">
      <c r="A249" s="54"/>
      <c r="B249" s="54"/>
      <c r="C249" s="508"/>
      <c r="D249" s="516"/>
      <c r="E249" s="508"/>
      <c r="F249" s="508"/>
      <c r="G249" s="169">
        <v>9</v>
      </c>
      <c r="H249" s="211" t="s">
        <v>318</v>
      </c>
      <c r="I249" s="100"/>
      <c r="J249" s="100"/>
      <c r="K249" s="278"/>
      <c r="L249" s="278"/>
      <c r="M249" s="278"/>
      <c r="N249" s="100"/>
      <c r="O249" s="212"/>
      <c r="P249" s="100"/>
      <c r="Q249" s="100"/>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c r="AU249" s="336"/>
      <c r="AV249" s="336"/>
      <c r="AW249" s="336"/>
      <c r="AX249" s="336"/>
      <c r="AY249" s="336"/>
      <c r="AZ249" s="336"/>
      <c r="BA249" s="336"/>
      <c r="BB249" s="336"/>
      <c r="BC249" s="336"/>
      <c r="BD249" s="336"/>
      <c r="BE249" s="336"/>
      <c r="BF249" s="336"/>
      <c r="BG249" s="336"/>
      <c r="BH249" s="336"/>
      <c r="BI249" s="336"/>
      <c r="BJ249" s="336"/>
      <c r="BK249" s="552"/>
      <c r="BL249" s="552"/>
      <c r="BM249" s="552"/>
      <c r="BN249" s="336"/>
      <c r="BO249" s="336"/>
      <c r="BP249" s="336"/>
      <c r="BQ249" s="336"/>
      <c r="BR249" s="336"/>
      <c r="BS249" s="336"/>
      <c r="BT249" s="336"/>
      <c r="BU249" s="336"/>
      <c r="BV249" s="336"/>
      <c r="BW249" s="336"/>
      <c r="BX249" s="336"/>
      <c r="BY249" s="336"/>
      <c r="BZ249" s="338"/>
      <c r="CA249" s="338"/>
      <c r="CB249" s="338"/>
    </row>
    <row r="250" spans="1:88" s="11" customFormat="1" ht="59.25" customHeight="1" x14ac:dyDescent="0.2">
      <c r="A250" s="54"/>
      <c r="B250" s="54"/>
      <c r="C250" s="510">
        <v>5</v>
      </c>
      <c r="D250" s="518" t="s">
        <v>304</v>
      </c>
      <c r="E250" s="510">
        <v>12.9</v>
      </c>
      <c r="F250" s="510">
        <v>8.9</v>
      </c>
      <c r="G250" s="856">
        <v>0</v>
      </c>
      <c r="H250" s="57">
        <v>43</v>
      </c>
      <c r="I250" s="56" t="s">
        <v>319</v>
      </c>
      <c r="J250" s="131" t="s">
        <v>42</v>
      </c>
      <c r="K250" s="207">
        <v>3</v>
      </c>
      <c r="L250" s="207">
        <v>1</v>
      </c>
      <c r="M250" s="850">
        <v>2017003630089</v>
      </c>
      <c r="N250" s="856" t="s">
        <v>306</v>
      </c>
      <c r="O250" s="856" t="s">
        <v>320</v>
      </c>
      <c r="P250" s="853" t="s">
        <v>321</v>
      </c>
      <c r="Q250" s="57" t="s">
        <v>67</v>
      </c>
      <c r="R250" s="539">
        <v>0</v>
      </c>
      <c r="S250" s="539"/>
      <c r="T250" s="539"/>
      <c r="U250" s="539">
        <v>0</v>
      </c>
      <c r="V250" s="539"/>
      <c r="W250" s="539"/>
      <c r="X250" s="539">
        <v>0</v>
      </c>
      <c r="Y250" s="539"/>
      <c r="Z250" s="539"/>
      <c r="AA250" s="539">
        <v>0</v>
      </c>
      <c r="AB250" s="539"/>
      <c r="AC250" s="539"/>
      <c r="AD250" s="539">
        <v>0</v>
      </c>
      <c r="AE250" s="539"/>
      <c r="AF250" s="539"/>
      <c r="AG250" s="539">
        <v>0</v>
      </c>
      <c r="AH250" s="539"/>
      <c r="AI250" s="539"/>
      <c r="AJ250" s="539">
        <v>0</v>
      </c>
      <c r="AK250" s="539"/>
      <c r="AL250" s="539"/>
      <c r="AM250" s="539"/>
      <c r="AN250" s="539"/>
      <c r="AO250" s="539"/>
      <c r="AP250" s="539"/>
      <c r="AQ250" s="539"/>
      <c r="AR250" s="539"/>
      <c r="AS250" s="539">
        <v>0</v>
      </c>
      <c r="AT250" s="539"/>
      <c r="AU250" s="539"/>
      <c r="AV250" s="539">
        <v>0</v>
      </c>
      <c r="AW250" s="539"/>
      <c r="AX250" s="539"/>
      <c r="AY250" s="539"/>
      <c r="AZ250" s="539"/>
      <c r="BA250" s="539"/>
      <c r="BB250" s="539"/>
      <c r="BC250" s="539"/>
      <c r="BD250" s="539"/>
      <c r="BE250" s="539">
        <v>0</v>
      </c>
      <c r="BF250" s="539"/>
      <c r="BG250" s="539"/>
      <c r="BH250" s="539">
        <v>0</v>
      </c>
      <c r="BI250" s="539"/>
      <c r="BJ250" s="539"/>
      <c r="BK250" s="540">
        <f>29000000</f>
        <v>29000000</v>
      </c>
      <c r="BL250" s="540">
        <v>15840000</v>
      </c>
      <c r="BM250" s="540">
        <v>5280000</v>
      </c>
      <c r="BN250" s="540"/>
      <c r="BO250" s="540"/>
      <c r="BP250" s="540"/>
      <c r="BQ250" s="539">
        <v>0</v>
      </c>
      <c r="BR250" s="541"/>
      <c r="BS250" s="541"/>
      <c r="BT250" s="541"/>
      <c r="BU250" s="541"/>
      <c r="BV250" s="541"/>
      <c r="BW250" s="541">
        <v>0</v>
      </c>
      <c r="BX250" s="541"/>
      <c r="BY250" s="541"/>
      <c r="BZ250" s="539">
        <f t="shared" ref="BZ250:BZ253" si="222">R250+U250+X250+AA250+AD250+AG250+AJ250+AM250+AP250+AS250+AV250+AY250+BB250+BE250+BH250+BK250+BN250+BQ250+BT250+BW250</f>
        <v>29000000</v>
      </c>
      <c r="CA250" s="539">
        <f t="shared" ref="CA250:CA253" si="223">S250+V250+Y250+AB250+AE250+AH250+AK250+AN250+AQ250+AT250+AW250+AZ250+BC250+BF250+BI250+BL250+BO250+BR250+BU250+BX250</f>
        <v>15840000</v>
      </c>
      <c r="CB250" s="539">
        <f t="shared" ref="CB250:CB253" si="224">T250+W250+Z250+AC250+AF250+AI250+AL250+AO250+AR250+AU250+AX250+BA250+BD250+BG250+BJ250+BM250+BP250+BS250+BV250+BY250</f>
        <v>5280000</v>
      </c>
    </row>
    <row r="251" spans="1:88" s="11" customFormat="1" ht="62.25" customHeight="1" x14ac:dyDescent="0.2">
      <c r="A251" s="54"/>
      <c r="B251" s="54"/>
      <c r="C251" s="520">
        <v>6</v>
      </c>
      <c r="D251" s="517" t="s">
        <v>322</v>
      </c>
      <c r="E251" s="28" t="s">
        <v>310</v>
      </c>
      <c r="F251" s="28" t="s">
        <v>311</v>
      </c>
      <c r="G251" s="857"/>
      <c r="H251" s="57">
        <v>44</v>
      </c>
      <c r="I251" s="56" t="s">
        <v>323</v>
      </c>
      <c r="J251" s="131">
        <v>0</v>
      </c>
      <c r="K251" s="207">
        <v>1</v>
      </c>
      <c r="L251" s="275">
        <v>0.25</v>
      </c>
      <c r="M251" s="851"/>
      <c r="N251" s="857"/>
      <c r="O251" s="857"/>
      <c r="P251" s="854"/>
      <c r="Q251" s="57" t="s">
        <v>51</v>
      </c>
      <c r="R251" s="539">
        <v>0</v>
      </c>
      <c r="S251" s="539"/>
      <c r="T251" s="539"/>
      <c r="U251" s="539">
        <v>0</v>
      </c>
      <c r="V251" s="539"/>
      <c r="W251" s="539"/>
      <c r="X251" s="539">
        <v>0</v>
      </c>
      <c r="Y251" s="539"/>
      <c r="Z251" s="539"/>
      <c r="AA251" s="539">
        <v>0</v>
      </c>
      <c r="AB251" s="539"/>
      <c r="AC251" s="539"/>
      <c r="AD251" s="539">
        <v>0</v>
      </c>
      <c r="AE251" s="539"/>
      <c r="AF251" s="539"/>
      <c r="AG251" s="539">
        <v>0</v>
      </c>
      <c r="AH251" s="539"/>
      <c r="AI251" s="539"/>
      <c r="AJ251" s="539">
        <v>0</v>
      </c>
      <c r="AK251" s="539"/>
      <c r="AL251" s="539"/>
      <c r="AM251" s="539"/>
      <c r="AN251" s="539"/>
      <c r="AO251" s="539"/>
      <c r="AP251" s="539"/>
      <c r="AQ251" s="539"/>
      <c r="AR251" s="539"/>
      <c r="AS251" s="539">
        <v>0</v>
      </c>
      <c r="AT251" s="539"/>
      <c r="AU251" s="539"/>
      <c r="AV251" s="539">
        <v>0</v>
      </c>
      <c r="AW251" s="539"/>
      <c r="AX251" s="539"/>
      <c r="AY251" s="539"/>
      <c r="AZ251" s="539"/>
      <c r="BA251" s="539"/>
      <c r="BB251" s="539"/>
      <c r="BC251" s="539"/>
      <c r="BD251" s="539"/>
      <c r="BE251" s="539">
        <v>0</v>
      </c>
      <c r="BF251" s="539"/>
      <c r="BG251" s="539"/>
      <c r="BH251" s="539">
        <v>0</v>
      </c>
      <c r="BI251" s="539"/>
      <c r="BJ251" s="539"/>
      <c r="BK251" s="540">
        <f>31680000+31680000</f>
        <v>63360000</v>
      </c>
      <c r="BL251" s="540">
        <v>31680000</v>
      </c>
      <c r="BM251" s="540">
        <v>7920000</v>
      </c>
      <c r="BN251" s="540"/>
      <c r="BO251" s="540"/>
      <c r="BP251" s="540"/>
      <c r="BQ251" s="539">
        <v>0</v>
      </c>
      <c r="BR251" s="541"/>
      <c r="BS251" s="541"/>
      <c r="BT251" s="541"/>
      <c r="BU251" s="541"/>
      <c r="BV251" s="541"/>
      <c r="BW251" s="541">
        <v>0</v>
      </c>
      <c r="BX251" s="541"/>
      <c r="BY251" s="541"/>
      <c r="BZ251" s="539">
        <f t="shared" si="222"/>
        <v>63360000</v>
      </c>
      <c r="CA251" s="539">
        <f t="shared" si="223"/>
        <v>31680000</v>
      </c>
      <c r="CB251" s="539">
        <f t="shared" si="224"/>
        <v>7920000</v>
      </c>
    </row>
    <row r="252" spans="1:88" s="11" customFormat="1" ht="65.25" customHeight="1" x14ac:dyDescent="0.2">
      <c r="A252" s="54"/>
      <c r="B252" s="54"/>
      <c r="C252" s="856">
        <v>7</v>
      </c>
      <c r="D252" s="853" t="s">
        <v>324</v>
      </c>
      <c r="E252" s="856" t="s">
        <v>325</v>
      </c>
      <c r="F252" s="856">
        <v>27</v>
      </c>
      <c r="G252" s="857"/>
      <c r="H252" s="57">
        <v>45</v>
      </c>
      <c r="I252" s="56" t="s">
        <v>326</v>
      </c>
      <c r="J252" s="131" t="s">
        <v>42</v>
      </c>
      <c r="K252" s="207">
        <v>3</v>
      </c>
      <c r="L252" s="207">
        <v>1</v>
      </c>
      <c r="M252" s="851"/>
      <c r="N252" s="857"/>
      <c r="O252" s="857"/>
      <c r="P252" s="854"/>
      <c r="Q252" s="57" t="s">
        <v>67</v>
      </c>
      <c r="R252" s="539"/>
      <c r="S252" s="539"/>
      <c r="T252" s="539"/>
      <c r="U252" s="539"/>
      <c r="V252" s="539"/>
      <c r="W252" s="539"/>
      <c r="X252" s="539"/>
      <c r="Y252" s="539"/>
      <c r="Z252" s="539"/>
      <c r="AA252" s="539"/>
      <c r="AB252" s="539"/>
      <c r="AC252" s="539"/>
      <c r="AD252" s="539"/>
      <c r="AE252" s="539"/>
      <c r="AF252" s="539"/>
      <c r="AG252" s="539"/>
      <c r="AH252" s="539"/>
      <c r="AI252" s="539"/>
      <c r="AJ252" s="539"/>
      <c r="AK252" s="539"/>
      <c r="AL252" s="539"/>
      <c r="AM252" s="539"/>
      <c r="AN252" s="539"/>
      <c r="AO252" s="539"/>
      <c r="AP252" s="539"/>
      <c r="AQ252" s="539"/>
      <c r="AR252" s="539"/>
      <c r="AS252" s="539"/>
      <c r="AT252" s="539"/>
      <c r="AU252" s="539"/>
      <c r="AV252" s="539"/>
      <c r="AW252" s="539"/>
      <c r="AX252" s="539"/>
      <c r="AY252" s="539"/>
      <c r="AZ252" s="539"/>
      <c r="BA252" s="539"/>
      <c r="BB252" s="539"/>
      <c r="BC252" s="539"/>
      <c r="BD252" s="539"/>
      <c r="BE252" s="539"/>
      <c r="BF252" s="539"/>
      <c r="BG252" s="539"/>
      <c r="BH252" s="539"/>
      <c r="BI252" s="539"/>
      <c r="BJ252" s="539"/>
      <c r="BK252" s="540">
        <f>99320000+15840000</f>
        <v>115160000</v>
      </c>
      <c r="BL252" s="540">
        <v>57660000</v>
      </c>
      <c r="BM252" s="540">
        <v>12250000</v>
      </c>
      <c r="BN252" s="540"/>
      <c r="BO252" s="540"/>
      <c r="BP252" s="540"/>
      <c r="BQ252" s="539"/>
      <c r="BR252" s="541"/>
      <c r="BS252" s="541"/>
      <c r="BT252" s="541"/>
      <c r="BU252" s="541"/>
      <c r="BV252" s="541"/>
      <c r="BW252" s="541"/>
      <c r="BX252" s="541"/>
      <c r="BY252" s="541"/>
      <c r="BZ252" s="539">
        <f t="shared" si="222"/>
        <v>115160000</v>
      </c>
      <c r="CA252" s="539">
        <f t="shared" si="223"/>
        <v>57660000</v>
      </c>
      <c r="CB252" s="539">
        <f t="shared" si="224"/>
        <v>12250000</v>
      </c>
    </row>
    <row r="253" spans="1:88" s="11" customFormat="1" ht="65.25" customHeight="1" x14ac:dyDescent="0.2">
      <c r="A253" s="54"/>
      <c r="B253" s="54"/>
      <c r="C253" s="857"/>
      <c r="D253" s="854"/>
      <c r="E253" s="857"/>
      <c r="F253" s="857"/>
      <c r="G253" s="858"/>
      <c r="H253" s="57">
        <v>46</v>
      </c>
      <c r="I253" s="56" t="s">
        <v>327</v>
      </c>
      <c r="J253" s="131">
        <v>0</v>
      </c>
      <c r="K253" s="207">
        <v>1</v>
      </c>
      <c r="L253" s="275">
        <v>0.25</v>
      </c>
      <c r="M253" s="852"/>
      <c r="N253" s="858"/>
      <c r="O253" s="858"/>
      <c r="P253" s="855"/>
      <c r="Q253" s="57" t="s">
        <v>51</v>
      </c>
      <c r="R253" s="539">
        <v>0</v>
      </c>
      <c r="S253" s="539"/>
      <c r="T253" s="539"/>
      <c r="U253" s="539">
        <v>0</v>
      </c>
      <c r="V253" s="539"/>
      <c r="W253" s="539"/>
      <c r="X253" s="539">
        <v>0</v>
      </c>
      <c r="Y253" s="539"/>
      <c r="Z253" s="539"/>
      <c r="AA253" s="539">
        <v>0</v>
      </c>
      <c r="AB253" s="539"/>
      <c r="AC253" s="539"/>
      <c r="AD253" s="539">
        <v>0</v>
      </c>
      <c r="AE253" s="539"/>
      <c r="AF253" s="539"/>
      <c r="AG253" s="539">
        <v>0</v>
      </c>
      <c r="AH253" s="539"/>
      <c r="AI253" s="539"/>
      <c r="AJ253" s="539">
        <v>0</v>
      </c>
      <c r="AK253" s="539"/>
      <c r="AL253" s="539"/>
      <c r="AM253" s="539"/>
      <c r="AN253" s="539"/>
      <c r="AO253" s="539"/>
      <c r="AP253" s="539"/>
      <c r="AQ253" s="539"/>
      <c r="AR253" s="539"/>
      <c r="AS253" s="539">
        <v>0</v>
      </c>
      <c r="AT253" s="539"/>
      <c r="AU253" s="539"/>
      <c r="AV253" s="539">
        <v>0</v>
      </c>
      <c r="AW253" s="539"/>
      <c r="AX253" s="539"/>
      <c r="AY253" s="539"/>
      <c r="AZ253" s="539"/>
      <c r="BA253" s="539"/>
      <c r="BB253" s="539"/>
      <c r="BC253" s="539"/>
      <c r="BD253" s="539"/>
      <c r="BE253" s="539">
        <v>0</v>
      </c>
      <c r="BF253" s="539"/>
      <c r="BG253" s="539"/>
      <c r="BH253" s="539">
        <v>0</v>
      </c>
      <c r="BI253" s="539"/>
      <c r="BJ253" s="539"/>
      <c r="BK253" s="540">
        <v>100000000</v>
      </c>
      <c r="BL253" s="540">
        <v>100000000</v>
      </c>
      <c r="BM253" s="540">
        <v>2640000</v>
      </c>
      <c r="BN253" s="540"/>
      <c r="BO253" s="540"/>
      <c r="BP253" s="540"/>
      <c r="BQ253" s="539">
        <v>0</v>
      </c>
      <c r="BR253" s="541"/>
      <c r="BS253" s="541"/>
      <c r="BT253" s="541"/>
      <c r="BU253" s="541"/>
      <c r="BV253" s="541"/>
      <c r="BW253" s="541">
        <v>0</v>
      </c>
      <c r="BX253" s="541"/>
      <c r="BY253" s="541"/>
      <c r="BZ253" s="539">
        <f t="shared" si="222"/>
        <v>100000000</v>
      </c>
      <c r="CA253" s="539">
        <f t="shared" si="223"/>
        <v>100000000</v>
      </c>
      <c r="CB253" s="539">
        <f t="shared" si="224"/>
        <v>2640000</v>
      </c>
    </row>
    <row r="254" spans="1:88" s="459" customFormat="1" ht="15.75" x14ac:dyDescent="0.2">
      <c r="A254" s="54"/>
      <c r="B254" s="54"/>
      <c r="C254" s="510"/>
      <c r="D254" s="518"/>
      <c r="E254" s="510"/>
      <c r="F254" s="510"/>
      <c r="G254" s="77"/>
      <c r="H254" s="78"/>
      <c r="I254" s="77"/>
      <c r="J254" s="164"/>
      <c r="K254" s="279"/>
      <c r="L254" s="279"/>
      <c r="M254" s="279"/>
      <c r="N254" s="164"/>
      <c r="O254" s="78"/>
      <c r="P254" s="77"/>
      <c r="Q254" s="78"/>
      <c r="R254" s="548">
        <f t="shared" ref="R254:BY254" si="225">SUM(R250:R253)</f>
        <v>0</v>
      </c>
      <c r="S254" s="548">
        <f t="shared" si="225"/>
        <v>0</v>
      </c>
      <c r="T254" s="548">
        <f t="shared" si="225"/>
        <v>0</v>
      </c>
      <c r="U254" s="548">
        <f t="shared" si="225"/>
        <v>0</v>
      </c>
      <c r="V254" s="548">
        <f t="shared" si="225"/>
        <v>0</v>
      </c>
      <c r="W254" s="548">
        <f t="shared" si="225"/>
        <v>0</v>
      </c>
      <c r="X254" s="548">
        <f t="shared" si="225"/>
        <v>0</v>
      </c>
      <c r="Y254" s="548">
        <f t="shared" si="225"/>
        <v>0</v>
      </c>
      <c r="Z254" s="548">
        <f t="shared" si="225"/>
        <v>0</v>
      </c>
      <c r="AA254" s="548">
        <f t="shared" si="225"/>
        <v>0</v>
      </c>
      <c r="AB254" s="548">
        <f t="shared" si="225"/>
        <v>0</v>
      </c>
      <c r="AC254" s="548">
        <f t="shared" si="225"/>
        <v>0</v>
      </c>
      <c r="AD254" s="548">
        <f t="shared" si="225"/>
        <v>0</v>
      </c>
      <c r="AE254" s="548">
        <f t="shared" si="225"/>
        <v>0</v>
      </c>
      <c r="AF254" s="548">
        <f t="shared" si="225"/>
        <v>0</v>
      </c>
      <c r="AG254" s="548">
        <f t="shared" si="225"/>
        <v>0</v>
      </c>
      <c r="AH254" s="548">
        <f t="shared" si="225"/>
        <v>0</v>
      </c>
      <c r="AI254" s="548">
        <f t="shared" si="225"/>
        <v>0</v>
      </c>
      <c r="AJ254" s="548">
        <f t="shared" si="225"/>
        <v>0</v>
      </c>
      <c r="AK254" s="548">
        <f t="shared" si="225"/>
        <v>0</v>
      </c>
      <c r="AL254" s="548">
        <f t="shared" si="225"/>
        <v>0</v>
      </c>
      <c r="AM254" s="548">
        <f t="shared" si="225"/>
        <v>0</v>
      </c>
      <c r="AN254" s="548">
        <f t="shared" si="225"/>
        <v>0</v>
      </c>
      <c r="AO254" s="548">
        <f t="shared" si="225"/>
        <v>0</v>
      </c>
      <c r="AP254" s="548">
        <f t="shared" si="225"/>
        <v>0</v>
      </c>
      <c r="AQ254" s="548">
        <f t="shared" si="225"/>
        <v>0</v>
      </c>
      <c r="AR254" s="548">
        <f t="shared" si="225"/>
        <v>0</v>
      </c>
      <c r="AS254" s="548">
        <f t="shared" si="225"/>
        <v>0</v>
      </c>
      <c r="AT254" s="548">
        <f t="shared" si="225"/>
        <v>0</v>
      </c>
      <c r="AU254" s="548">
        <f t="shared" si="225"/>
        <v>0</v>
      </c>
      <c r="AV254" s="548">
        <f t="shared" si="225"/>
        <v>0</v>
      </c>
      <c r="AW254" s="548">
        <f t="shared" si="225"/>
        <v>0</v>
      </c>
      <c r="AX254" s="548">
        <f t="shared" si="225"/>
        <v>0</v>
      </c>
      <c r="AY254" s="548">
        <f t="shared" si="225"/>
        <v>0</v>
      </c>
      <c r="AZ254" s="548">
        <f t="shared" si="225"/>
        <v>0</v>
      </c>
      <c r="BA254" s="548">
        <f t="shared" si="225"/>
        <v>0</v>
      </c>
      <c r="BB254" s="548">
        <f t="shared" si="225"/>
        <v>0</v>
      </c>
      <c r="BC254" s="548">
        <f t="shared" si="225"/>
        <v>0</v>
      </c>
      <c r="BD254" s="548">
        <f t="shared" si="225"/>
        <v>0</v>
      </c>
      <c r="BE254" s="548">
        <f t="shared" si="225"/>
        <v>0</v>
      </c>
      <c r="BF254" s="548">
        <f t="shared" si="225"/>
        <v>0</v>
      </c>
      <c r="BG254" s="548">
        <f t="shared" si="225"/>
        <v>0</v>
      </c>
      <c r="BH254" s="548">
        <f t="shared" si="225"/>
        <v>0</v>
      </c>
      <c r="BI254" s="548">
        <f t="shared" si="225"/>
        <v>0</v>
      </c>
      <c r="BJ254" s="548">
        <f t="shared" si="225"/>
        <v>0</v>
      </c>
      <c r="BK254" s="548">
        <f t="shared" si="225"/>
        <v>307520000</v>
      </c>
      <c r="BL254" s="548">
        <f t="shared" si="225"/>
        <v>205180000</v>
      </c>
      <c r="BM254" s="548">
        <f t="shared" si="225"/>
        <v>28090000</v>
      </c>
      <c r="BN254" s="548">
        <f t="shared" si="225"/>
        <v>0</v>
      </c>
      <c r="BO254" s="548">
        <f t="shared" si="225"/>
        <v>0</v>
      </c>
      <c r="BP254" s="548">
        <f t="shared" si="225"/>
        <v>0</v>
      </c>
      <c r="BQ254" s="548">
        <f t="shared" si="225"/>
        <v>0</v>
      </c>
      <c r="BR254" s="548">
        <f t="shared" si="225"/>
        <v>0</v>
      </c>
      <c r="BS254" s="548">
        <f t="shared" si="225"/>
        <v>0</v>
      </c>
      <c r="BT254" s="548">
        <f t="shared" si="225"/>
        <v>0</v>
      </c>
      <c r="BU254" s="548">
        <f t="shared" si="225"/>
        <v>0</v>
      </c>
      <c r="BV254" s="548">
        <f t="shared" si="225"/>
        <v>0</v>
      </c>
      <c r="BW254" s="548">
        <f t="shared" si="225"/>
        <v>0</v>
      </c>
      <c r="BX254" s="548">
        <f t="shared" si="225"/>
        <v>0</v>
      </c>
      <c r="BY254" s="548">
        <f t="shared" si="225"/>
        <v>0</v>
      </c>
      <c r="BZ254" s="548">
        <f>SUM(BZ250:BZ253)</f>
        <v>307520000</v>
      </c>
      <c r="CA254" s="548">
        <f t="shared" ref="CA254:CB254" si="226">SUM(CA250:CA253)</f>
        <v>205180000</v>
      </c>
      <c r="CB254" s="548">
        <f t="shared" si="226"/>
        <v>28090000</v>
      </c>
    </row>
    <row r="255" spans="1:88" s="457" customFormat="1" ht="15.75" x14ac:dyDescent="0.2">
      <c r="A255" s="54"/>
      <c r="B255" s="54"/>
      <c r="C255" s="92"/>
      <c r="D255" s="91"/>
      <c r="E255" s="92"/>
      <c r="F255" s="92"/>
      <c r="G255" s="91"/>
      <c r="H255" s="92"/>
      <c r="I255" s="91"/>
      <c r="J255" s="183"/>
      <c r="K255" s="280"/>
      <c r="L255" s="280"/>
      <c r="M255" s="280"/>
      <c r="N255" s="183"/>
      <c r="O255" s="500"/>
      <c r="P255" s="91"/>
      <c r="Q255" s="92"/>
      <c r="R255" s="543"/>
      <c r="S255" s="543"/>
      <c r="T255" s="543"/>
      <c r="U255" s="544"/>
      <c r="V255" s="544"/>
      <c r="W255" s="544"/>
      <c r="X255" s="543"/>
      <c r="Y255" s="543"/>
      <c r="Z255" s="543"/>
      <c r="AA255" s="543"/>
      <c r="AB255" s="543"/>
      <c r="AC255" s="543"/>
      <c r="AD255" s="543"/>
      <c r="AE255" s="543"/>
      <c r="AF255" s="543"/>
      <c r="AG255" s="543"/>
      <c r="AH255" s="543"/>
      <c r="AI255" s="543"/>
      <c r="AJ255" s="543"/>
      <c r="AK255" s="543"/>
      <c r="AL255" s="543"/>
      <c r="AM255" s="543"/>
      <c r="AN255" s="543"/>
      <c r="AO255" s="543"/>
      <c r="AP255" s="543"/>
      <c r="AQ255" s="543"/>
      <c r="AR255" s="543"/>
      <c r="AS255" s="543"/>
      <c r="AT255" s="543"/>
      <c r="AU255" s="543"/>
      <c r="AV255" s="543"/>
      <c r="AW255" s="543"/>
      <c r="AX255" s="543"/>
      <c r="AY255" s="543"/>
      <c r="AZ255" s="543"/>
      <c r="BA255" s="543"/>
      <c r="BB255" s="543"/>
      <c r="BC255" s="543"/>
      <c r="BD255" s="543"/>
      <c r="BE255" s="543"/>
      <c r="BF255" s="543"/>
      <c r="BG255" s="543"/>
      <c r="BH255" s="543"/>
      <c r="BI255" s="543"/>
      <c r="BJ255" s="543"/>
      <c r="BK255" s="545" t="s">
        <v>62</v>
      </c>
      <c r="BL255" s="545"/>
      <c r="BM255" s="545"/>
      <c r="BN255" s="546"/>
      <c r="BO255" s="546"/>
      <c r="BP255" s="546"/>
      <c r="BQ255" s="543"/>
      <c r="BR255" s="543"/>
      <c r="BS255" s="543"/>
      <c r="BT255" s="543"/>
      <c r="BU255" s="543"/>
      <c r="BV255" s="543"/>
      <c r="BW255" s="543"/>
      <c r="BX255" s="543"/>
      <c r="BY255" s="543"/>
      <c r="BZ255" s="543"/>
      <c r="CA255" s="543"/>
      <c r="CB255" s="543"/>
      <c r="CC255" s="11"/>
      <c r="CD255" s="11"/>
      <c r="CE255" s="11"/>
      <c r="CF255" s="11"/>
      <c r="CG255" s="11"/>
      <c r="CH255" s="11"/>
      <c r="CI255" s="11"/>
      <c r="CJ255" s="11"/>
    </row>
    <row r="256" spans="1:88" s="459" customFormat="1" ht="15.75" x14ac:dyDescent="0.2">
      <c r="A256" s="54"/>
      <c r="B256" s="54"/>
      <c r="C256" s="508"/>
      <c r="D256" s="516"/>
      <c r="E256" s="508"/>
      <c r="F256" s="508"/>
      <c r="G256" s="281">
        <v>10</v>
      </c>
      <c r="H256" s="211" t="s">
        <v>328</v>
      </c>
      <c r="I256" s="100"/>
      <c r="J256" s="100"/>
      <c r="K256" s="278"/>
      <c r="L256" s="278"/>
      <c r="M256" s="278"/>
      <c r="N256" s="100"/>
      <c r="O256" s="212"/>
      <c r="P256" s="100"/>
      <c r="Q256" s="100"/>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c r="BH256" s="336"/>
      <c r="BI256" s="336"/>
      <c r="BJ256" s="336"/>
      <c r="BK256" s="552"/>
      <c r="BL256" s="552"/>
      <c r="BM256" s="552"/>
      <c r="BN256" s="336"/>
      <c r="BO256" s="336"/>
      <c r="BP256" s="336"/>
      <c r="BQ256" s="336"/>
      <c r="BR256" s="336"/>
      <c r="BS256" s="336"/>
      <c r="BT256" s="336"/>
      <c r="BU256" s="336"/>
      <c r="BV256" s="336"/>
      <c r="BW256" s="336"/>
      <c r="BX256" s="336"/>
      <c r="BY256" s="336"/>
      <c r="BZ256" s="338"/>
      <c r="CA256" s="338"/>
      <c r="CB256" s="338"/>
    </row>
    <row r="257" spans="1:80" s="11" customFormat="1" ht="92.25" customHeight="1" x14ac:dyDescent="0.2">
      <c r="A257" s="54"/>
      <c r="B257" s="54"/>
      <c r="C257" s="510">
        <v>5</v>
      </c>
      <c r="D257" s="518" t="s">
        <v>329</v>
      </c>
      <c r="E257" s="510" t="s">
        <v>330</v>
      </c>
      <c r="F257" s="510" t="s">
        <v>331</v>
      </c>
      <c r="G257" s="64"/>
      <c r="H257" s="57">
        <v>47</v>
      </c>
      <c r="I257" s="56" t="s">
        <v>332</v>
      </c>
      <c r="J257" s="131">
        <v>0</v>
      </c>
      <c r="K257" s="207">
        <v>36</v>
      </c>
      <c r="L257" s="207">
        <v>6</v>
      </c>
      <c r="M257" s="850">
        <v>2017003630046</v>
      </c>
      <c r="N257" s="890" t="s">
        <v>306</v>
      </c>
      <c r="O257" s="856" t="s">
        <v>333</v>
      </c>
      <c r="P257" s="853" t="s">
        <v>334</v>
      </c>
      <c r="Q257" s="57" t="s">
        <v>67</v>
      </c>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39"/>
      <c r="AY257" s="539"/>
      <c r="AZ257" s="539"/>
      <c r="BA257" s="539"/>
      <c r="BB257" s="539"/>
      <c r="BC257" s="539"/>
      <c r="BD257" s="539"/>
      <c r="BE257" s="539"/>
      <c r="BF257" s="539"/>
      <c r="BG257" s="539"/>
      <c r="BH257" s="539"/>
      <c r="BI257" s="539"/>
      <c r="BJ257" s="539"/>
      <c r="BK257" s="540">
        <f>55000000+75840000</f>
        <v>130840000</v>
      </c>
      <c r="BL257" s="540">
        <f>'[4]Metas y Proyectos '!$P$29+'[4]Metas y Proyectos '!$P$30</f>
        <v>130840000</v>
      </c>
      <c r="BM257" s="540">
        <v>7340000</v>
      </c>
      <c r="BN257" s="540"/>
      <c r="BO257" s="540"/>
      <c r="BP257" s="540"/>
      <c r="BQ257" s="539"/>
      <c r="BR257" s="541"/>
      <c r="BS257" s="541"/>
      <c r="BT257" s="541"/>
      <c r="BU257" s="541"/>
      <c r="BV257" s="541"/>
      <c r="BW257" s="541"/>
      <c r="BX257" s="541"/>
      <c r="BY257" s="541"/>
      <c r="BZ257" s="539">
        <f t="shared" ref="BZ257:BZ259" si="227">R257+U257+X257+AA257+AD257+AG257+AJ257+AM257+AP257+AS257+AV257+AY257+BB257+BE257+BH257+BK257+BN257+BQ257+BT257+BW257</f>
        <v>130840000</v>
      </c>
      <c r="CA257" s="539">
        <f t="shared" ref="CA257:CA259" si="228">S257+V257+Y257+AB257+AE257+AH257+AK257+AN257+AQ257+AT257+AW257+AZ257+BC257+BF257+BI257+BL257+BO257+BR257+BU257+BX257</f>
        <v>130840000</v>
      </c>
      <c r="CB257" s="539">
        <f t="shared" ref="CB257:CB259" si="229">T257+W257+Z257+AC257+AF257+AI257+AL257+AO257+AR257+AU257+AX257+BA257+BD257+BG257+BJ257+BM257+BP257+BS257+BV257+BY257</f>
        <v>7340000</v>
      </c>
    </row>
    <row r="258" spans="1:80" s="11" customFormat="1" ht="54" customHeight="1" x14ac:dyDescent="0.2">
      <c r="A258" s="54"/>
      <c r="B258" s="54"/>
      <c r="C258" s="282">
        <v>6</v>
      </c>
      <c r="D258" s="64" t="s">
        <v>322</v>
      </c>
      <c r="E258" s="28" t="s">
        <v>310</v>
      </c>
      <c r="F258" s="28" t="s">
        <v>311</v>
      </c>
      <c r="G258" s="64"/>
      <c r="H258" s="57">
        <v>48</v>
      </c>
      <c r="I258" s="56" t="s">
        <v>335</v>
      </c>
      <c r="J258" s="131">
        <v>0</v>
      </c>
      <c r="K258" s="207">
        <v>1</v>
      </c>
      <c r="L258" s="207">
        <v>0</v>
      </c>
      <c r="M258" s="851"/>
      <c r="N258" s="891"/>
      <c r="O258" s="857"/>
      <c r="P258" s="854"/>
      <c r="Q258" s="57" t="s">
        <v>51</v>
      </c>
      <c r="R258" s="539">
        <v>0</v>
      </c>
      <c r="S258" s="539"/>
      <c r="T258" s="539"/>
      <c r="U258" s="539">
        <v>0</v>
      </c>
      <c r="V258" s="539"/>
      <c r="W258" s="539"/>
      <c r="X258" s="539">
        <v>0</v>
      </c>
      <c r="Y258" s="539"/>
      <c r="Z258" s="539"/>
      <c r="AA258" s="539">
        <v>0</v>
      </c>
      <c r="AB258" s="539"/>
      <c r="AC258" s="539"/>
      <c r="AD258" s="539">
        <v>0</v>
      </c>
      <c r="AE258" s="539"/>
      <c r="AF258" s="539"/>
      <c r="AG258" s="539">
        <v>0</v>
      </c>
      <c r="AH258" s="539"/>
      <c r="AI258" s="539"/>
      <c r="AJ258" s="539">
        <v>0</v>
      </c>
      <c r="AK258" s="539"/>
      <c r="AL258" s="539"/>
      <c r="AM258" s="539"/>
      <c r="AN258" s="539"/>
      <c r="AO258" s="539"/>
      <c r="AP258" s="539"/>
      <c r="AQ258" s="539"/>
      <c r="AR258" s="539"/>
      <c r="AS258" s="539">
        <v>0</v>
      </c>
      <c r="AT258" s="539"/>
      <c r="AU258" s="539"/>
      <c r="AV258" s="539">
        <v>0</v>
      </c>
      <c r="AW258" s="539"/>
      <c r="AX258" s="539"/>
      <c r="AY258" s="539"/>
      <c r="AZ258" s="539"/>
      <c r="BA258" s="539"/>
      <c r="BB258" s="539"/>
      <c r="BC258" s="539"/>
      <c r="BD258" s="539"/>
      <c r="BE258" s="539">
        <v>0</v>
      </c>
      <c r="BF258" s="539"/>
      <c r="BG258" s="539"/>
      <c r="BH258" s="539">
        <v>0</v>
      </c>
      <c r="BI258" s="539"/>
      <c r="BJ258" s="539"/>
      <c r="BK258" s="540">
        <v>200000000</v>
      </c>
      <c r="BL258" s="540"/>
      <c r="BM258" s="540"/>
      <c r="BN258" s="540"/>
      <c r="BO258" s="540"/>
      <c r="BP258" s="540"/>
      <c r="BQ258" s="539">
        <v>0</v>
      </c>
      <c r="BR258" s="541"/>
      <c r="BS258" s="541"/>
      <c r="BT258" s="541"/>
      <c r="BU258" s="541"/>
      <c r="BV258" s="541"/>
      <c r="BW258" s="541">
        <v>0</v>
      </c>
      <c r="BX258" s="541"/>
      <c r="BY258" s="541"/>
      <c r="BZ258" s="539">
        <f t="shared" si="227"/>
        <v>200000000</v>
      </c>
      <c r="CA258" s="539">
        <f t="shared" si="228"/>
        <v>0</v>
      </c>
      <c r="CB258" s="539">
        <f t="shared" si="229"/>
        <v>0</v>
      </c>
    </row>
    <row r="259" spans="1:80" s="11" customFormat="1" ht="97.5" customHeight="1" thickBot="1" x14ac:dyDescent="0.25">
      <c r="A259" s="54"/>
      <c r="B259" s="54"/>
      <c r="C259" s="508">
        <v>7</v>
      </c>
      <c r="D259" s="516" t="s">
        <v>324</v>
      </c>
      <c r="E259" s="693">
        <v>31.7</v>
      </c>
      <c r="F259" s="508" t="s">
        <v>336</v>
      </c>
      <c r="G259" s="139"/>
      <c r="H259" s="57">
        <v>49</v>
      </c>
      <c r="I259" s="56" t="s">
        <v>337</v>
      </c>
      <c r="J259" s="131">
        <v>0</v>
      </c>
      <c r="K259" s="207">
        <v>1</v>
      </c>
      <c r="L259" s="207">
        <v>0</v>
      </c>
      <c r="M259" s="852"/>
      <c r="N259" s="892"/>
      <c r="O259" s="858"/>
      <c r="P259" s="896"/>
      <c r="Q259" s="57" t="s">
        <v>51</v>
      </c>
      <c r="R259" s="539">
        <v>0</v>
      </c>
      <c r="S259" s="539"/>
      <c r="T259" s="539"/>
      <c r="U259" s="539">
        <v>0</v>
      </c>
      <c r="V259" s="539"/>
      <c r="W259" s="539"/>
      <c r="X259" s="539">
        <v>0</v>
      </c>
      <c r="Y259" s="539"/>
      <c r="Z259" s="539"/>
      <c r="AA259" s="539">
        <v>0</v>
      </c>
      <c r="AB259" s="539"/>
      <c r="AC259" s="539"/>
      <c r="AD259" s="539">
        <v>0</v>
      </c>
      <c r="AE259" s="539"/>
      <c r="AF259" s="539"/>
      <c r="AG259" s="539">
        <v>0</v>
      </c>
      <c r="AH259" s="539"/>
      <c r="AI259" s="539"/>
      <c r="AJ259" s="539">
        <v>0</v>
      </c>
      <c r="AK259" s="539"/>
      <c r="AL259" s="539"/>
      <c r="AM259" s="539"/>
      <c r="AN259" s="539"/>
      <c r="AO259" s="539"/>
      <c r="AP259" s="539"/>
      <c r="AQ259" s="539"/>
      <c r="AR259" s="539"/>
      <c r="AS259" s="539">
        <v>0</v>
      </c>
      <c r="AT259" s="539"/>
      <c r="AU259" s="539"/>
      <c r="AV259" s="539">
        <v>0</v>
      </c>
      <c r="AW259" s="539"/>
      <c r="AX259" s="539"/>
      <c r="AY259" s="539"/>
      <c r="AZ259" s="539"/>
      <c r="BA259" s="539"/>
      <c r="BB259" s="539"/>
      <c r="BC259" s="539"/>
      <c r="BD259" s="539"/>
      <c r="BE259" s="539">
        <v>0</v>
      </c>
      <c r="BF259" s="539"/>
      <c r="BG259" s="539"/>
      <c r="BH259" s="539">
        <v>0</v>
      </c>
      <c r="BI259" s="539"/>
      <c r="BJ259" s="539"/>
      <c r="BK259" s="540">
        <v>5000000</v>
      </c>
      <c r="BL259" s="540"/>
      <c r="BM259" s="540"/>
      <c r="BN259" s="540"/>
      <c r="BO259" s="540"/>
      <c r="BP259" s="540"/>
      <c r="BQ259" s="539">
        <v>0</v>
      </c>
      <c r="BR259" s="541"/>
      <c r="BS259" s="541"/>
      <c r="BT259" s="541"/>
      <c r="BU259" s="541"/>
      <c r="BV259" s="541"/>
      <c r="BW259" s="541">
        <v>0</v>
      </c>
      <c r="BX259" s="541"/>
      <c r="BY259" s="541"/>
      <c r="BZ259" s="539">
        <f t="shared" si="227"/>
        <v>5000000</v>
      </c>
      <c r="CA259" s="539">
        <f t="shared" si="228"/>
        <v>0</v>
      </c>
      <c r="CB259" s="539">
        <f t="shared" si="229"/>
        <v>0</v>
      </c>
    </row>
    <row r="260" spans="1:80" s="459" customFormat="1" ht="16.5" thickTop="1" x14ac:dyDescent="0.2">
      <c r="A260" s="54"/>
      <c r="B260" s="74"/>
      <c r="C260" s="510"/>
      <c r="D260" s="518"/>
      <c r="E260" s="510"/>
      <c r="F260" s="510"/>
      <c r="G260" s="77"/>
      <c r="H260" s="78"/>
      <c r="I260" s="77"/>
      <c r="J260" s="164"/>
      <c r="K260" s="279"/>
      <c r="L260" s="279"/>
      <c r="M260" s="279"/>
      <c r="N260" s="164"/>
      <c r="O260" s="78"/>
      <c r="P260" s="77"/>
      <c r="Q260" s="78"/>
      <c r="R260" s="548">
        <f t="shared" ref="R260:BY260" si="230">SUM(R257:R259)</f>
        <v>0</v>
      </c>
      <c r="S260" s="548">
        <f t="shared" si="230"/>
        <v>0</v>
      </c>
      <c r="T260" s="548">
        <f t="shared" si="230"/>
        <v>0</v>
      </c>
      <c r="U260" s="548">
        <f t="shared" si="230"/>
        <v>0</v>
      </c>
      <c r="V260" s="548">
        <f t="shared" si="230"/>
        <v>0</v>
      </c>
      <c r="W260" s="548">
        <f t="shared" si="230"/>
        <v>0</v>
      </c>
      <c r="X260" s="548">
        <f t="shared" si="230"/>
        <v>0</v>
      </c>
      <c r="Y260" s="548">
        <f t="shared" si="230"/>
        <v>0</v>
      </c>
      <c r="Z260" s="548">
        <f t="shared" si="230"/>
        <v>0</v>
      </c>
      <c r="AA260" s="548">
        <f t="shared" si="230"/>
        <v>0</v>
      </c>
      <c r="AB260" s="548">
        <f t="shared" si="230"/>
        <v>0</v>
      </c>
      <c r="AC260" s="548">
        <f t="shared" si="230"/>
        <v>0</v>
      </c>
      <c r="AD260" s="548">
        <f t="shared" si="230"/>
        <v>0</v>
      </c>
      <c r="AE260" s="548">
        <f t="shared" si="230"/>
        <v>0</v>
      </c>
      <c r="AF260" s="548">
        <f t="shared" si="230"/>
        <v>0</v>
      </c>
      <c r="AG260" s="548">
        <f t="shared" si="230"/>
        <v>0</v>
      </c>
      <c r="AH260" s="548">
        <f t="shared" si="230"/>
        <v>0</v>
      </c>
      <c r="AI260" s="548">
        <f t="shared" si="230"/>
        <v>0</v>
      </c>
      <c r="AJ260" s="548">
        <f t="shared" si="230"/>
        <v>0</v>
      </c>
      <c r="AK260" s="548">
        <f t="shared" si="230"/>
        <v>0</v>
      </c>
      <c r="AL260" s="548">
        <f t="shared" si="230"/>
        <v>0</v>
      </c>
      <c r="AM260" s="548">
        <f t="shared" si="230"/>
        <v>0</v>
      </c>
      <c r="AN260" s="548">
        <f t="shared" si="230"/>
        <v>0</v>
      </c>
      <c r="AO260" s="548">
        <f t="shared" si="230"/>
        <v>0</v>
      </c>
      <c r="AP260" s="548">
        <f t="shared" si="230"/>
        <v>0</v>
      </c>
      <c r="AQ260" s="548">
        <f t="shared" si="230"/>
        <v>0</v>
      </c>
      <c r="AR260" s="548">
        <f t="shared" si="230"/>
        <v>0</v>
      </c>
      <c r="AS260" s="548">
        <f t="shared" si="230"/>
        <v>0</v>
      </c>
      <c r="AT260" s="548">
        <f t="shared" si="230"/>
        <v>0</v>
      </c>
      <c r="AU260" s="548">
        <f t="shared" si="230"/>
        <v>0</v>
      </c>
      <c r="AV260" s="548">
        <f t="shared" si="230"/>
        <v>0</v>
      </c>
      <c r="AW260" s="548">
        <f t="shared" si="230"/>
        <v>0</v>
      </c>
      <c r="AX260" s="548">
        <f t="shared" si="230"/>
        <v>0</v>
      </c>
      <c r="AY260" s="548">
        <f t="shared" si="230"/>
        <v>0</v>
      </c>
      <c r="AZ260" s="548">
        <f t="shared" si="230"/>
        <v>0</v>
      </c>
      <c r="BA260" s="548">
        <f t="shared" si="230"/>
        <v>0</v>
      </c>
      <c r="BB260" s="548">
        <f t="shared" si="230"/>
        <v>0</v>
      </c>
      <c r="BC260" s="548">
        <f t="shared" si="230"/>
        <v>0</v>
      </c>
      <c r="BD260" s="548">
        <f t="shared" si="230"/>
        <v>0</v>
      </c>
      <c r="BE260" s="548">
        <f t="shared" si="230"/>
        <v>0</v>
      </c>
      <c r="BF260" s="548">
        <f t="shared" si="230"/>
        <v>0</v>
      </c>
      <c r="BG260" s="548">
        <f t="shared" si="230"/>
        <v>0</v>
      </c>
      <c r="BH260" s="548">
        <f t="shared" si="230"/>
        <v>0</v>
      </c>
      <c r="BI260" s="548">
        <f t="shared" si="230"/>
        <v>0</v>
      </c>
      <c r="BJ260" s="548">
        <f t="shared" si="230"/>
        <v>0</v>
      </c>
      <c r="BK260" s="548">
        <f t="shared" si="230"/>
        <v>335840000</v>
      </c>
      <c r="BL260" s="548">
        <f t="shared" si="230"/>
        <v>130840000</v>
      </c>
      <c r="BM260" s="548">
        <f t="shared" si="230"/>
        <v>7340000</v>
      </c>
      <c r="BN260" s="548">
        <f t="shared" si="230"/>
        <v>0</v>
      </c>
      <c r="BO260" s="548">
        <f t="shared" si="230"/>
        <v>0</v>
      </c>
      <c r="BP260" s="548">
        <f t="shared" si="230"/>
        <v>0</v>
      </c>
      <c r="BQ260" s="548">
        <f t="shared" si="230"/>
        <v>0</v>
      </c>
      <c r="BR260" s="548">
        <f t="shared" si="230"/>
        <v>0</v>
      </c>
      <c r="BS260" s="548">
        <f t="shared" si="230"/>
        <v>0</v>
      </c>
      <c r="BT260" s="548">
        <f t="shared" si="230"/>
        <v>0</v>
      </c>
      <c r="BU260" s="548">
        <f t="shared" si="230"/>
        <v>0</v>
      </c>
      <c r="BV260" s="548">
        <f t="shared" si="230"/>
        <v>0</v>
      </c>
      <c r="BW260" s="548">
        <f t="shared" si="230"/>
        <v>0</v>
      </c>
      <c r="BX260" s="548">
        <f t="shared" si="230"/>
        <v>0</v>
      </c>
      <c r="BY260" s="548">
        <f t="shared" si="230"/>
        <v>0</v>
      </c>
      <c r="BZ260" s="548">
        <f>SUM(BZ257:BZ259)</f>
        <v>335840000</v>
      </c>
      <c r="CA260" s="548">
        <f t="shared" ref="CA260:CB260" si="231">SUM(CA257:CA259)</f>
        <v>130840000</v>
      </c>
      <c r="CB260" s="548">
        <f t="shared" si="231"/>
        <v>7340000</v>
      </c>
    </row>
    <row r="261" spans="1:80" s="459" customFormat="1" ht="15.75" x14ac:dyDescent="0.2">
      <c r="A261" s="54"/>
      <c r="B261" s="118"/>
      <c r="C261" s="82"/>
      <c r="D261" s="81"/>
      <c r="E261" s="82"/>
      <c r="F261" s="82"/>
      <c r="G261" s="81"/>
      <c r="H261" s="82"/>
      <c r="I261" s="81"/>
      <c r="J261" s="178"/>
      <c r="K261" s="283"/>
      <c r="L261" s="283"/>
      <c r="M261" s="283"/>
      <c r="N261" s="178"/>
      <c r="O261" s="82"/>
      <c r="P261" s="81"/>
      <c r="Q261" s="82"/>
      <c r="R261" s="554">
        <f t="shared" ref="R261:BY261" si="232">R260+R254+R247</f>
        <v>0</v>
      </c>
      <c r="S261" s="554">
        <f t="shared" si="232"/>
        <v>0</v>
      </c>
      <c r="T261" s="554">
        <f t="shared" si="232"/>
        <v>0</v>
      </c>
      <c r="U261" s="554">
        <f t="shared" si="232"/>
        <v>0</v>
      </c>
      <c r="V261" s="554">
        <f t="shared" si="232"/>
        <v>0</v>
      </c>
      <c r="W261" s="554">
        <f t="shared" si="232"/>
        <v>0</v>
      </c>
      <c r="X261" s="554">
        <f t="shared" si="232"/>
        <v>0</v>
      </c>
      <c r="Y261" s="554">
        <f t="shared" si="232"/>
        <v>0</v>
      </c>
      <c r="Z261" s="554">
        <f t="shared" si="232"/>
        <v>0</v>
      </c>
      <c r="AA261" s="554">
        <f t="shared" si="232"/>
        <v>0</v>
      </c>
      <c r="AB261" s="554">
        <f t="shared" si="232"/>
        <v>0</v>
      </c>
      <c r="AC261" s="554">
        <f t="shared" si="232"/>
        <v>0</v>
      </c>
      <c r="AD261" s="554">
        <f t="shared" si="232"/>
        <v>0</v>
      </c>
      <c r="AE261" s="554">
        <f t="shared" si="232"/>
        <v>0</v>
      </c>
      <c r="AF261" s="554">
        <f t="shared" si="232"/>
        <v>0</v>
      </c>
      <c r="AG261" s="554">
        <f t="shared" si="232"/>
        <v>0</v>
      </c>
      <c r="AH261" s="554">
        <f t="shared" si="232"/>
        <v>0</v>
      </c>
      <c r="AI261" s="554">
        <f t="shared" si="232"/>
        <v>0</v>
      </c>
      <c r="AJ261" s="554">
        <f t="shared" si="232"/>
        <v>0</v>
      </c>
      <c r="AK261" s="554">
        <f t="shared" si="232"/>
        <v>0</v>
      </c>
      <c r="AL261" s="554">
        <f t="shared" si="232"/>
        <v>0</v>
      </c>
      <c r="AM261" s="554">
        <f t="shared" si="232"/>
        <v>0</v>
      </c>
      <c r="AN261" s="554">
        <f t="shared" si="232"/>
        <v>0</v>
      </c>
      <c r="AO261" s="554">
        <f t="shared" si="232"/>
        <v>0</v>
      </c>
      <c r="AP261" s="554">
        <f t="shared" si="232"/>
        <v>0</v>
      </c>
      <c r="AQ261" s="554">
        <f t="shared" si="232"/>
        <v>0</v>
      </c>
      <c r="AR261" s="554">
        <f t="shared" si="232"/>
        <v>0</v>
      </c>
      <c r="AS261" s="554">
        <f t="shared" si="232"/>
        <v>0</v>
      </c>
      <c r="AT261" s="554">
        <f t="shared" si="232"/>
        <v>0</v>
      </c>
      <c r="AU261" s="554">
        <f t="shared" si="232"/>
        <v>0</v>
      </c>
      <c r="AV261" s="554">
        <f t="shared" si="232"/>
        <v>0</v>
      </c>
      <c r="AW261" s="554">
        <f t="shared" si="232"/>
        <v>0</v>
      </c>
      <c r="AX261" s="554">
        <f t="shared" si="232"/>
        <v>0</v>
      </c>
      <c r="AY261" s="554">
        <f t="shared" si="232"/>
        <v>0</v>
      </c>
      <c r="AZ261" s="554">
        <f t="shared" si="232"/>
        <v>0</v>
      </c>
      <c r="BA261" s="554">
        <f t="shared" si="232"/>
        <v>0</v>
      </c>
      <c r="BB261" s="554">
        <f t="shared" si="232"/>
        <v>0</v>
      </c>
      <c r="BC261" s="554">
        <f t="shared" si="232"/>
        <v>0</v>
      </c>
      <c r="BD261" s="554">
        <f t="shared" si="232"/>
        <v>0</v>
      </c>
      <c r="BE261" s="554">
        <f t="shared" si="232"/>
        <v>0</v>
      </c>
      <c r="BF261" s="554">
        <f t="shared" si="232"/>
        <v>0</v>
      </c>
      <c r="BG261" s="554">
        <f t="shared" si="232"/>
        <v>0</v>
      </c>
      <c r="BH261" s="554">
        <f t="shared" si="232"/>
        <v>0</v>
      </c>
      <c r="BI261" s="554">
        <f t="shared" si="232"/>
        <v>0</v>
      </c>
      <c r="BJ261" s="554">
        <f t="shared" si="232"/>
        <v>0</v>
      </c>
      <c r="BK261" s="554">
        <f t="shared" si="232"/>
        <v>936360000</v>
      </c>
      <c r="BL261" s="554">
        <f t="shared" si="232"/>
        <v>447300000</v>
      </c>
      <c r="BM261" s="554">
        <f t="shared" si="232"/>
        <v>50630000</v>
      </c>
      <c r="BN261" s="554">
        <f t="shared" si="232"/>
        <v>0</v>
      </c>
      <c r="BO261" s="554">
        <f t="shared" si="232"/>
        <v>0</v>
      </c>
      <c r="BP261" s="554">
        <f t="shared" si="232"/>
        <v>0</v>
      </c>
      <c r="BQ261" s="554">
        <f t="shared" si="232"/>
        <v>0</v>
      </c>
      <c r="BR261" s="554">
        <f t="shared" si="232"/>
        <v>0</v>
      </c>
      <c r="BS261" s="554">
        <f t="shared" si="232"/>
        <v>0</v>
      </c>
      <c r="BT261" s="554">
        <f t="shared" si="232"/>
        <v>0</v>
      </c>
      <c r="BU261" s="554">
        <f t="shared" si="232"/>
        <v>0</v>
      </c>
      <c r="BV261" s="554">
        <f t="shared" si="232"/>
        <v>0</v>
      </c>
      <c r="BW261" s="554">
        <f t="shared" si="232"/>
        <v>0</v>
      </c>
      <c r="BX261" s="554">
        <f t="shared" si="232"/>
        <v>0</v>
      </c>
      <c r="BY261" s="554">
        <f t="shared" si="232"/>
        <v>0</v>
      </c>
      <c r="BZ261" s="554">
        <f>BZ260+BZ254+BZ247</f>
        <v>936360000</v>
      </c>
      <c r="CA261" s="554">
        <f t="shared" ref="CA261:CB261" si="233">CA260+CA254+CA247</f>
        <v>447300000</v>
      </c>
      <c r="CB261" s="554">
        <f t="shared" si="233"/>
        <v>50630000</v>
      </c>
    </row>
    <row r="262" spans="1:80" s="11" customFormat="1" ht="15.75" x14ac:dyDescent="0.2">
      <c r="A262" s="54"/>
      <c r="B262" s="102"/>
      <c r="C262" s="166"/>
      <c r="D262" s="91"/>
      <c r="E262" s="532"/>
      <c r="F262" s="531"/>
      <c r="G262" s="56"/>
      <c r="H262" s="57"/>
      <c r="I262" s="56"/>
      <c r="J262" s="131"/>
      <c r="K262" s="275"/>
      <c r="L262" s="275"/>
      <c r="M262" s="275"/>
      <c r="N262" s="131"/>
      <c r="O262" s="498"/>
      <c r="P262" s="56"/>
      <c r="Q262" s="57"/>
      <c r="R262" s="539"/>
      <c r="S262" s="539"/>
      <c r="T262" s="539"/>
      <c r="U262" s="539"/>
      <c r="V262" s="539"/>
      <c r="W262" s="539"/>
      <c r="X262" s="539"/>
      <c r="Y262" s="539"/>
      <c r="Z262" s="539"/>
      <c r="AA262" s="539"/>
      <c r="AB262" s="539"/>
      <c r="AC262" s="539"/>
      <c r="AD262" s="539"/>
      <c r="AE262" s="539"/>
      <c r="AF262" s="539"/>
      <c r="AG262" s="539"/>
      <c r="AH262" s="539"/>
      <c r="AI262" s="539"/>
      <c r="AJ262" s="539"/>
      <c r="AK262" s="539"/>
      <c r="AL262" s="539"/>
      <c r="AM262" s="539"/>
      <c r="AN262" s="539"/>
      <c r="AO262" s="539"/>
      <c r="AP262" s="539"/>
      <c r="AQ262" s="539"/>
      <c r="AR262" s="539"/>
      <c r="AS262" s="539"/>
      <c r="AT262" s="539"/>
      <c r="AU262" s="539"/>
      <c r="AV262" s="539"/>
      <c r="AW262" s="539"/>
      <c r="AX262" s="539"/>
      <c r="AY262" s="539"/>
      <c r="AZ262" s="539"/>
      <c r="BA262" s="539"/>
      <c r="BB262" s="539"/>
      <c r="BC262" s="539"/>
      <c r="BD262" s="539"/>
      <c r="BE262" s="539"/>
      <c r="BF262" s="539"/>
      <c r="BG262" s="539"/>
      <c r="BH262" s="539"/>
      <c r="BI262" s="539"/>
      <c r="BJ262" s="539"/>
      <c r="BK262" s="540">
        <f>223000000</f>
        <v>223000000</v>
      </c>
      <c r="BL262" s="540"/>
      <c r="BM262" s="540"/>
      <c r="BN262" s="539"/>
      <c r="BO262" s="539"/>
      <c r="BP262" s="539"/>
      <c r="BQ262" s="539"/>
      <c r="BR262" s="541"/>
      <c r="BS262" s="541"/>
      <c r="BT262" s="541"/>
      <c r="BU262" s="541"/>
      <c r="BV262" s="541"/>
      <c r="BW262" s="541"/>
      <c r="BX262" s="541"/>
      <c r="BY262" s="541"/>
      <c r="BZ262" s="541"/>
      <c r="CA262" s="541"/>
      <c r="CB262" s="541"/>
    </row>
    <row r="263" spans="1:80" s="11" customFormat="1" ht="15.75" x14ac:dyDescent="0.2">
      <c r="A263" s="54"/>
      <c r="B263" s="152">
        <v>3</v>
      </c>
      <c r="C263" s="49" t="s">
        <v>338</v>
      </c>
      <c r="D263" s="50"/>
      <c r="E263" s="50"/>
      <c r="F263" s="50"/>
      <c r="G263" s="50"/>
      <c r="H263" s="51"/>
      <c r="I263" s="50"/>
      <c r="J263" s="50"/>
      <c r="K263" s="284"/>
      <c r="L263" s="284"/>
      <c r="M263" s="284"/>
      <c r="N263" s="50"/>
      <c r="O263" s="51"/>
      <c r="P263" s="50"/>
      <c r="Q263" s="50"/>
      <c r="R263" s="550"/>
      <c r="S263" s="550"/>
      <c r="T263" s="550"/>
      <c r="U263" s="550"/>
      <c r="V263" s="550"/>
      <c r="W263" s="550"/>
      <c r="X263" s="550"/>
      <c r="Y263" s="550"/>
      <c r="Z263" s="550"/>
      <c r="AA263" s="550"/>
      <c r="AB263" s="550"/>
      <c r="AC263" s="550"/>
      <c r="AD263" s="550"/>
      <c r="AE263" s="550"/>
      <c r="AF263" s="550"/>
      <c r="AG263" s="550"/>
      <c r="AH263" s="550"/>
      <c r="AI263" s="550"/>
      <c r="AJ263" s="550"/>
      <c r="AK263" s="550"/>
      <c r="AL263" s="550"/>
      <c r="AM263" s="550"/>
      <c r="AN263" s="550"/>
      <c r="AO263" s="550"/>
      <c r="AP263" s="550"/>
      <c r="AQ263" s="550"/>
      <c r="AR263" s="550"/>
      <c r="AS263" s="550"/>
      <c r="AT263" s="550"/>
      <c r="AU263" s="550"/>
      <c r="AV263" s="550"/>
      <c r="AW263" s="550"/>
      <c r="AX263" s="550"/>
      <c r="AY263" s="550"/>
      <c r="AZ263" s="550"/>
      <c r="BA263" s="550"/>
      <c r="BB263" s="550"/>
      <c r="BC263" s="550"/>
      <c r="BD263" s="550"/>
      <c r="BE263" s="550"/>
      <c r="BF263" s="550"/>
      <c r="BG263" s="550"/>
      <c r="BH263" s="550"/>
      <c r="BI263" s="550"/>
      <c r="BJ263" s="550"/>
      <c r="BK263" s="551"/>
      <c r="BL263" s="551"/>
      <c r="BM263" s="551"/>
      <c r="BN263" s="550"/>
      <c r="BO263" s="550"/>
      <c r="BP263" s="550"/>
      <c r="BQ263" s="550"/>
      <c r="BR263" s="550"/>
      <c r="BS263" s="550"/>
      <c r="BT263" s="550"/>
      <c r="BU263" s="550"/>
      <c r="BV263" s="550"/>
      <c r="BW263" s="550"/>
      <c r="BX263" s="550"/>
      <c r="BY263" s="550"/>
      <c r="BZ263" s="555"/>
      <c r="CA263" s="555"/>
      <c r="CB263" s="555"/>
    </row>
    <row r="264" spans="1:80" s="11" customFormat="1" ht="15.75" x14ac:dyDescent="0.2">
      <c r="A264" s="54"/>
      <c r="B264" s="58" t="s">
        <v>62</v>
      </c>
      <c r="C264" s="36"/>
      <c r="D264" s="688"/>
      <c r="E264" s="688"/>
      <c r="F264" s="688"/>
      <c r="G264" s="254">
        <v>11</v>
      </c>
      <c r="H264" s="129" t="s">
        <v>339</v>
      </c>
      <c r="I264" s="129"/>
      <c r="J264" s="129"/>
      <c r="K264" s="285"/>
      <c r="L264" s="285"/>
      <c r="M264" s="285"/>
      <c r="N264" s="129"/>
      <c r="O264" s="502"/>
      <c r="P264" s="129"/>
      <c r="Q264" s="129"/>
      <c r="R264" s="556"/>
      <c r="S264" s="556"/>
      <c r="T264" s="556"/>
      <c r="U264" s="556"/>
      <c r="V264" s="556"/>
      <c r="W264" s="556"/>
      <c r="X264" s="556"/>
      <c r="Y264" s="556"/>
      <c r="Z264" s="556"/>
      <c r="AA264" s="556"/>
      <c r="AB264" s="556"/>
      <c r="AC264" s="556"/>
      <c r="AD264" s="556"/>
      <c r="AE264" s="556"/>
      <c r="AF264" s="556"/>
      <c r="AG264" s="556"/>
      <c r="AH264" s="556"/>
      <c r="AI264" s="556"/>
      <c r="AJ264" s="556"/>
      <c r="AK264" s="556"/>
      <c r="AL264" s="556"/>
      <c r="AM264" s="556"/>
      <c r="AN264" s="556"/>
      <c r="AO264" s="556"/>
      <c r="AP264" s="556"/>
      <c r="AQ264" s="556"/>
      <c r="AR264" s="556"/>
      <c r="AS264" s="556"/>
      <c r="AT264" s="556"/>
      <c r="AU264" s="556"/>
      <c r="AV264" s="556"/>
      <c r="AW264" s="556"/>
      <c r="AX264" s="556"/>
      <c r="AY264" s="556"/>
      <c r="AZ264" s="556"/>
      <c r="BA264" s="556"/>
      <c r="BB264" s="556"/>
      <c r="BC264" s="556"/>
      <c r="BD264" s="556"/>
      <c r="BE264" s="556"/>
      <c r="BF264" s="556"/>
      <c r="BG264" s="556"/>
      <c r="BH264" s="556"/>
      <c r="BI264" s="556"/>
      <c r="BJ264" s="556"/>
      <c r="BK264" s="557"/>
      <c r="BL264" s="557"/>
      <c r="BM264" s="557"/>
      <c r="BN264" s="556"/>
      <c r="BO264" s="556"/>
      <c r="BP264" s="556"/>
      <c r="BQ264" s="556"/>
      <c r="BR264" s="556"/>
      <c r="BS264" s="556"/>
      <c r="BT264" s="556"/>
      <c r="BU264" s="556"/>
      <c r="BV264" s="556"/>
      <c r="BW264" s="556"/>
      <c r="BX264" s="556"/>
      <c r="BY264" s="556"/>
      <c r="BZ264" s="558"/>
      <c r="CA264" s="558"/>
      <c r="CB264" s="558"/>
    </row>
    <row r="265" spans="1:80" s="11" customFormat="1" ht="62.25" customHeight="1" x14ac:dyDescent="0.2">
      <c r="A265" s="54"/>
      <c r="B265" s="64"/>
      <c r="C265" s="857" t="s">
        <v>885</v>
      </c>
      <c r="D265" s="854" t="s">
        <v>340</v>
      </c>
      <c r="E265" s="857" t="s">
        <v>886</v>
      </c>
      <c r="F265" s="857" t="s">
        <v>887</v>
      </c>
      <c r="G265" s="29"/>
      <c r="H265" s="57">
        <v>50</v>
      </c>
      <c r="I265" s="56" t="s">
        <v>341</v>
      </c>
      <c r="J265" s="131" t="s">
        <v>42</v>
      </c>
      <c r="K265" s="208">
        <v>5</v>
      </c>
      <c r="L265" s="489">
        <v>1.5</v>
      </c>
      <c r="M265" s="850">
        <v>2017003630047</v>
      </c>
      <c r="N265" s="856" t="s">
        <v>306</v>
      </c>
      <c r="O265" s="856" t="s">
        <v>342</v>
      </c>
      <c r="P265" s="853" t="s">
        <v>343</v>
      </c>
      <c r="Q265" s="57" t="s">
        <v>67</v>
      </c>
      <c r="R265" s="539">
        <v>0</v>
      </c>
      <c r="S265" s="539"/>
      <c r="T265" s="539"/>
      <c r="U265" s="539">
        <v>0</v>
      </c>
      <c r="V265" s="539"/>
      <c r="W265" s="539"/>
      <c r="X265" s="539">
        <v>0</v>
      </c>
      <c r="Y265" s="539"/>
      <c r="Z265" s="539"/>
      <c r="AA265" s="539">
        <v>0</v>
      </c>
      <c r="AB265" s="539"/>
      <c r="AC265" s="539"/>
      <c r="AD265" s="539">
        <v>0</v>
      </c>
      <c r="AE265" s="539"/>
      <c r="AF265" s="539"/>
      <c r="AG265" s="539">
        <v>0</v>
      </c>
      <c r="AH265" s="539"/>
      <c r="AI265" s="539"/>
      <c r="AJ265" s="539">
        <v>0</v>
      </c>
      <c r="AK265" s="539"/>
      <c r="AL265" s="539"/>
      <c r="AM265" s="539"/>
      <c r="AN265" s="539"/>
      <c r="AO265" s="539"/>
      <c r="AP265" s="539"/>
      <c r="AQ265" s="539"/>
      <c r="AR265" s="539"/>
      <c r="AS265" s="539">
        <v>0</v>
      </c>
      <c r="AT265" s="539"/>
      <c r="AU265" s="539"/>
      <c r="AV265" s="539">
        <v>0</v>
      </c>
      <c r="AW265" s="539"/>
      <c r="AX265" s="539"/>
      <c r="AY265" s="539"/>
      <c r="AZ265" s="539"/>
      <c r="BA265" s="539"/>
      <c r="BB265" s="539"/>
      <c r="BC265" s="539"/>
      <c r="BD265" s="539"/>
      <c r="BE265" s="539">
        <v>0</v>
      </c>
      <c r="BF265" s="539"/>
      <c r="BG265" s="539"/>
      <c r="BH265" s="539">
        <v>0</v>
      </c>
      <c r="BI265" s="539"/>
      <c r="BJ265" s="539"/>
      <c r="BK265" s="540">
        <v>120000000</v>
      </c>
      <c r="BL265" s="540">
        <v>65960000</v>
      </c>
      <c r="BM265" s="540">
        <v>22360000</v>
      </c>
      <c r="BN265" s="540"/>
      <c r="BO265" s="540"/>
      <c r="BP265" s="540"/>
      <c r="BQ265" s="539">
        <v>0</v>
      </c>
      <c r="BR265" s="541"/>
      <c r="BS265" s="541"/>
      <c r="BT265" s="541"/>
      <c r="BU265" s="541"/>
      <c r="BV265" s="541"/>
      <c r="BW265" s="541"/>
      <c r="BX265" s="541"/>
      <c r="BY265" s="541"/>
      <c r="BZ265" s="539">
        <f t="shared" ref="BZ265:BZ266" si="234">R265+U265+X265+AA265+AD265+AG265+AJ265+AM265+AP265+AS265+AV265+AY265+BB265+BE265+BH265+BK265+BN265+BQ265+BT265+BW265</f>
        <v>120000000</v>
      </c>
      <c r="CA265" s="539">
        <f t="shared" ref="CA265:CA266" si="235">S265+V265+Y265+AB265+AE265+AH265+AK265+AN265+AQ265+AT265+AW265+AZ265+BC265+BF265+BI265+BL265+BO265+BR265+BU265+BX265</f>
        <v>65960000</v>
      </c>
      <c r="CB265" s="539">
        <f t="shared" ref="CB265:CB266" si="236">T265+W265+Z265+AC265+AF265+AI265+AL265+AO265+AR265+AU265+AX265+BA265+BD265+BG265+BJ265+BM265+BP265+BS265+BV265+BY265</f>
        <v>22360000</v>
      </c>
    </row>
    <row r="266" spans="1:80" s="11" customFormat="1" ht="61.5" customHeight="1" x14ac:dyDescent="0.2">
      <c r="A266" s="54"/>
      <c r="B266" s="64"/>
      <c r="C266" s="857"/>
      <c r="D266" s="854"/>
      <c r="E266" s="857"/>
      <c r="F266" s="857"/>
      <c r="G266" s="29"/>
      <c r="H266" s="55">
        <v>51</v>
      </c>
      <c r="I266" s="56" t="s">
        <v>344</v>
      </c>
      <c r="J266" s="131">
        <v>0</v>
      </c>
      <c r="K266" s="207">
        <v>1</v>
      </c>
      <c r="L266" s="275">
        <v>0.25</v>
      </c>
      <c r="M266" s="852"/>
      <c r="N266" s="858"/>
      <c r="O266" s="858"/>
      <c r="P266" s="855"/>
      <c r="Q266" s="57" t="s">
        <v>51</v>
      </c>
      <c r="R266" s="539"/>
      <c r="S266" s="539"/>
      <c r="T266" s="539"/>
      <c r="U266" s="539"/>
      <c r="V266" s="539"/>
      <c r="W266" s="539"/>
      <c r="X266" s="539"/>
      <c r="Y266" s="539"/>
      <c r="Z266" s="539"/>
      <c r="AA266" s="539"/>
      <c r="AB266" s="539"/>
      <c r="AC266" s="539"/>
      <c r="AD266" s="539"/>
      <c r="AE266" s="539"/>
      <c r="AF266" s="539"/>
      <c r="AG266" s="539"/>
      <c r="AH266" s="539"/>
      <c r="AI266" s="539"/>
      <c r="AJ266" s="539"/>
      <c r="AK266" s="539"/>
      <c r="AL266" s="539"/>
      <c r="AM266" s="539"/>
      <c r="AN266" s="539"/>
      <c r="AO266" s="539"/>
      <c r="AP266" s="539"/>
      <c r="AQ266" s="539"/>
      <c r="AR266" s="539"/>
      <c r="AS266" s="539"/>
      <c r="AT266" s="539"/>
      <c r="AU266" s="539"/>
      <c r="AV266" s="539"/>
      <c r="AW266" s="539"/>
      <c r="AX266" s="539"/>
      <c r="AY266" s="539"/>
      <c r="AZ266" s="539"/>
      <c r="BA266" s="539"/>
      <c r="BB266" s="539"/>
      <c r="BC266" s="539"/>
      <c r="BD266" s="539"/>
      <c r="BE266" s="539"/>
      <c r="BF266" s="539"/>
      <c r="BG266" s="539"/>
      <c r="BH266" s="539"/>
      <c r="BI266" s="539"/>
      <c r="BJ266" s="539"/>
      <c r="BK266" s="540">
        <v>30000000</v>
      </c>
      <c r="BL266" s="540">
        <v>15000000</v>
      </c>
      <c r="BM266" s="540">
        <v>5000000</v>
      </c>
      <c r="BN266" s="540"/>
      <c r="BO266" s="540"/>
      <c r="BP266" s="540"/>
      <c r="BQ266" s="539"/>
      <c r="BR266" s="541"/>
      <c r="BS266" s="541"/>
      <c r="BT266" s="541"/>
      <c r="BU266" s="541"/>
      <c r="BV266" s="541"/>
      <c r="BW266" s="541"/>
      <c r="BX266" s="541"/>
      <c r="BY266" s="541"/>
      <c r="BZ266" s="539">
        <f t="shared" si="234"/>
        <v>30000000</v>
      </c>
      <c r="CA266" s="539">
        <f t="shared" si="235"/>
        <v>15000000</v>
      </c>
      <c r="CB266" s="539">
        <f t="shared" si="236"/>
        <v>5000000</v>
      </c>
    </row>
    <row r="267" spans="1:80" s="459" customFormat="1" ht="15.75" x14ac:dyDescent="0.2">
      <c r="A267" s="54"/>
      <c r="B267" s="64"/>
      <c r="C267" s="510"/>
      <c r="D267" s="518"/>
      <c r="E267" s="510"/>
      <c r="F267" s="510"/>
      <c r="G267" s="77"/>
      <c r="H267" s="78"/>
      <c r="I267" s="77"/>
      <c r="J267" s="164"/>
      <c r="K267" s="240"/>
      <c r="L267" s="240"/>
      <c r="M267" s="240"/>
      <c r="N267" s="164"/>
      <c r="O267" s="78"/>
      <c r="P267" s="77"/>
      <c r="Q267" s="78"/>
      <c r="R267" s="548">
        <f t="shared" ref="R267:BY267" si="237">SUM(R265:R266)</f>
        <v>0</v>
      </c>
      <c r="S267" s="548">
        <f t="shared" si="237"/>
        <v>0</v>
      </c>
      <c r="T267" s="548">
        <f t="shared" si="237"/>
        <v>0</v>
      </c>
      <c r="U267" s="548">
        <f t="shared" si="237"/>
        <v>0</v>
      </c>
      <c r="V267" s="548">
        <f t="shared" si="237"/>
        <v>0</v>
      </c>
      <c r="W267" s="548">
        <f t="shared" si="237"/>
        <v>0</v>
      </c>
      <c r="X267" s="548">
        <f t="shared" si="237"/>
        <v>0</v>
      </c>
      <c r="Y267" s="548">
        <f t="shared" si="237"/>
        <v>0</v>
      </c>
      <c r="Z267" s="548">
        <f t="shared" si="237"/>
        <v>0</v>
      </c>
      <c r="AA267" s="548">
        <f t="shared" si="237"/>
        <v>0</v>
      </c>
      <c r="AB267" s="548">
        <f t="shared" si="237"/>
        <v>0</v>
      </c>
      <c r="AC267" s="548">
        <f t="shared" si="237"/>
        <v>0</v>
      </c>
      <c r="AD267" s="548">
        <f t="shared" si="237"/>
        <v>0</v>
      </c>
      <c r="AE267" s="548">
        <f t="shared" si="237"/>
        <v>0</v>
      </c>
      <c r="AF267" s="548">
        <f t="shared" si="237"/>
        <v>0</v>
      </c>
      <c r="AG267" s="548">
        <f t="shared" si="237"/>
        <v>0</v>
      </c>
      <c r="AH267" s="548">
        <f t="shared" si="237"/>
        <v>0</v>
      </c>
      <c r="AI267" s="548">
        <f t="shared" si="237"/>
        <v>0</v>
      </c>
      <c r="AJ267" s="548">
        <f t="shared" si="237"/>
        <v>0</v>
      </c>
      <c r="AK267" s="548">
        <f t="shared" si="237"/>
        <v>0</v>
      </c>
      <c r="AL267" s="548">
        <f t="shared" si="237"/>
        <v>0</v>
      </c>
      <c r="AM267" s="548">
        <f t="shared" si="237"/>
        <v>0</v>
      </c>
      <c r="AN267" s="548">
        <f t="shared" si="237"/>
        <v>0</v>
      </c>
      <c r="AO267" s="548">
        <f t="shared" si="237"/>
        <v>0</v>
      </c>
      <c r="AP267" s="548">
        <f t="shared" si="237"/>
        <v>0</v>
      </c>
      <c r="AQ267" s="548">
        <f t="shared" si="237"/>
        <v>0</v>
      </c>
      <c r="AR267" s="548">
        <f t="shared" si="237"/>
        <v>0</v>
      </c>
      <c r="AS267" s="548">
        <f t="shared" si="237"/>
        <v>0</v>
      </c>
      <c r="AT267" s="548">
        <f t="shared" si="237"/>
        <v>0</v>
      </c>
      <c r="AU267" s="548">
        <f t="shared" si="237"/>
        <v>0</v>
      </c>
      <c r="AV267" s="548">
        <f t="shared" si="237"/>
        <v>0</v>
      </c>
      <c r="AW267" s="548">
        <f t="shared" si="237"/>
        <v>0</v>
      </c>
      <c r="AX267" s="548">
        <f t="shared" si="237"/>
        <v>0</v>
      </c>
      <c r="AY267" s="548">
        <f t="shared" si="237"/>
        <v>0</v>
      </c>
      <c r="AZ267" s="548">
        <f t="shared" si="237"/>
        <v>0</v>
      </c>
      <c r="BA267" s="548">
        <f t="shared" si="237"/>
        <v>0</v>
      </c>
      <c r="BB267" s="548">
        <f t="shared" si="237"/>
        <v>0</v>
      </c>
      <c r="BC267" s="548">
        <f t="shared" si="237"/>
        <v>0</v>
      </c>
      <c r="BD267" s="548">
        <f t="shared" si="237"/>
        <v>0</v>
      </c>
      <c r="BE267" s="548">
        <f t="shared" si="237"/>
        <v>0</v>
      </c>
      <c r="BF267" s="548">
        <f t="shared" si="237"/>
        <v>0</v>
      </c>
      <c r="BG267" s="548">
        <f t="shared" si="237"/>
        <v>0</v>
      </c>
      <c r="BH267" s="548">
        <f t="shared" si="237"/>
        <v>0</v>
      </c>
      <c r="BI267" s="548">
        <f t="shared" si="237"/>
        <v>0</v>
      </c>
      <c r="BJ267" s="548">
        <f t="shared" si="237"/>
        <v>0</v>
      </c>
      <c r="BK267" s="548">
        <f t="shared" si="237"/>
        <v>150000000</v>
      </c>
      <c r="BL267" s="548">
        <f t="shared" si="237"/>
        <v>80960000</v>
      </c>
      <c r="BM267" s="548">
        <f t="shared" si="237"/>
        <v>27360000</v>
      </c>
      <c r="BN267" s="548">
        <f t="shared" si="237"/>
        <v>0</v>
      </c>
      <c r="BO267" s="548">
        <f t="shared" si="237"/>
        <v>0</v>
      </c>
      <c r="BP267" s="548">
        <f t="shared" si="237"/>
        <v>0</v>
      </c>
      <c r="BQ267" s="548">
        <f t="shared" si="237"/>
        <v>0</v>
      </c>
      <c r="BR267" s="548">
        <f t="shared" si="237"/>
        <v>0</v>
      </c>
      <c r="BS267" s="548">
        <f t="shared" si="237"/>
        <v>0</v>
      </c>
      <c r="BT267" s="548">
        <f t="shared" si="237"/>
        <v>0</v>
      </c>
      <c r="BU267" s="548">
        <f t="shared" si="237"/>
        <v>0</v>
      </c>
      <c r="BV267" s="548">
        <f t="shared" si="237"/>
        <v>0</v>
      </c>
      <c r="BW267" s="548">
        <f t="shared" si="237"/>
        <v>0</v>
      </c>
      <c r="BX267" s="548">
        <f t="shared" si="237"/>
        <v>0</v>
      </c>
      <c r="BY267" s="548">
        <f t="shared" si="237"/>
        <v>0</v>
      </c>
      <c r="BZ267" s="548">
        <f>SUM(BZ265:BZ266)</f>
        <v>150000000</v>
      </c>
      <c r="CA267" s="548">
        <f t="shared" ref="CA267:CB267" si="238">SUM(CA265:CA266)</f>
        <v>80960000</v>
      </c>
      <c r="CB267" s="548">
        <f t="shared" si="238"/>
        <v>27360000</v>
      </c>
    </row>
    <row r="268" spans="1:80" s="11" customFormat="1" ht="15.75" x14ac:dyDescent="0.2">
      <c r="A268" s="54"/>
      <c r="B268" s="64"/>
      <c r="C268" s="92"/>
      <c r="D268" s="91"/>
      <c r="E268" s="92"/>
      <c r="F268" s="92"/>
      <c r="G268" s="91"/>
      <c r="H268" s="92"/>
      <c r="I268" s="91"/>
      <c r="J268" s="183"/>
      <c r="K268" s="245"/>
      <c r="L268" s="245"/>
      <c r="M268" s="245"/>
      <c r="N268" s="183"/>
      <c r="O268" s="500"/>
      <c r="P268" s="91"/>
      <c r="Q268" s="92"/>
      <c r="R268" s="543"/>
      <c r="S268" s="543"/>
      <c r="T268" s="543"/>
      <c r="U268" s="544"/>
      <c r="V268" s="544"/>
      <c r="W268" s="544"/>
      <c r="X268" s="543"/>
      <c r="Y268" s="543"/>
      <c r="Z268" s="543"/>
      <c r="AA268" s="543"/>
      <c r="AB268" s="543"/>
      <c r="AC268" s="543"/>
      <c r="AD268" s="543"/>
      <c r="AE268" s="543"/>
      <c r="AF268" s="543"/>
      <c r="AG268" s="543"/>
      <c r="AH268" s="543"/>
      <c r="AI268" s="543"/>
      <c r="AJ268" s="543"/>
      <c r="AK268" s="543"/>
      <c r="AL268" s="543"/>
      <c r="AM268" s="543"/>
      <c r="AN268" s="543"/>
      <c r="AO268" s="543"/>
      <c r="AP268" s="543"/>
      <c r="AQ268" s="543"/>
      <c r="AR268" s="543"/>
      <c r="AS268" s="543"/>
      <c r="AT268" s="543"/>
      <c r="AU268" s="543"/>
      <c r="AV268" s="543"/>
      <c r="AW268" s="543"/>
      <c r="AX268" s="543"/>
      <c r="AY268" s="543"/>
      <c r="AZ268" s="543"/>
      <c r="BA268" s="543"/>
      <c r="BB268" s="543"/>
      <c r="BC268" s="543"/>
      <c r="BD268" s="543"/>
      <c r="BE268" s="543"/>
      <c r="BF268" s="543"/>
      <c r="BG268" s="543"/>
      <c r="BH268" s="543"/>
      <c r="BI268" s="570"/>
      <c r="BJ268" s="570"/>
      <c r="BK268" s="591" t="s">
        <v>62</v>
      </c>
      <c r="BL268" s="591"/>
      <c r="BM268" s="591"/>
      <c r="BN268" s="592"/>
      <c r="BO268" s="592"/>
      <c r="BP268" s="592"/>
      <c r="BQ268" s="543"/>
      <c r="BR268" s="543"/>
      <c r="BS268" s="543"/>
      <c r="BT268" s="543"/>
      <c r="BU268" s="543"/>
      <c r="BV268" s="543"/>
      <c r="BW268" s="543"/>
      <c r="BX268" s="543"/>
      <c r="BY268" s="543"/>
      <c r="BZ268" s="547"/>
      <c r="CA268" s="547"/>
      <c r="CB268" s="547"/>
    </row>
    <row r="269" spans="1:80" s="459" customFormat="1" ht="15.75" x14ac:dyDescent="0.2">
      <c r="A269" s="54"/>
      <c r="B269" s="64"/>
      <c r="C269" s="508"/>
      <c r="D269" s="516"/>
      <c r="E269" s="508"/>
      <c r="F269" s="508"/>
      <c r="G269" s="169">
        <v>12</v>
      </c>
      <c r="H269" s="211" t="s">
        <v>345</v>
      </c>
      <c r="I269" s="100"/>
      <c r="J269" s="100"/>
      <c r="K269" s="186"/>
      <c r="L269" s="186"/>
      <c r="M269" s="186"/>
      <c r="N269" s="100"/>
      <c r="O269" s="212"/>
      <c r="P269" s="100"/>
      <c r="Q269" s="100"/>
      <c r="R269" s="336"/>
      <c r="S269" s="336"/>
      <c r="T269" s="336"/>
      <c r="U269" s="336"/>
      <c r="V269" s="602"/>
      <c r="W269" s="602"/>
      <c r="X269" s="602"/>
      <c r="Y269" s="602"/>
      <c r="Z269" s="602"/>
      <c r="AA269" s="602"/>
      <c r="AB269" s="602"/>
      <c r="AC269" s="602"/>
      <c r="AD269" s="602"/>
      <c r="AE269" s="602"/>
      <c r="AF269" s="602"/>
      <c r="AG269" s="602"/>
      <c r="AH269" s="602"/>
      <c r="AI269" s="602"/>
      <c r="AJ269" s="602"/>
      <c r="AK269" s="602"/>
      <c r="AL269" s="602"/>
      <c r="AM269" s="602"/>
      <c r="AN269" s="602"/>
      <c r="AO269" s="602"/>
      <c r="AP269" s="602"/>
      <c r="AQ269" s="602"/>
      <c r="AR269" s="602"/>
      <c r="AS269" s="602"/>
      <c r="AT269" s="602"/>
      <c r="AU269" s="602"/>
      <c r="AV269" s="602"/>
      <c r="AW269" s="602"/>
      <c r="AX269" s="602"/>
      <c r="AY269" s="602"/>
      <c r="AZ269" s="602"/>
      <c r="BA269" s="602"/>
      <c r="BB269" s="602"/>
      <c r="BC269" s="602"/>
      <c r="BD269" s="602"/>
      <c r="BE269" s="602"/>
      <c r="BF269" s="602"/>
      <c r="BG269" s="602"/>
      <c r="BH269" s="602"/>
      <c r="BI269" s="602"/>
      <c r="BJ269" s="602"/>
      <c r="BK269" s="552"/>
      <c r="BL269" s="603"/>
      <c r="BM269" s="603"/>
      <c r="BN269" s="602"/>
      <c r="BO269" s="602"/>
      <c r="BP269" s="602"/>
      <c r="BQ269" s="602"/>
      <c r="BR269" s="602"/>
      <c r="BS269" s="602"/>
      <c r="BT269" s="602"/>
      <c r="BU269" s="602"/>
      <c r="BV269" s="602"/>
      <c r="BW269" s="602"/>
      <c r="BX269" s="602"/>
      <c r="BY269" s="602"/>
      <c r="BZ269" s="604"/>
      <c r="CA269" s="604"/>
      <c r="CB269" s="604"/>
    </row>
    <row r="270" spans="1:80" s="11" customFormat="1" ht="115.5" customHeight="1" x14ac:dyDescent="0.2">
      <c r="A270" s="54"/>
      <c r="B270" s="64"/>
      <c r="C270" s="509" t="s">
        <v>885</v>
      </c>
      <c r="D270" s="517" t="s">
        <v>340</v>
      </c>
      <c r="E270" s="509" t="s">
        <v>886</v>
      </c>
      <c r="F270" s="509" t="s">
        <v>887</v>
      </c>
      <c r="G270" s="27"/>
      <c r="H270" s="57">
        <v>52</v>
      </c>
      <c r="I270" s="56" t="s">
        <v>346</v>
      </c>
      <c r="J270" s="131">
        <v>0</v>
      </c>
      <c r="K270" s="207">
        <v>3</v>
      </c>
      <c r="L270" s="275">
        <v>0.99</v>
      </c>
      <c r="M270" s="61">
        <v>2017003630048</v>
      </c>
      <c r="N270" s="187" t="s">
        <v>306</v>
      </c>
      <c r="O270" s="498" t="s">
        <v>347</v>
      </c>
      <c r="P270" s="56" t="s">
        <v>348</v>
      </c>
      <c r="Q270" s="57" t="s">
        <v>51</v>
      </c>
      <c r="R270" s="539">
        <v>0</v>
      </c>
      <c r="S270" s="539"/>
      <c r="T270" s="539"/>
      <c r="U270" s="539">
        <v>0</v>
      </c>
      <c r="V270" s="539"/>
      <c r="W270" s="539"/>
      <c r="X270" s="539">
        <v>0</v>
      </c>
      <c r="Y270" s="539"/>
      <c r="Z270" s="539"/>
      <c r="AA270" s="539">
        <v>0</v>
      </c>
      <c r="AB270" s="539"/>
      <c r="AC270" s="539"/>
      <c r="AD270" s="539">
        <v>0</v>
      </c>
      <c r="AE270" s="539"/>
      <c r="AF270" s="539"/>
      <c r="AG270" s="539">
        <v>0</v>
      </c>
      <c r="AH270" s="539"/>
      <c r="AI270" s="539"/>
      <c r="AJ270" s="539">
        <v>0</v>
      </c>
      <c r="AK270" s="539"/>
      <c r="AL270" s="539"/>
      <c r="AM270" s="539"/>
      <c r="AN270" s="539"/>
      <c r="AO270" s="539"/>
      <c r="AP270" s="539"/>
      <c r="AQ270" s="539"/>
      <c r="AR270" s="539"/>
      <c r="AS270" s="539">
        <v>0</v>
      </c>
      <c r="AT270" s="539"/>
      <c r="AU270" s="539"/>
      <c r="AV270" s="539">
        <v>0</v>
      </c>
      <c r="AW270" s="539"/>
      <c r="AX270" s="539"/>
      <c r="AY270" s="539"/>
      <c r="AZ270" s="539"/>
      <c r="BA270" s="539"/>
      <c r="BB270" s="539"/>
      <c r="BC270" s="539"/>
      <c r="BD270" s="539"/>
      <c r="BE270" s="539">
        <v>0</v>
      </c>
      <c r="BF270" s="539"/>
      <c r="BG270" s="539"/>
      <c r="BH270" s="539">
        <v>0</v>
      </c>
      <c r="BI270" s="539"/>
      <c r="BJ270" s="539"/>
      <c r="BK270" s="540">
        <f>120000000+136640000</f>
        <v>256640000</v>
      </c>
      <c r="BL270" s="540">
        <v>112640000</v>
      </c>
      <c r="BM270" s="540">
        <v>20240000</v>
      </c>
      <c r="BN270" s="540"/>
      <c r="BO270" s="540"/>
      <c r="BP270" s="540"/>
      <c r="BQ270" s="539"/>
      <c r="BR270" s="541"/>
      <c r="BS270" s="541"/>
      <c r="BT270" s="541"/>
      <c r="BU270" s="541"/>
      <c r="BV270" s="541"/>
      <c r="BW270" s="541">
        <v>0</v>
      </c>
      <c r="BX270" s="541"/>
      <c r="BY270" s="541"/>
      <c r="BZ270" s="539">
        <f>R270+U270+X270+AA270+AD270+AG270+AJ270+AM270+AP270+AS270+AV270+AY270+BB270+BE270+BH270+BK270+BN270+BQ270+BT270+BW270</f>
        <v>256640000</v>
      </c>
      <c r="CA270" s="539">
        <f t="shared" ref="CA270" si="239">S270+V270+Y270+AB270+AE270+AH270+AK270+AN270+AQ270+AT270+AW270+AZ270+BC270+BF270+BI270+BL270+BO270+BR270+BU270+BX270</f>
        <v>112640000</v>
      </c>
      <c r="CB270" s="539">
        <f t="shared" ref="CB270" si="240">T270+W270+Z270+AC270+AF270+AI270+AL270+AO270+AR270+AU270+AX270+BA270+BD270+BG270+BJ270+BM270+BP270+BS270+BV270+BY270</f>
        <v>20240000</v>
      </c>
    </row>
    <row r="271" spans="1:80" s="9" customFormat="1" ht="20.25" x14ac:dyDescent="0.25">
      <c r="A271" s="54"/>
      <c r="B271" s="64"/>
      <c r="C271" s="510"/>
      <c r="D271" s="518"/>
      <c r="E271" s="510"/>
      <c r="F271" s="510"/>
      <c r="G271" s="77"/>
      <c r="H271" s="78"/>
      <c r="I271" s="77"/>
      <c r="J271" s="164"/>
      <c r="K271" s="279"/>
      <c r="L271" s="279"/>
      <c r="M271" s="279"/>
      <c r="N271" s="164"/>
      <c r="O271" s="78"/>
      <c r="P271" s="77"/>
      <c r="Q271" s="78"/>
      <c r="R271" s="548">
        <f t="shared" ref="R271:BZ271" si="241">SUM(R270:R270)</f>
        <v>0</v>
      </c>
      <c r="S271" s="548">
        <f t="shared" si="241"/>
        <v>0</v>
      </c>
      <c r="T271" s="548">
        <f t="shared" si="241"/>
        <v>0</v>
      </c>
      <c r="U271" s="548">
        <f t="shared" si="241"/>
        <v>0</v>
      </c>
      <c r="V271" s="548">
        <f t="shared" si="241"/>
        <v>0</v>
      </c>
      <c r="W271" s="548">
        <f t="shared" si="241"/>
        <v>0</v>
      </c>
      <c r="X271" s="548">
        <f t="shared" si="241"/>
        <v>0</v>
      </c>
      <c r="Y271" s="548">
        <f t="shared" si="241"/>
        <v>0</v>
      </c>
      <c r="Z271" s="548">
        <f t="shared" si="241"/>
        <v>0</v>
      </c>
      <c r="AA271" s="548">
        <f t="shared" si="241"/>
        <v>0</v>
      </c>
      <c r="AB271" s="548">
        <f t="shared" si="241"/>
        <v>0</v>
      </c>
      <c r="AC271" s="548">
        <f t="shared" si="241"/>
        <v>0</v>
      </c>
      <c r="AD271" s="548">
        <f t="shared" si="241"/>
        <v>0</v>
      </c>
      <c r="AE271" s="548">
        <f t="shared" si="241"/>
        <v>0</v>
      </c>
      <c r="AF271" s="548">
        <f t="shared" si="241"/>
        <v>0</v>
      </c>
      <c r="AG271" s="548">
        <f t="shared" si="241"/>
        <v>0</v>
      </c>
      <c r="AH271" s="548">
        <f t="shared" si="241"/>
        <v>0</v>
      </c>
      <c r="AI271" s="548">
        <f t="shared" si="241"/>
        <v>0</v>
      </c>
      <c r="AJ271" s="548">
        <f t="shared" si="241"/>
        <v>0</v>
      </c>
      <c r="AK271" s="548">
        <f t="shared" si="241"/>
        <v>0</v>
      </c>
      <c r="AL271" s="548">
        <f t="shared" si="241"/>
        <v>0</v>
      </c>
      <c r="AM271" s="548">
        <f t="shared" si="241"/>
        <v>0</v>
      </c>
      <c r="AN271" s="548">
        <f t="shared" si="241"/>
        <v>0</v>
      </c>
      <c r="AO271" s="548">
        <f t="shared" si="241"/>
        <v>0</v>
      </c>
      <c r="AP271" s="548">
        <f t="shared" si="241"/>
        <v>0</v>
      </c>
      <c r="AQ271" s="548">
        <f t="shared" si="241"/>
        <v>0</v>
      </c>
      <c r="AR271" s="548">
        <f t="shared" si="241"/>
        <v>0</v>
      </c>
      <c r="AS271" s="548">
        <f t="shared" si="241"/>
        <v>0</v>
      </c>
      <c r="AT271" s="548">
        <f t="shared" si="241"/>
        <v>0</v>
      </c>
      <c r="AU271" s="548">
        <f t="shared" si="241"/>
        <v>0</v>
      </c>
      <c r="AV271" s="548">
        <f t="shared" si="241"/>
        <v>0</v>
      </c>
      <c r="AW271" s="548">
        <f t="shared" si="241"/>
        <v>0</v>
      </c>
      <c r="AX271" s="548">
        <f t="shared" si="241"/>
        <v>0</v>
      </c>
      <c r="AY271" s="548">
        <f t="shared" si="241"/>
        <v>0</v>
      </c>
      <c r="AZ271" s="548">
        <f t="shared" si="241"/>
        <v>0</v>
      </c>
      <c r="BA271" s="548">
        <f t="shared" si="241"/>
        <v>0</v>
      </c>
      <c r="BB271" s="548">
        <f t="shared" si="241"/>
        <v>0</v>
      </c>
      <c r="BC271" s="548">
        <f t="shared" si="241"/>
        <v>0</v>
      </c>
      <c r="BD271" s="548">
        <f t="shared" si="241"/>
        <v>0</v>
      </c>
      <c r="BE271" s="548">
        <f t="shared" si="241"/>
        <v>0</v>
      </c>
      <c r="BF271" s="548">
        <f t="shared" si="241"/>
        <v>0</v>
      </c>
      <c r="BG271" s="548">
        <f t="shared" si="241"/>
        <v>0</v>
      </c>
      <c r="BH271" s="548">
        <f t="shared" si="241"/>
        <v>0</v>
      </c>
      <c r="BI271" s="548">
        <f t="shared" si="241"/>
        <v>0</v>
      </c>
      <c r="BJ271" s="548">
        <f t="shared" si="241"/>
        <v>0</v>
      </c>
      <c r="BK271" s="548">
        <f t="shared" si="241"/>
        <v>256640000</v>
      </c>
      <c r="BL271" s="548">
        <f t="shared" si="241"/>
        <v>112640000</v>
      </c>
      <c r="BM271" s="548">
        <f t="shared" si="241"/>
        <v>20240000</v>
      </c>
      <c r="BN271" s="548">
        <f t="shared" si="241"/>
        <v>0</v>
      </c>
      <c r="BO271" s="548">
        <f t="shared" si="241"/>
        <v>0</v>
      </c>
      <c r="BP271" s="548">
        <f t="shared" si="241"/>
        <v>0</v>
      </c>
      <c r="BQ271" s="548">
        <f t="shared" si="241"/>
        <v>0</v>
      </c>
      <c r="BR271" s="548">
        <f t="shared" si="241"/>
        <v>0</v>
      </c>
      <c r="BS271" s="548">
        <f t="shared" si="241"/>
        <v>0</v>
      </c>
      <c r="BT271" s="548">
        <f t="shared" si="241"/>
        <v>0</v>
      </c>
      <c r="BU271" s="548">
        <f t="shared" si="241"/>
        <v>0</v>
      </c>
      <c r="BV271" s="548">
        <f t="shared" si="241"/>
        <v>0</v>
      </c>
      <c r="BW271" s="548">
        <f t="shared" si="241"/>
        <v>0</v>
      </c>
      <c r="BX271" s="548">
        <f t="shared" si="241"/>
        <v>0</v>
      </c>
      <c r="BY271" s="548">
        <f t="shared" si="241"/>
        <v>0</v>
      </c>
      <c r="BZ271" s="548">
        <f t="shared" si="241"/>
        <v>256640000</v>
      </c>
      <c r="CA271" s="548">
        <f t="shared" ref="CA271:CB271" si="242">SUM(CA270:CA270)</f>
        <v>112640000</v>
      </c>
      <c r="CB271" s="548">
        <f t="shared" si="242"/>
        <v>20240000</v>
      </c>
    </row>
    <row r="272" spans="1:80" s="9" customFormat="1" ht="20.25" x14ac:dyDescent="0.25">
      <c r="A272" s="54"/>
      <c r="B272" s="64"/>
      <c r="C272" s="92"/>
      <c r="D272" s="91"/>
      <c r="E272" s="92"/>
      <c r="F272" s="92"/>
      <c r="G272" s="91"/>
      <c r="H272" s="92"/>
      <c r="I272" s="91"/>
      <c r="J272" s="183"/>
      <c r="K272" s="280"/>
      <c r="L272" s="280"/>
      <c r="M272" s="280"/>
      <c r="N272" s="183"/>
      <c r="O272" s="500"/>
      <c r="P272" s="91"/>
      <c r="Q272" s="92"/>
      <c r="R272" s="543"/>
      <c r="S272" s="543"/>
      <c r="T272" s="543"/>
      <c r="U272" s="544"/>
      <c r="V272" s="544"/>
      <c r="W272" s="544"/>
      <c r="X272" s="543"/>
      <c r="Y272" s="543"/>
      <c r="Z272" s="543"/>
      <c r="AA272" s="543"/>
      <c r="AB272" s="543"/>
      <c r="AC272" s="543"/>
      <c r="AD272" s="543"/>
      <c r="AE272" s="543"/>
      <c r="AF272" s="543"/>
      <c r="AG272" s="543"/>
      <c r="AH272" s="543"/>
      <c r="AI272" s="543"/>
      <c r="AJ272" s="543"/>
      <c r="AK272" s="543"/>
      <c r="AL272" s="543"/>
      <c r="AM272" s="543"/>
      <c r="AN272" s="543"/>
      <c r="AO272" s="543"/>
      <c r="AP272" s="543"/>
      <c r="AQ272" s="543"/>
      <c r="AR272" s="543"/>
      <c r="AS272" s="543"/>
      <c r="AT272" s="543"/>
      <c r="AU272" s="543"/>
      <c r="AV272" s="543"/>
      <c r="AW272" s="543"/>
      <c r="AX272" s="543"/>
      <c r="AY272" s="543"/>
      <c r="AZ272" s="543"/>
      <c r="BA272" s="543"/>
      <c r="BB272" s="543"/>
      <c r="BC272" s="543"/>
      <c r="BD272" s="543"/>
      <c r="BE272" s="543"/>
      <c r="BF272" s="543"/>
      <c r="BG272" s="543"/>
      <c r="BH272" s="543"/>
      <c r="BI272" s="543"/>
      <c r="BJ272" s="543"/>
      <c r="BK272" s="545"/>
      <c r="BL272" s="545"/>
      <c r="BM272" s="545"/>
      <c r="BN272" s="546"/>
      <c r="BO272" s="546"/>
      <c r="BP272" s="546"/>
      <c r="BQ272" s="543"/>
      <c r="BR272" s="543"/>
      <c r="BS272" s="543"/>
      <c r="BT272" s="543"/>
      <c r="BU272" s="543"/>
      <c r="BV272" s="543"/>
      <c r="BW272" s="543"/>
      <c r="BX272" s="543"/>
      <c r="BY272" s="543"/>
      <c r="BZ272" s="547"/>
      <c r="CA272" s="547"/>
      <c r="CB272" s="547"/>
    </row>
    <row r="273" spans="1:80" s="9" customFormat="1" ht="20.25" x14ac:dyDescent="0.25">
      <c r="A273" s="54"/>
      <c r="B273" s="64"/>
      <c r="C273" s="508"/>
      <c r="D273" s="516"/>
      <c r="E273" s="508"/>
      <c r="F273" s="508"/>
      <c r="G273" s="98">
        <v>13</v>
      </c>
      <c r="H273" s="212" t="s">
        <v>349</v>
      </c>
      <c r="I273" s="100"/>
      <c r="J273" s="100"/>
      <c r="K273" s="278"/>
      <c r="L273" s="278"/>
      <c r="M273" s="278"/>
      <c r="N273" s="100"/>
      <c r="O273" s="212"/>
      <c r="P273" s="100"/>
      <c r="Q273" s="100"/>
      <c r="R273" s="336"/>
      <c r="S273" s="336"/>
      <c r="T273" s="336"/>
      <c r="U273" s="336"/>
      <c r="V273" s="336"/>
      <c r="W273" s="336"/>
      <c r="X273" s="336"/>
      <c r="Y273" s="336"/>
      <c r="Z273" s="336"/>
      <c r="AA273" s="336"/>
      <c r="AB273" s="336"/>
      <c r="AC273" s="336"/>
      <c r="AD273" s="336"/>
      <c r="AE273" s="336"/>
      <c r="AF273" s="336"/>
      <c r="AG273" s="336"/>
      <c r="AH273" s="336"/>
      <c r="AI273" s="336"/>
      <c r="AJ273" s="336"/>
      <c r="AK273" s="336"/>
      <c r="AL273" s="336"/>
      <c r="AM273" s="336"/>
      <c r="AN273" s="336"/>
      <c r="AO273" s="336"/>
      <c r="AP273" s="336"/>
      <c r="AQ273" s="336"/>
      <c r="AR273" s="336"/>
      <c r="AS273" s="336"/>
      <c r="AT273" s="336"/>
      <c r="AU273" s="336"/>
      <c r="AV273" s="336"/>
      <c r="AW273" s="336"/>
      <c r="AX273" s="336"/>
      <c r="AY273" s="336"/>
      <c r="AZ273" s="336"/>
      <c r="BA273" s="336"/>
      <c r="BB273" s="336"/>
      <c r="BC273" s="336"/>
      <c r="BD273" s="336"/>
      <c r="BE273" s="336"/>
      <c r="BF273" s="336"/>
      <c r="BG273" s="336"/>
      <c r="BH273" s="336"/>
      <c r="BI273" s="336"/>
      <c r="BJ273" s="336"/>
      <c r="BK273" s="552"/>
      <c r="BL273" s="552"/>
      <c r="BM273" s="552"/>
      <c r="BN273" s="336"/>
      <c r="BO273" s="336"/>
      <c r="BP273" s="336"/>
      <c r="BQ273" s="336"/>
      <c r="BR273" s="336"/>
      <c r="BS273" s="336"/>
      <c r="BT273" s="336"/>
      <c r="BU273" s="336"/>
      <c r="BV273" s="336"/>
      <c r="BW273" s="336"/>
      <c r="BX273" s="336"/>
      <c r="BY273" s="336"/>
      <c r="BZ273" s="338"/>
      <c r="CA273" s="338"/>
      <c r="CB273" s="338"/>
    </row>
    <row r="274" spans="1:80" s="465" customFormat="1" ht="127.5" customHeight="1" x14ac:dyDescent="0.25">
      <c r="A274" s="54"/>
      <c r="B274" s="64"/>
      <c r="C274" s="509" t="s">
        <v>885</v>
      </c>
      <c r="D274" s="517" t="s">
        <v>340</v>
      </c>
      <c r="E274" s="509" t="s">
        <v>886</v>
      </c>
      <c r="F274" s="509" t="s">
        <v>887</v>
      </c>
      <c r="G274" s="58"/>
      <c r="H274" s="57">
        <v>53</v>
      </c>
      <c r="I274" s="56" t="s">
        <v>350</v>
      </c>
      <c r="J274" s="131">
        <v>0</v>
      </c>
      <c r="K274" s="207">
        <v>1</v>
      </c>
      <c r="L274" s="489">
        <v>0.5</v>
      </c>
      <c r="M274" s="61">
        <v>2017003630049</v>
      </c>
      <c r="N274" s="187" t="s">
        <v>306</v>
      </c>
      <c r="O274" s="498" t="s">
        <v>351</v>
      </c>
      <c r="P274" s="56" t="s">
        <v>352</v>
      </c>
      <c r="Q274" s="57" t="s">
        <v>51</v>
      </c>
      <c r="R274" s="539">
        <v>0</v>
      </c>
      <c r="S274" s="539"/>
      <c r="T274" s="539"/>
      <c r="U274" s="539">
        <v>0</v>
      </c>
      <c r="V274" s="539"/>
      <c r="W274" s="539"/>
      <c r="X274" s="539">
        <v>0</v>
      </c>
      <c r="Y274" s="539"/>
      <c r="Z274" s="539"/>
      <c r="AA274" s="539">
        <v>0</v>
      </c>
      <c r="AB274" s="539"/>
      <c r="AC274" s="539"/>
      <c r="AD274" s="539">
        <v>0</v>
      </c>
      <c r="AE274" s="539"/>
      <c r="AF274" s="539"/>
      <c r="AG274" s="539">
        <v>0</v>
      </c>
      <c r="AH274" s="539"/>
      <c r="AI274" s="539"/>
      <c r="AJ274" s="539">
        <v>0</v>
      </c>
      <c r="AK274" s="539"/>
      <c r="AL274" s="539"/>
      <c r="AM274" s="539"/>
      <c r="AN274" s="539"/>
      <c r="AO274" s="539"/>
      <c r="AP274" s="539"/>
      <c r="AQ274" s="539"/>
      <c r="AR274" s="539"/>
      <c r="AS274" s="539">
        <v>0</v>
      </c>
      <c r="AT274" s="539"/>
      <c r="AU274" s="539"/>
      <c r="AV274" s="539">
        <v>0</v>
      </c>
      <c r="AW274" s="539"/>
      <c r="AX274" s="539"/>
      <c r="AY274" s="539"/>
      <c r="AZ274" s="539"/>
      <c r="BA274" s="539"/>
      <c r="BB274" s="539"/>
      <c r="BC274" s="539"/>
      <c r="BD274" s="539"/>
      <c r="BE274" s="539">
        <v>0</v>
      </c>
      <c r="BF274" s="539"/>
      <c r="BG274" s="539"/>
      <c r="BH274" s="539">
        <v>0</v>
      </c>
      <c r="BI274" s="539"/>
      <c r="BJ274" s="539"/>
      <c r="BK274" s="598">
        <f>250000000+165000000</f>
        <v>415000000</v>
      </c>
      <c r="BL274" s="598">
        <v>168560000</v>
      </c>
      <c r="BM274" s="598">
        <v>51000000</v>
      </c>
      <c r="BN274" s="553"/>
      <c r="BO274" s="553"/>
      <c r="BP274" s="553"/>
      <c r="BQ274" s="540">
        <f>512000000+33094912</f>
        <v>545094912</v>
      </c>
      <c r="BR274" s="542">
        <v>24150000</v>
      </c>
      <c r="BS274" s="542"/>
      <c r="BT274" s="542"/>
      <c r="BU274" s="542"/>
      <c r="BV274" s="542"/>
      <c r="BW274" s="542"/>
      <c r="BX274" s="542"/>
      <c r="BY274" s="542"/>
      <c r="BZ274" s="539">
        <f>R274+U274+X274+AA274+AD274+AG274+AJ274+AM274+AP274+AS274+AV274+AY274+BB274+BE274+BH274+BK274+BN274+BQ274+BT274+BW274</f>
        <v>960094912</v>
      </c>
      <c r="CA274" s="539">
        <f t="shared" ref="CA274" si="243">S274+V274+Y274+AB274+AE274+AH274+AK274+AN274+AQ274+AT274+AW274+AZ274+BC274+BF274+BI274+BL274+BO274+BR274+BU274+BX274</f>
        <v>192710000</v>
      </c>
      <c r="CB274" s="539">
        <f t="shared" ref="CB274" si="244">T274+W274+Z274+AC274+AF274+AI274+AL274+AO274+AR274+AU274+AX274+BA274+BD274+BG274+BJ274+BM274+BP274+BS274+BV274+BY274</f>
        <v>51000000</v>
      </c>
    </row>
    <row r="275" spans="1:80" s="459" customFormat="1" ht="15.75" x14ac:dyDescent="0.2">
      <c r="A275" s="54"/>
      <c r="B275" s="139"/>
      <c r="C275" s="510"/>
      <c r="D275" s="518"/>
      <c r="E275" s="510"/>
      <c r="F275" s="510"/>
      <c r="G275" s="77"/>
      <c r="H275" s="78"/>
      <c r="I275" s="77"/>
      <c r="J275" s="164"/>
      <c r="K275" s="279"/>
      <c r="L275" s="279"/>
      <c r="M275" s="279"/>
      <c r="N275" s="164"/>
      <c r="O275" s="78"/>
      <c r="P275" s="77"/>
      <c r="Q275" s="78"/>
      <c r="R275" s="548">
        <f t="shared" ref="R275:BY275" si="245">SUM(R274:R274)</f>
        <v>0</v>
      </c>
      <c r="S275" s="548">
        <f t="shared" si="245"/>
        <v>0</v>
      </c>
      <c r="T275" s="548">
        <f t="shared" si="245"/>
        <v>0</v>
      </c>
      <c r="U275" s="548">
        <f t="shared" si="245"/>
        <v>0</v>
      </c>
      <c r="V275" s="548">
        <f t="shared" si="245"/>
        <v>0</v>
      </c>
      <c r="W275" s="548">
        <f t="shared" si="245"/>
        <v>0</v>
      </c>
      <c r="X275" s="548">
        <f t="shared" si="245"/>
        <v>0</v>
      </c>
      <c r="Y275" s="548">
        <f t="shared" si="245"/>
        <v>0</v>
      </c>
      <c r="Z275" s="548">
        <f t="shared" si="245"/>
        <v>0</v>
      </c>
      <c r="AA275" s="548">
        <f t="shared" si="245"/>
        <v>0</v>
      </c>
      <c r="AB275" s="548">
        <f t="shared" si="245"/>
        <v>0</v>
      </c>
      <c r="AC275" s="548">
        <f t="shared" si="245"/>
        <v>0</v>
      </c>
      <c r="AD275" s="548">
        <f t="shared" si="245"/>
        <v>0</v>
      </c>
      <c r="AE275" s="548">
        <f t="shared" si="245"/>
        <v>0</v>
      </c>
      <c r="AF275" s="548">
        <f t="shared" si="245"/>
        <v>0</v>
      </c>
      <c r="AG275" s="548">
        <f t="shared" si="245"/>
        <v>0</v>
      </c>
      <c r="AH275" s="548">
        <f t="shared" si="245"/>
        <v>0</v>
      </c>
      <c r="AI275" s="548">
        <f t="shared" si="245"/>
        <v>0</v>
      </c>
      <c r="AJ275" s="548">
        <f t="shared" si="245"/>
        <v>0</v>
      </c>
      <c r="AK275" s="548">
        <f t="shared" si="245"/>
        <v>0</v>
      </c>
      <c r="AL275" s="548">
        <f t="shared" si="245"/>
        <v>0</v>
      </c>
      <c r="AM275" s="548">
        <f t="shared" si="245"/>
        <v>0</v>
      </c>
      <c r="AN275" s="548">
        <f t="shared" si="245"/>
        <v>0</v>
      </c>
      <c r="AO275" s="548">
        <f t="shared" si="245"/>
        <v>0</v>
      </c>
      <c r="AP275" s="548">
        <f t="shared" si="245"/>
        <v>0</v>
      </c>
      <c r="AQ275" s="548">
        <f t="shared" si="245"/>
        <v>0</v>
      </c>
      <c r="AR275" s="548">
        <f t="shared" si="245"/>
        <v>0</v>
      </c>
      <c r="AS275" s="548">
        <f t="shared" si="245"/>
        <v>0</v>
      </c>
      <c r="AT275" s="548">
        <f t="shared" si="245"/>
        <v>0</v>
      </c>
      <c r="AU275" s="548">
        <f t="shared" si="245"/>
        <v>0</v>
      </c>
      <c r="AV275" s="548">
        <f t="shared" si="245"/>
        <v>0</v>
      </c>
      <c r="AW275" s="548">
        <f t="shared" si="245"/>
        <v>0</v>
      </c>
      <c r="AX275" s="548">
        <f t="shared" si="245"/>
        <v>0</v>
      </c>
      <c r="AY275" s="548">
        <f t="shared" si="245"/>
        <v>0</v>
      </c>
      <c r="AZ275" s="548">
        <f t="shared" si="245"/>
        <v>0</v>
      </c>
      <c r="BA275" s="548">
        <f t="shared" si="245"/>
        <v>0</v>
      </c>
      <c r="BB275" s="548">
        <f t="shared" si="245"/>
        <v>0</v>
      </c>
      <c r="BC275" s="548">
        <f t="shared" si="245"/>
        <v>0</v>
      </c>
      <c r="BD275" s="548">
        <f t="shared" si="245"/>
        <v>0</v>
      </c>
      <c r="BE275" s="548">
        <f t="shared" si="245"/>
        <v>0</v>
      </c>
      <c r="BF275" s="548">
        <f t="shared" si="245"/>
        <v>0</v>
      </c>
      <c r="BG275" s="548">
        <f t="shared" si="245"/>
        <v>0</v>
      </c>
      <c r="BH275" s="548">
        <f t="shared" si="245"/>
        <v>0</v>
      </c>
      <c r="BI275" s="548">
        <f t="shared" si="245"/>
        <v>0</v>
      </c>
      <c r="BJ275" s="548">
        <f t="shared" si="245"/>
        <v>0</v>
      </c>
      <c r="BK275" s="548">
        <f t="shared" si="245"/>
        <v>415000000</v>
      </c>
      <c r="BL275" s="548">
        <f t="shared" si="245"/>
        <v>168560000</v>
      </c>
      <c r="BM275" s="548">
        <f t="shared" si="245"/>
        <v>51000000</v>
      </c>
      <c r="BN275" s="548">
        <f t="shared" si="245"/>
        <v>0</v>
      </c>
      <c r="BO275" s="548">
        <f t="shared" si="245"/>
        <v>0</v>
      </c>
      <c r="BP275" s="548">
        <f t="shared" si="245"/>
        <v>0</v>
      </c>
      <c r="BQ275" s="548">
        <f t="shared" si="245"/>
        <v>545094912</v>
      </c>
      <c r="BR275" s="548">
        <f t="shared" si="245"/>
        <v>24150000</v>
      </c>
      <c r="BS275" s="548">
        <f t="shared" si="245"/>
        <v>0</v>
      </c>
      <c r="BT275" s="548">
        <f t="shared" si="245"/>
        <v>0</v>
      </c>
      <c r="BU275" s="548">
        <f t="shared" si="245"/>
        <v>0</v>
      </c>
      <c r="BV275" s="548">
        <f t="shared" si="245"/>
        <v>0</v>
      </c>
      <c r="BW275" s="548">
        <f t="shared" si="245"/>
        <v>0</v>
      </c>
      <c r="BX275" s="548">
        <f t="shared" si="245"/>
        <v>0</v>
      </c>
      <c r="BY275" s="548">
        <f t="shared" si="245"/>
        <v>0</v>
      </c>
      <c r="BZ275" s="548">
        <f t="shared" ref="BZ275" si="246">SUM(BZ274:BZ274)</f>
        <v>960094912</v>
      </c>
      <c r="CA275" s="548">
        <f t="shared" ref="CA275:CB275" si="247">SUM(CA274:CA274)</f>
        <v>192710000</v>
      </c>
      <c r="CB275" s="548">
        <f t="shared" si="247"/>
        <v>51000000</v>
      </c>
    </row>
    <row r="276" spans="1:80" s="459" customFormat="1" ht="15.75" x14ac:dyDescent="0.2">
      <c r="A276" s="74"/>
      <c r="B276" s="118"/>
      <c r="C276" s="82"/>
      <c r="D276" s="81"/>
      <c r="E276" s="82"/>
      <c r="F276" s="82"/>
      <c r="G276" s="81"/>
      <c r="H276" s="82"/>
      <c r="I276" s="81"/>
      <c r="J276" s="178"/>
      <c r="K276" s="283"/>
      <c r="L276" s="283"/>
      <c r="M276" s="283"/>
      <c r="N276" s="178"/>
      <c r="O276" s="82"/>
      <c r="P276" s="81"/>
      <c r="Q276" s="82"/>
      <c r="R276" s="554">
        <f t="shared" ref="R276:BY276" si="248">R275+R271+R267</f>
        <v>0</v>
      </c>
      <c r="S276" s="554">
        <f t="shared" si="248"/>
        <v>0</v>
      </c>
      <c r="T276" s="554">
        <f t="shared" si="248"/>
        <v>0</v>
      </c>
      <c r="U276" s="554">
        <f t="shared" si="248"/>
        <v>0</v>
      </c>
      <c r="V276" s="554">
        <f t="shared" si="248"/>
        <v>0</v>
      </c>
      <c r="W276" s="554">
        <f t="shared" si="248"/>
        <v>0</v>
      </c>
      <c r="X276" s="554">
        <f t="shared" si="248"/>
        <v>0</v>
      </c>
      <c r="Y276" s="554">
        <f t="shared" si="248"/>
        <v>0</v>
      </c>
      <c r="Z276" s="554">
        <f t="shared" si="248"/>
        <v>0</v>
      </c>
      <c r="AA276" s="554">
        <f t="shared" si="248"/>
        <v>0</v>
      </c>
      <c r="AB276" s="554">
        <f t="shared" si="248"/>
        <v>0</v>
      </c>
      <c r="AC276" s="554">
        <f t="shared" si="248"/>
        <v>0</v>
      </c>
      <c r="AD276" s="554">
        <f t="shared" si="248"/>
        <v>0</v>
      </c>
      <c r="AE276" s="554">
        <f t="shared" si="248"/>
        <v>0</v>
      </c>
      <c r="AF276" s="554">
        <f t="shared" si="248"/>
        <v>0</v>
      </c>
      <c r="AG276" s="554">
        <f t="shared" si="248"/>
        <v>0</v>
      </c>
      <c r="AH276" s="554">
        <f t="shared" si="248"/>
        <v>0</v>
      </c>
      <c r="AI276" s="554">
        <f t="shared" si="248"/>
        <v>0</v>
      </c>
      <c r="AJ276" s="554">
        <f t="shared" si="248"/>
        <v>0</v>
      </c>
      <c r="AK276" s="554">
        <f t="shared" si="248"/>
        <v>0</v>
      </c>
      <c r="AL276" s="554">
        <f t="shared" si="248"/>
        <v>0</v>
      </c>
      <c r="AM276" s="554">
        <f t="shared" si="248"/>
        <v>0</v>
      </c>
      <c r="AN276" s="554">
        <f t="shared" si="248"/>
        <v>0</v>
      </c>
      <c r="AO276" s="554">
        <f t="shared" si="248"/>
        <v>0</v>
      </c>
      <c r="AP276" s="554">
        <f t="shared" si="248"/>
        <v>0</v>
      </c>
      <c r="AQ276" s="554">
        <f t="shared" si="248"/>
        <v>0</v>
      </c>
      <c r="AR276" s="554">
        <f t="shared" si="248"/>
        <v>0</v>
      </c>
      <c r="AS276" s="554">
        <f t="shared" si="248"/>
        <v>0</v>
      </c>
      <c r="AT276" s="554">
        <f t="shared" si="248"/>
        <v>0</v>
      </c>
      <c r="AU276" s="554">
        <f t="shared" si="248"/>
        <v>0</v>
      </c>
      <c r="AV276" s="554">
        <f t="shared" si="248"/>
        <v>0</v>
      </c>
      <c r="AW276" s="554">
        <f t="shared" si="248"/>
        <v>0</v>
      </c>
      <c r="AX276" s="554">
        <f t="shared" si="248"/>
        <v>0</v>
      </c>
      <c r="AY276" s="554">
        <f t="shared" si="248"/>
        <v>0</v>
      </c>
      <c r="AZ276" s="554">
        <f t="shared" si="248"/>
        <v>0</v>
      </c>
      <c r="BA276" s="554">
        <f t="shared" si="248"/>
        <v>0</v>
      </c>
      <c r="BB276" s="554">
        <f t="shared" si="248"/>
        <v>0</v>
      </c>
      <c r="BC276" s="554">
        <f t="shared" si="248"/>
        <v>0</v>
      </c>
      <c r="BD276" s="554">
        <f t="shared" si="248"/>
        <v>0</v>
      </c>
      <c r="BE276" s="554">
        <f t="shared" si="248"/>
        <v>0</v>
      </c>
      <c r="BF276" s="554">
        <f t="shared" si="248"/>
        <v>0</v>
      </c>
      <c r="BG276" s="554">
        <f t="shared" si="248"/>
        <v>0</v>
      </c>
      <c r="BH276" s="554">
        <f t="shared" si="248"/>
        <v>0</v>
      </c>
      <c r="BI276" s="554">
        <f t="shared" si="248"/>
        <v>0</v>
      </c>
      <c r="BJ276" s="554">
        <f t="shared" si="248"/>
        <v>0</v>
      </c>
      <c r="BK276" s="554">
        <f t="shared" si="248"/>
        <v>821640000</v>
      </c>
      <c r="BL276" s="554">
        <f t="shared" si="248"/>
        <v>362160000</v>
      </c>
      <c r="BM276" s="554">
        <f t="shared" si="248"/>
        <v>98600000</v>
      </c>
      <c r="BN276" s="554">
        <f t="shared" si="248"/>
        <v>0</v>
      </c>
      <c r="BO276" s="554">
        <f t="shared" si="248"/>
        <v>0</v>
      </c>
      <c r="BP276" s="554">
        <f t="shared" si="248"/>
        <v>0</v>
      </c>
      <c r="BQ276" s="554">
        <f t="shared" si="248"/>
        <v>545094912</v>
      </c>
      <c r="BR276" s="554">
        <f t="shared" si="248"/>
        <v>24150000</v>
      </c>
      <c r="BS276" s="554">
        <f t="shared" si="248"/>
        <v>0</v>
      </c>
      <c r="BT276" s="554">
        <f t="shared" si="248"/>
        <v>0</v>
      </c>
      <c r="BU276" s="554">
        <f t="shared" si="248"/>
        <v>0</v>
      </c>
      <c r="BV276" s="554">
        <f t="shared" si="248"/>
        <v>0</v>
      </c>
      <c r="BW276" s="554">
        <f t="shared" si="248"/>
        <v>0</v>
      </c>
      <c r="BX276" s="554">
        <f t="shared" si="248"/>
        <v>0</v>
      </c>
      <c r="BY276" s="554">
        <f t="shared" si="248"/>
        <v>0</v>
      </c>
      <c r="BZ276" s="554">
        <f>BZ275+BZ271+BZ267</f>
        <v>1366734912</v>
      </c>
      <c r="CA276" s="554">
        <f t="shared" ref="CA276:CB276" si="249">CA275+CA271+CA267</f>
        <v>386310000</v>
      </c>
      <c r="CB276" s="554">
        <f t="shared" si="249"/>
        <v>98600000</v>
      </c>
    </row>
    <row r="277" spans="1:80" s="459" customFormat="1" x14ac:dyDescent="0.2">
      <c r="A277" s="84"/>
      <c r="B277" s="84"/>
      <c r="C277" s="85"/>
      <c r="D277" s="84"/>
      <c r="E277" s="85"/>
      <c r="F277" s="85"/>
      <c r="G277" s="84"/>
      <c r="H277" s="85"/>
      <c r="I277" s="84"/>
      <c r="J277" s="181"/>
      <c r="K277" s="286"/>
      <c r="L277" s="286"/>
      <c r="M277" s="286"/>
      <c r="N277" s="181"/>
      <c r="O277" s="85"/>
      <c r="P277" s="84"/>
      <c r="Q277" s="85"/>
      <c r="R277" s="560">
        <f t="shared" ref="R277:BY277" si="250">R276+R261</f>
        <v>0</v>
      </c>
      <c r="S277" s="560">
        <f t="shared" si="250"/>
        <v>0</v>
      </c>
      <c r="T277" s="560">
        <f t="shared" si="250"/>
        <v>0</v>
      </c>
      <c r="U277" s="560">
        <f t="shared" si="250"/>
        <v>0</v>
      </c>
      <c r="V277" s="560">
        <f t="shared" si="250"/>
        <v>0</v>
      </c>
      <c r="W277" s="560">
        <f t="shared" si="250"/>
        <v>0</v>
      </c>
      <c r="X277" s="560">
        <f t="shared" si="250"/>
        <v>0</v>
      </c>
      <c r="Y277" s="560">
        <f t="shared" si="250"/>
        <v>0</v>
      </c>
      <c r="Z277" s="560">
        <f t="shared" si="250"/>
        <v>0</v>
      </c>
      <c r="AA277" s="560">
        <f t="shared" si="250"/>
        <v>0</v>
      </c>
      <c r="AB277" s="560">
        <f t="shared" si="250"/>
        <v>0</v>
      </c>
      <c r="AC277" s="560">
        <f t="shared" si="250"/>
        <v>0</v>
      </c>
      <c r="AD277" s="560">
        <f t="shared" si="250"/>
        <v>0</v>
      </c>
      <c r="AE277" s="560">
        <f t="shared" si="250"/>
        <v>0</v>
      </c>
      <c r="AF277" s="560">
        <f t="shared" si="250"/>
        <v>0</v>
      </c>
      <c r="AG277" s="560">
        <f t="shared" si="250"/>
        <v>0</v>
      </c>
      <c r="AH277" s="560">
        <f t="shared" si="250"/>
        <v>0</v>
      </c>
      <c r="AI277" s="560">
        <f t="shared" si="250"/>
        <v>0</v>
      </c>
      <c r="AJ277" s="560">
        <f t="shared" si="250"/>
        <v>0</v>
      </c>
      <c r="AK277" s="560">
        <f t="shared" si="250"/>
        <v>0</v>
      </c>
      <c r="AL277" s="560">
        <f t="shared" si="250"/>
        <v>0</v>
      </c>
      <c r="AM277" s="560">
        <f t="shared" si="250"/>
        <v>0</v>
      </c>
      <c r="AN277" s="560">
        <f t="shared" si="250"/>
        <v>0</v>
      </c>
      <c r="AO277" s="560">
        <f t="shared" si="250"/>
        <v>0</v>
      </c>
      <c r="AP277" s="560">
        <f t="shared" si="250"/>
        <v>0</v>
      </c>
      <c r="AQ277" s="560">
        <f t="shared" si="250"/>
        <v>0</v>
      </c>
      <c r="AR277" s="560">
        <f t="shared" si="250"/>
        <v>0</v>
      </c>
      <c r="AS277" s="560">
        <f t="shared" si="250"/>
        <v>0</v>
      </c>
      <c r="AT277" s="560">
        <f t="shared" si="250"/>
        <v>0</v>
      </c>
      <c r="AU277" s="560">
        <f t="shared" si="250"/>
        <v>0</v>
      </c>
      <c r="AV277" s="560">
        <f t="shared" si="250"/>
        <v>0</v>
      </c>
      <c r="AW277" s="560">
        <f t="shared" si="250"/>
        <v>0</v>
      </c>
      <c r="AX277" s="560">
        <f t="shared" si="250"/>
        <v>0</v>
      </c>
      <c r="AY277" s="560">
        <f t="shared" si="250"/>
        <v>0</v>
      </c>
      <c r="AZ277" s="560">
        <f t="shared" si="250"/>
        <v>0</v>
      </c>
      <c r="BA277" s="560">
        <f t="shared" si="250"/>
        <v>0</v>
      </c>
      <c r="BB277" s="560">
        <f t="shared" si="250"/>
        <v>0</v>
      </c>
      <c r="BC277" s="560">
        <f t="shared" si="250"/>
        <v>0</v>
      </c>
      <c r="BD277" s="560">
        <f t="shared" si="250"/>
        <v>0</v>
      </c>
      <c r="BE277" s="560">
        <f t="shared" si="250"/>
        <v>0</v>
      </c>
      <c r="BF277" s="560">
        <f t="shared" si="250"/>
        <v>0</v>
      </c>
      <c r="BG277" s="560">
        <f t="shared" si="250"/>
        <v>0</v>
      </c>
      <c r="BH277" s="560">
        <f t="shared" si="250"/>
        <v>0</v>
      </c>
      <c r="BI277" s="560">
        <f t="shared" si="250"/>
        <v>0</v>
      </c>
      <c r="BJ277" s="560">
        <f t="shared" si="250"/>
        <v>0</v>
      </c>
      <c r="BK277" s="560">
        <f t="shared" si="250"/>
        <v>1758000000</v>
      </c>
      <c r="BL277" s="560">
        <f t="shared" si="250"/>
        <v>809460000</v>
      </c>
      <c r="BM277" s="560">
        <f t="shared" si="250"/>
        <v>149230000</v>
      </c>
      <c r="BN277" s="560">
        <f t="shared" si="250"/>
        <v>0</v>
      </c>
      <c r="BO277" s="560">
        <f t="shared" si="250"/>
        <v>0</v>
      </c>
      <c r="BP277" s="560">
        <f t="shared" si="250"/>
        <v>0</v>
      </c>
      <c r="BQ277" s="560">
        <f t="shared" si="250"/>
        <v>545094912</v>
      </c>
      <c r="BR277" s="560">
        <f t="shared" si="250"/>
        <v>24150000</v>
      </c>
      <c r="BS277" s="560">
        <f t="shared" si="250"/>
        <v>0</v>
      </c>
      <c r="BT277" s="560">
        <f t="shared" si="250"/>
        <v>0</v>
      </c>
      <c r="BU277" s="560">
        <f t="shared" si="250"/>
        <v>0</v>
      </c>
      <c r="BV277" s="560">
        <f t="shared" si="250"/>
        <v>0</v>
      </c>
      <c r="BW277" s="560">
        <f t="shared" si="250"/>
        <v>0</v>
      </c>
      <c r="BX277" s="560">
        <f t="shared" si="250"/>
        <v>0</v>
      </c>
      <c r="BY277" s="560">
        <f t="shared" si="250"/>
        <v>0</v>
      </c>
      <c r="BZ277" s="560">
        <f t="shared" ref="BZ277" si="251">BZ276+BZ261</f>
        <v>2303094912</v>
      </c>
      <c r="CA277" s="560">
        <f t="shared" ref="CA277:CB277" si="252">CA276+CA261</f>
        <v>833610000</v>
      </c>
      <c r="CB277" s="560">
        <f t="shared" si="252"/>
        <v>149230000</v>
      </c>
    </row>
    <row r="278" spans="1:80" s="459" customFormat="1" x14ac:dyDescent="0.2">
      <c r="A278" s="87"/>
      <c r="B278" s="87"/>
      <c r="C278" s="88"/>
      <c r="D278" s="87"/>
      <c r="E278" s="88"/>
      <c r="F278" s="88"/>
      <c r="G278" s="87"/>
      <c r="H278" s="88"/>
      <c r="I278" s="87"/>
      <c r="J278" s="205"/>
      <c r="K278" s="287"/>
      <c r="L278" s="287"/>
      <c r="M278" s="287"/>
      <c r="N278" s="205"/>
      <c r="O278" s="88"/>
      <c r="P278" s="87"/>
      <c r="Q278" s="88"/>
      <c r="R278" s="561">
        <f t="shared" ref="R278:BY278" si="253">R277</f>
        <v>0</v>
      </c>
      <c r="S278" s="561">
        <f t="shared" si="253"/>
        <v>0</v>
      </c>
      <c r="T278" s="561">
        <f t="shared" si="253"/>
        <v>0</v>
      </c>
      <c r="U278" s="561">
        <f t="shared" si="253"/>
        <v>0</v>
      </c>
      <c r="V278" s="561">
        <f t="shared" si="253"/>
        <v>0</v>
      </c>
      <c r="W278" s="561">
        <f t="shared" si="253"/>
        <v>0</v>
      </c>
      <c r="X278" s="561">
        <f t="shared" si="253"/>
        <v>0</v>
      </c>
      <c r="Y278" s="561">
        <f t="shared" si="253"/>
        <v>0</v>
      </c>
      <c r="Z278" s="561">
        <f t="shared" si="253"/>
        <v>0</v>
      </c>
      <c r="AA278" s="561">
        <f t="shared" si="253"/>
        <v>0</v>
      </c>
      <c r="AB278" s="561">
        <f t="shared" si="253"/>
        <v>0</v>
      </c>
      <c r="AC278" s="561">
        <f t="shared" si="253"/>
        <v>0</v>
      </c>
      <c r="AD278" s="561">
        <f t="shared" si="253"/>
        <v>0</v>
      </c>
      <c r="AE278" s="561">
        <f t="shared" si="253"/>
        <v>0</v>
      </c>
      <c r="AF278" s="561">
        <f t="shared" si="253"/>
        <v>0</v>
      </c>
      <c r="AG278" s="561">
        <f t="shared" si="253"/>
        <v>0</v>
      </c>
      <c r="AH278" s="561">
        <f t="shared" si="253"/>
        <v>0</v>
      </c>
      <c r="AI278" s="561">
        <f t="shared" si="253"/>
        <v>0</v>
      </c>
      <c r="AJ278" s="561">
        <f t="shared" si="253"/>
        <v>0</v>
      </c>
      <c r="AK278" s="561">
        <f t="shared" si="253"/>
        <v>0</v>
      </c>
      <c r="AL278" s="561">
        <f t="shared" si="253"/>
        <v>0</v>
      </c>
      <c r="AM278" s="561">
        <f t="shared" si="253"/>
        <v>0</v>
      </c>
      <c r="AN278" s="561">
        <f t="shared" si="253"/>
        <v>0</v>
      </c>
      <c r="AO278" s="561">
        <f t="shared" si="253"/>
        <v>0</v>
      </c>
      <c r="AP278" s="561">
        <f t="shared" si="253"/>
        <v>0</v>
      </c>
      <c r="AQ278" s="561">
        <f t="shared" si="253"/>
        <v>0</v>
      </c>
      <c r="AR278" s="561">
        <f t="shared" si="253"/>
        <v>0</v>
      </c>
      <c r="AS278" s="561">
        <f t="shared" si="253"/>
        <v>0</v>
      </c>
      <c r="AT278" s="561">
        <f t="shared" si="253"/>
        <v>0</v>
      </c>
      <c r="AU278" s="561">
        <f t="shared" si="253"/>
        <v>0</v>
      </c>
      <c r="AV278" s="561">
        <f t="shared" si="253"/>
        <v>0</v>
      </c>
      <c r="AW278" s="561">
        <f t="shared" si="253"/>
        <v>0</v>
      </c>
      <c r="AX278" s="561">
        <f t="shared" si="253"/>
        <v>0</v>
      </c>
      <c r="AY278" s="561">
        <f t="shared" si="253"/>
        <v>0</v>
      </c>
      <c r="AZ278" s="561">
        <f t="shared" si="253"/>
        <v>0</v>
      </c>
      <c r="BA278" s="561">
        <f t="shared" si="253"/>
        <v>0</v>
      </c>
      <c r="BB278" s="561">
        <f t="shared" si="253"/>
        <v>0</v>
      </c>
      <c r="BC278" s="561">
        <f t="shared" si="253"/>
        <v>0</v>
      </c>
      <c r="BD278" s="561">
        <f t="shared" si="253"/>
        <v>0</v>
      </c>
      <c r="BE278" s="561">
        <f t="shared" si="253"/>
        <v>0</v>
      </c>
      <c r="BF278" s="561">
        <f t="shared" si="253"/>
        <v>0</v>
      </c>
      <c r="BG278" s="561">
        <f t="shared" si="253"/>
        <v>0</v>
      </c>
      <c r="BH278" s="561">
        <f t="shared" si="253"/>
        <v>0</v>
      </c>
      <c r="BI278" s="561">
        <f t="shared" si="253"/>
        <v>0</v>
      </c>
      <c r="BJ278" s="561">
        <f t="shared" si="253"/>
        <v>0</v>
      </c>
      <c r="BK278" s="561">
        <f t="shared" si="253"/>
        <v>1758000000</v>
      </c>
      <c r="BL278" s="561">
        <f t="shared" si="253"/>
        <v>809460000</v>
      </c>
      <c r="BM278" s="561">
        <f t="shared" si="253"/>
        <v>149230000</v>
      </c>
      <c r="BN278" s="561">
        <f t="shared" si="253"/>
        <v>0</v>
      </c>
      <c r="BO278" s="561">
        <f t="shared" si="253"/>
        <v>0</v>
      </c>
      <c r="BP278" s="561">
        <f t="shared" si="253"/>
        <v>0</v>
      </c>
      <c r="BQ278" s="561">
        <f t="shared" si="253"/>
        <v>545094912</v>
      </c>
      <c r="BR278" s="561">
        <f t="shared" si="253"/>
        <v>24150000</v>
      </c>
      <c r="BS278" s="561">
        <f t="shared" si="253"/>
        <v>0</v>
      </c>
      <c r="BT278" s="561">
        <f t="shared" si="253"/>
        <v>0</v>
      </c>
      <c r="BU278" s="561">
        <f t="shared" si="253"/>
        <v>0</v>
      </c>
      <c r="BV278" s="561">
        <f t="shared" si="253"/>
        <v>0</v>
      </c>
      <c r="BW278" s="561">
        <f t="shared" si="253"/>
        <v>0</v>
      </c>
      <c r="BX278" s="561">
        <f t="shared" si="253"/>
        <v>0</v>
      </c>
      <c r="BY278" s="561">
        <f t="shared" si="253"/>
        <v>0</v>
      </c>
      <c r="BZ278" s="561">
        <f t="shared" ref="BZ278" si="254">BZ277</f>
        <v>2303094912</v>
      </c>
      <c r="CA278" s="561">
        <f t="shared" ref="CA278:CB278" si="255">CA277</f>
        <v>833610000</v>
      </c>
      <c r="CB278" s="561">
        <f t="shared" si="255"/>
        <v>149230000</v>
      </c>
    </row>
    <row r="279" spans="1:80" s="11" customFormat="1" x14ac:dyDescent="0.2">
      <c r="A279" s="90"/>
      <c r="B279" s="91"/>
      <c r="C279" s="92"/>
      <c r="D279" s="91"/>
      <c r="E279" s="92"/>
      <c r="F279" s="92"/>
      <c r="G279" s="91"/>
      <c r="H279" s="92"/>
      <c r="I279" s="91"/>
      <c r="J279" s="183"/>
      <c r="K279" s="280"/>
      <c r="L279" s="280"/>
      <c r="M279" s="280"/>
      <c r="N279" s="183"/>
      <c r="O279" s="500"/>
      <c r="P279" s="91"/>
      <c r="Q279" s="92"/>
      <c r="R279" s="543"/>
      <c r="S279" s="543"/>
      <c r="T279" s="543"/>
      <c r="U279" s="543"/>
      <c r="V279" s="543"/>
      <c r="W279" s="543"/>
      <c r="X279" s="543"/>
      <c r="Y279" s="543"/>
      <c r="Z279" s="543"/>
      <c r="AA279" s="543"/>
      <c r="AB279" s="543"/>
      <c r="AC279" s="543"/>
      <c r="AD279" s="543"/>
      <c r="AE279" s="543"/>
      <c r="AF279" s="543"/>
      <c r="AG279" s="543"/>
      <c r="AH279" s="543"/>
      <c r="AI279" s="543"/>
      <c r="AJ279" s="543"/>
      <c r="AK279" s="543"/>
      <c r="AL279" s="543"/>
      <c r="AM279" s="543"/>
      <c r="AN279" s="543"/>
      <c r="AO279" s="543"/>
      <c r="AP279" s="543"/>
      <c r="AQ279" s="543"/>
      <c r="AR279" s="543"/>
      <c r="AS279" s="543"/>
      <c r="AT279" s="543"/>
      <c r="AU279" s="543"/>
      <c r="AV279" s="543"/>
      <c r="AW279" s="543"/>
      <c r="AX279" s="543"/>
      <c r="AY279" s="544"/>
      <c r="AZ279" s="544"/>
      <c r="BA279" s="544"/>
      <c r="BB279" s="544"/>
      <c r="BC279" s="544"/>
      <c r="BD279" s="544"/>
      <c r="BE279" s="543"/>
      <c r="BF279" s="543"/>
      <c r="BG279" s="543"/>
      <c r="BH279" s="543"/>
      <c r="BI279" s="543"/>
      <c r="BJ279" s="543"/>
      <c r="BK279" s="545"/>
      <c r="BL279" s="545"/>
      <c r="BM279" s="545"/>
      <c r="BN279" s="546"/>
      <c r="BO279" s="546"/>
      <c r="BP279" s="546"/>
      <c r="BQ279" s="546"/>
      <c r="BR279" s="546"/>
      <c r="BS279" s="546"/>
      <c r="BT279" s="546"/>
      <c r="BU279" s="546"/>
      <c r="BV279" s="546"/>
      <c r="BW279" s="546"/>
      <c r="BX279" s="546"/>
      <c r="BY279" s="546"/>
      <c r="BZ279" s="546"/>
      <c r="CA279" s="546"/>
      <c r="CB279" s="546"/>
    </row>
    <row r="280" spans="1:80" s="459" customFormat="1" ht="15.75" x14ac:dyDescent="0.2">
      <c r="A280" s="41" t="s">
        <v>353</v>
      </c>
      <c r="B280" s="288"/>
      <c r="C280" s="289"/>
      <c r="D280" s="288"/>
      <c r="E280" s="288"/>
      <c r="F280" s="288"/>
      <c r="G280" s="288"/>
      <c r="H280" s="289"/>
      <c r="I280" s="288"/>
      <c r="J280" s="288"/>
      <c r="K280" s="290"/>
      <c r="L280" s="290"/>
      <c r="M280" s="290"/>
      <c r="N280" s="288"/>
      <c r="O280" s="289"/>
      <c r="P280" s="288"/>
      <c r="Q280" s="289"/>
      <c r="R280" s="839"/>
      <c r="S280" s="839"/>
      <c r="T280" s="839"/>
      <c r="U280" s="839"/>
      <c r="V280" s="839"/>
      <c r="W280" s="839"/>
      <c r="X280" s="839"/>
      <c r="Y280" s="839"/>
      <c r="Z280" s="839"/>
      <c r="AA280" s="839"/>
      <c r="AB280" s="839"/>
      <c r="AC280" s="839"/>
      <c r="AD280" s="839"/>
      <c r="AE280" s="839"/>
      <c r="AF280" s="839"/>
      <c r="AG280" s="839"/>
      <c r="AH280" s="839"/>
      <c r="AI280" s="839"/>
      <c r="AJ280" s="839"/>
      <c r="AK280" s="839"/>
      <c r="AL280" s="839"/>
      <c r="AM280" s="839"/>
      <c r="AN280" s="839"/>
      <c r="AO280" s="839"/>
      <c r="AP280" s="839"/>
      <c r="AQ280" s="839"/>
      <c r="AR280" s="839"/>
      <c r="AS280" s="839"/>
      <c r="AT280" s="839"/>
      <c r="AU280" s="839"/>
      <c r="AV280" s="839"/>
      <c r="AW280" s="839"/>
      <c r="AX280" s="839"/>
      <c r="AY280" s="839"/>
      <c r="AZ280" s="839"/>
      <c r="BA280" s="839"/>
      <c r="BB280" s="839"/>
      <c r="BC280" s="839"/>
      <c r="BD280" s="839"/>
      <c r="BE280" s="839"/>
      <c r="BF280" s="839"/>
      <c r="BG280" s="839"/>
      <c r="BH280" s="839"/>
      <c r="BI280" s="839"/>
      <c r="BJ280" s="839"/>
      <c r="BK280" s="840"/>
      <c r="BL280" s="840"/>
      <c r="BM280" s="840"/>
      <c r="BN280" s="841"/>
      <c r="BO280" s="841"/>
      <c r="BP280" s="841"/>
      <c r="BQ280" s="839"/>
      <c r="BR280" s="839"/>
      <c r="BS280" s="839"/>
      <c r="BT280" s="839"/>
      <c r="BU280" s="839"/>
      <c r="BV280" s="839"/>
      <c r="BW280" s="839"/>
      <c r="BX280" s="839"/>
      <c r="BY280" s="839"/>
      <c r="BZ280" s="842"/>
      <c r="CA280" s="842"/>
      <c r="CB280" s="842"/>
    </row>
    <row r="281" spans="1:80" s="459" customFormat="1" ht="15.75" x14ac:dyDescent="0.2">
      <c r="A281" s="44">
        <v>1</v>
      </c>
      <c r="B281" s="45" t="s">
        <v>153</v>
      </c>
      <c r="C281" s="46"/>
      <c r="D281" s="45"/>
      <c r="E281" s="45"/>
      <c r="F281" s="45"/>
      <c r="G281" s="45"/>
      <c r="H281" s="46"/>
      <c r="I281" s="45"/>
      <c r="J281" s="45"/>
      <c r="K281" s="291"/>
      <c r="L281" s="291"/>
      <c r="M281" s="291"/>
      <c r="N281" s="45"/>
      <c r="O281" s="46"/>
      <c r="P281" s="45"/>
      <c r="Q281" s="45"/>
      <c r="R281" s="572"/>
      <c r="S281" s="572"/>
      <c r="T281" s="572"/>
      <c r="U281" s="572"/>
      <c r="V281" s="572"/>
      <c r="W281" s="572"/>
      <c r="X281" s="572"/>
      <c r="Y281" s="572"/>
      <c r="Z281" s="572"/>
      <c r="AA281" s="572"/>
      <c r="AB281" s="572"/>
      <c r="AC281" s="572"/>
      <c r="AD281" s="572"/>
      <c r="AE281" s="572"/>
      <c r="AF281" s="572"/>
      <c r="AG281" s="572"/>
      <c r="AH281" s="572"/>
      <c r="AI281" s="572"/>
      <c r="AJ281" s="572"/>
      <c r="AK281" s="572"/>
      <c r="AL281" s="572"/>
      <c r="AM281" s="572"/>
      <c r="AN281" s="572"/>
      <c r="AO281" s="572"/>
      <c r="AP281" s="572"/>
      <c r="AQ281" s="572"/>
      <c r="AR281" s="572"/>
      <c r="AS281" s="572"/>
      <c r="AT281" s="572"/>
      <c r="AU281" s="572"/>
      <c r="AV281" s="572"/>
      <c r="AW281" s="572"/>
      <c r="AX281" s="572"/>
      <c r="AY281" s="572"/>
      <c r="AZ281" s="572"/>
      <c r="BA281" s="572"/>
      <c r="BB281" s="572"/>
      <c r="BC281" s="572"/>
      <c r="BD281" s="572"/>
      <c r="BE281" s="572"/>
      <c r="BF281" s="572"/>
      <c r="BG281" s="572"/>
      <c r="BH281" s="572"/>
      <c r="BI281" s="572"/>
      <c r="BJ281" s="572"/>
      <c r="BK281" s="573"/>
      <c r="BL281" s="573"/>
      <c r="BM281" s="573"/>
      <c r="BN281" s="572"/>
      <c r="BO281" s="572"/>
      <c r="BP281" s="572"/>
      <c r="BQ281" s="572"/>
      <c r="BR281" s="572"/>
      <c r="BS281" s="572"/>
      <c r="BT281" s="572"/>
      <c r="BU281" s="572"/>
      <c r="BV281" s="572"/>
      <c r="BW281" s="572"/>
      <c r="BX281" s="572"/>
      <c r="BY281" s="572"/>
      <c r="BZ281" s="574"/>
      <c r="CA281" s="574"/>
      <c r="CB281" s="574"/>
    </row>
    <row r="282" spans="1:80" s="459" customFormat="1" ht="15.75" x14ac:dyDescent="0.2">
      <c r="A282" s="96"/>
      <c r="B282" s="185">
        <v>1</v>
      </c>
      <c r="C282" s="49" t="s">
        <v>154</v>
      </c>
      <c r="D282" s="50"/>
      <c r="E282" s="50"/>
      <c r="F282" s="50"/>
      <c r="G282" s="50"/>
      <c r="H282" s="51"/>
      <c r="I282" s="50"/>
      <c r="J282" s="50"/>
      <c r="K282" s="284"/>
      <c r="L282" s="284"/>
      <c r="M282" s="284"/>
      <c r="N282" s="50"/>
      <c r="O282" s="51"/>
      <c r="P282" s="50"/>
      <c r="Q282" s="50"/>
      <c r="R282" s="550"/>
      <c r="S282" s="550"/>
      <c r="T282" s="550"/>
      <c r="U282" s="550"/>
      <c r="V282" s="550"/>
      <c r="W282" s="550"/>
      <c r="X282" s="550"/>
      <c r="Y282" s="550"/>
      <c r="Z282" s="550"/>
      <c r="AA282" s="550"/>
      <c r="AB282" s="550"/>
      <c r="AC282" s="550"/>
      <c r="AD282" s="550"/>
      <c r="AE282" s="550"/>
      <c r="AF282" s="550"/>
      <c r="AG282" s="550"/>
      <c r="AH282" s="550"/>
      <c r="AI282" s="550"/>
      <c r="AJ282" s="550"/>
      <c r="AK282" s="550"/>
      <c r="AL282" s="550"/>
      <c r="AM282" s="550"/>
      <c r="AN282" s="550"/>
      <c r="AO282" s="550"/>
      <c r="AP282" s="550"/>
      <c r="AQ282" s="550"/>
      <c r="AR282" s="550"/>
      <c r="AS282" s="550"/>
      <c r="AT282" s="550"/>
      <c r="AU282" s="550"/>
      <c r="AV282" s="550"/>
      <c r="AW282" s="550"/>
      <c r="AX282" s="550"/>
      <c r="AY282" s="550"/>
      <c r="AZ282" s="550"/>
      <c r="BA282" s="550"/>
      <c r="BB282" s="550"/>
      <c r="BC282" s="550"/>
      <c r="BD282" s="550"/>
      <c r="BE282" s="550"/>
      <c r="BF282" s="550"/>
      <c r="BG282" s="550"/>
      <c r="BH282" s="550"/>
      <c r="BI282" s="550"/>
      <c r="BJ282" s="550"/>
      <c r="BK282" s="551"/>
      <c r="BL282" s="551"/>
      <c r="BM282" s="551"/>
      <c r="BN282" s="550"/>
      <c r="BO282" s="550"/>
      <c r="BP282" s="550"/>
      <c r="BQ282" s="550"/>
      <c r="BR282" s="550"/>
      <c r="BS282" s="550"/>
      <c r="BT282" s="550"/>
      <c r="BU282" s="550"/>
      <c r="BV282" s="550"/>
      <c r="BW282" s="550"/>
      <c r="BX282" s="550"/>
      <c r="BY282" s="550"/>
      <c r="BZ282" s="555"/>
      <c r="CA282" s="555"/>
      <c r="CB282" s="555"/>
    </row>
    <row r="283" spans="1:80" s="459" customFormat="1" ht="15.75" x14ac:dyDescent="0.2">
      <c r="A283" s="54"/>
      <c r="B283" s="96"/>
      <c r="C283" s="166"/>
      <c r="D283" s="91"/>
      <c r="E283" s="532"/>
      <c r="F283" s="531"/>
      <c r="G283" s="274">
        <v>1</v>
      </c>
      <c r="H283" s="99" t="s">
        <v>354</v>
      </c>
      <c r="I283" s="100"/>
      <c r="J283" s="100"/>
      <c r="K283" s="278"/>
      <c r="L283" s="278"/>
      <c r="M283" s="278"/>
      <c r="N283" s="100"/>
      <c r="O283" s="212"/>
      <c r="P283" s="100"/>
      <c r="Q283" s="100"/>
      <c r="R283" s="336"/>
      <c r="S283" s="336"/>
      <c r="T283" s="336"/>
      <c r="U283" s="336"/>
      <c r="V283" s="336"/>
      <c r="W283" s="336"/>
      <c r="X283" s="336"/>
      <c r="Y283" s="336"/>
      <c r="Z283" s="336"/>
      <c r="AA283" s="336"/>
      <c r="AB283" s="336"/>
      <c r="AC283" s="336"/>
      <c r="AD283" s="336"/>
      <c r="AE283" s="336"/>
      <c r="AF283" s="336"/>
      <c r="AG283" s="336"/>
      <c r="AH283" s="336"/>
      <c r="AI283" s="336"/>
      <c r="AJ283" s="336"/>
      <c r="AK283" s="336"/>
      <c r="AL283" s="336"/>
      <c r="AM283" s="336"/>
      <c r="AN283" s="336"/>
      <c r="AO283" s="336"/>
      <c r="AP283" s="336"/>
      <c r="AQ283" s="336"/>
      <c r="AR283" s="336"/>
      <c r="AS283" s="336"/>
      <c r="AT283" s="336"/>
      <c r="AU283" s="336"/>
      <c r="AV283" s="336"/>
      <c r="AW283" s="336"/>
      <c r="AX283" s="336"/>
      <c r="AY283" s="336"/>
      <c r="AZ283" s="336"/>
      <c r="BA283" s="336"/>
      <c r="BB283" s="336"/>
      <c r="BC283" s="336"/>
      <c r="BD283" s="336"/>
      <c r="BE283" s="336"/>
      <c r="BF283" s="336"/>
      <c r="BG283" s="336"/>
      <c r="BH283" s="336"/>
      <c r="BI283" s="336"/>
      <c r="BJ283" s="336"/>
      <c r="BK283" s="552"/>
      <c r="BL283" s="552"/>
      <c r="BM283" s="552"/>
      <c r="BN283" s="336"/>
      <c r="BO283" s="336"/>
      <c r="BP283" s="336"/>
      <c r="BQ283" s="336"/>
      <c r="BR283" s="336"/>
      <c r="BS283" s="336"/>
      <c r="BT283" s="336"/>
      <c r="BU283" s="336"/>
      <c r="BV283" s="336"/>
      <c r="BW283" s="336"/>
      <c r="BX283" s="336"/>
      <c r="BY283" s="336"/>
      <c r="BZ283" s="338"/>
      <c r="CA283" s="338"/>
      <c r="CB283" s="338"/>
    </row>
    <row r="284" spans="1:80" s="11" customFormat="1" ht="59.25" customHeight="1" x14ac:dyDescent="0.2">
      <c r="A284" s="54"/>
      <c r="B284" s="256"/>
      <c r="C284" s="28">
        <v>1</v>
      </c>
      <c r="D284" s="70" t="s">
        <v>355</v>
      </c>
      <c r="E284" s="292" t="s">
        <v>42</v>
      </c>
      <c r="F284" s="28">
        <v>15000</v>
      </c>
      <c r="G284" s="200"/>
      <c r="H284" s="57">
        <v>1</v>
      </c>
      <c r="I284" s="56" t="s">
        <v>356</v>
      </c>
      <c r="J284" s="131">
        <v>0</v>
      </c>
      <c r="K284" s="207">
        <v>1</v>
      </c>
      <c r="L284" s="489">
        <v>0.5</v>
      </c>
      <c r="M284" s="850">
        <v>2017003630072</v>
      </c>
      <c r="N284" s="876" t="s">
        <v>357</v>
      </c>
      <c r="O284" s="856" t="s">
        <v>358</v>
      </c>
      <c r="P284" s="853" t="s">
        <v>359</v>
      </c>
      <c r="Q284" s="57" t="s">
        <v>51</v>
      </c>
      <c r="R284" s="539">
        <v>0</v>
      </c>
      <c r="S284" s="539"/>
      <c r="T284" s="539"/>
      <c r="U284" s="539">
        <v>0</v>
      </c>
      <c r="V284" s="539"/>
      <c r="W284" s="539"/>
      <c r="X284" s="539">
        <v>0</v>
      </c>
      <c r="Y284" s="539"/>
      <c r="Z284" s="539"/>
      <c r="AA284" s="539">
        <v>0</v>
      </c>
      <c r="AB284" s="539"/>
      <c r="AC284" s="539"/>
      <c r="AD284" s="539">
        <v>0</v>
      </c>
      <c r="AE284" s="539"/>
      <c r="AF284" s="539"/>
      <c r="AG284" s="539">
        <v>0</v>
      </c>
      <c r="AH284" s="539"/>
      <c r="AI284" s="539"/>
      <c r="AJ284" s="539">
        <v>0</v>
      </c>
      <c r="AK284" s="539"/>
      <c r="AL284" s="539"/>
      <c r="AM284" s="539"/>
      <c r="AN284" s="539"/>
      <c r="AO284" s="539"/>
      <c r="AP284" s="539"/>
      <c r="AQ284" s="539"/>
      <c r="AR284" s="539"/>
      <c r="AS284" s="539">
        <v>0</v>
      </c>
      <c r="AT284" s="539"/>
      <c r="AU284" s="539"/>
      <c r="AV284" s="539">
        <v>0</v>
      </c>
      <c r="AW284" s="539"/>
      <c r="AX284" s="539"/>
      <c r="AY284" s="539"/>
      <c r="AZ284" s="539"/>
      <c r="BA284" s="539"/>
      <c r="BB284" s="539"/>
      <c r="BC284" s="539"/>
      <c r="BD284" s="539"/>
      <c r="BE284" s="539">
        <v>0</v>
      </c>
      <c r="BF284" s="539"/>
      <c r="BG284" s="539"/>
      <c r="BH284" s="539">
        <v>0</v>
      </c>
      <c r="BI284" s="541"/>
      <c r="BJ284" s="541"/>
      <c r="BK284" s="172">
        <f>19000000+1000000</f>
        <v>20000000</v>
      </c>
      <c r="BL284" s="172">
        <v>20000000</v>
      </c>
      <c r="BM284" s="172">
        <v>8944000</v>
      </c>
      <c r="BN284" s="172"/>
      <c r="BO284" s="172"/>
      <c r="BP284" s="172"/>
      <c r="BQ284" s="539">
        <v>0</v>
      </c>
      <c r="BR284" s="541"/>
      <c r="BS284" s="541"/>
      <c r="BT284" s="541"/>
      <c r="BU284" s="541"/>
      <c r="BV284" s="541"/>
      <c r="BW284" s="541">
        <v>0</v>
      </c>
      <c r="BX284" s="541"/>
      <c r="BY284" s="541"/>
      <c r="BZ284" s="539">
        <f t="shared" ref="BZ284:BZ289" si="256">R284+U284+X284+AA284+AD284+AG284+AJ284+AM284+AP284+AS284+AV284+AY284+BB284+BE284+BH284+BK284+BN284+BQ284+BT284+BW284</f>
        <v>20000000</v>
      </c>
      <c r="CA284" s="539">
        <f t="shared" ref="CA284:CA289" si="257">S284+V284+Y284+AB284+AE284+AH284+AK284+AN284+AQ284+AT284+AW284+AZ284+BC284+BF284+BI284+BL284+BO284+BR284+BU284+BX284</f>
        <v>20000000</v>
      </c>
      <c r="CB284" s="539">
        <f t="shared" ref="CB284:CB289" si="258">T284+W284+Z284+AC284+AF284+AI284+AL284+AO284+AR284+AU284+AX284+BA284+BD284+BG284+BJ284+BM284+BP284+BS284+BV284+BY284</f>
        <v>8944000</v>
      </c>
    </row>
    <row r="285" spans="1:80" s="11" customFormat="1" ht="55.5" customHeight="1" x14ac:dyDescent="0.2">
      <c r="A285" s="54"/>
      <c r="B285" s="256"/>
      <c r="C285" s="28">
        <v>2</v>
      </c>
      <c r="D285" s="70" t="s">
        <v>360</v>
      </c>
      <c r="E285" s="28" t="s">
        <v>361</v>
      </c>
      <c r="F285" s="28" t="s">
        <v>361</v>
      </c>
      <c r="G285" s="68"/>
      <c r="H285" s="57">
        <v>2</v>
      </c>
      <c r="I285" s="56" t="s">
        <v>362</v>
      </c>
      <c r="J285" s="131">
        <v>3</v>
      </c>
      <c r="K285" s="207">
        <v>4</v>
      </c>
      <c r="L285" s="207">
        <v>2</v>
      </c>
      <c r="M285" s="851"/>
      <c r="N285" s="877"/>
      <c r="O285" s="857"/>
      <c r="P285" s="854"/>
      <c r="Q285" s="57" t="s">
        <v>51</v>
      </c>
      <c r="R285" s="539">
        <v>0</v>
      </c>
      <c r="S285" s="539"/>
      <c r="T285" s="539"/>
      <c r="U285" s="539">
        <v>0</v>
      </c>
      <c r="V285" s="539"/>
      <c r="W285" s="539"/>
      <c r="X285" s="539">
        <v>0</v>
      </c>
      <c r="Y285" s="539"/>
      <c r="Z285" s="539"/>
      <c r="AA285" s="539">
        <v>0</v>
      </c>
      <c r="AB285" s="539"/>
      <c r="AC285" s="539"/>
      <c r="AD285" s="539">
        <v>0</v>
      </c>
      <c r="AE285" s="539"/>
      <c r="AF285" s="539"/>
      <c r="AG285" s="539">
        <v>0</v>
      </c>
      <c r="AH285" s="539"/>
      <c r="AI285" s="539"/>
      <c r="AJ285" s="539">
        <v>0</v>
      </c>
      <c r="AK285" s="539"/>
      <c r="AL285" s="539"/>
      <c r="AM285" s="539"/>
      <c r="AN285" s="539"/>
      <c r="AO285" s="539"/>
      <c r="AP285" s="539"/>
      <c r="AQ285" s="539"/>
      <c r="AR285" s="539"/>
      <c r="AS285" s="539">
        <v>0</v>
      </c>
      <c r="AT285" s="539"/>
      <c r="AU285" s="539"/>
      <c r="AV285" s="539">
        <v>0</v>
      </c>
      <c r="AW285" s="539"/>
      <c r="AX285" s="539"/>
      <c r="AY285" s="539"/>
      <c r="AZ285" s="539"/>
      <c r="BA285" s="539"/>
      <c r="BB285" s="539"/>
      <c r="BC285" s="539"/>
      <c r="BD285" s="539"/>
      <c r="BE285" s="539">
        <v>0</v>
      </c>
      <c r="BF285" s="539"/>
      <c r="BG285" s="539"/>
      <c r="BH285" s="539">
        <v>0</v>
      </c>
      <c r="BI285" s="541"/>
      <c r="BJ285" s="541"/>
      <c r="BK285" s="172">
        <v>10000000</v>
      </c>
      <c r="BL285" s="172">
        <v>10000000</v>
      </c>
      <c r="BM285" s="172">
        <v>2750000</v>
      </c>
      <c r="BN285" s="172"/>
      <c r="BO285" s="172"/>
      <c r="BP285" s="172"/>
      <c r="BQ285" s="539">
        <v>0</v>
      </c>
      <c r="BR285" s="541"/>
      <c r="BS285" s="541"/>
      <c r="BT285" s="541"/>
      <c r="BU285" s="541"/>
      <c r="BV285" s="541"/>
      <c r="BW285" s="541">
        <v>0</v>
      </c>
      <c r="BX285" s="541"/>
      <c r="BY285" s="541"/>
      <c r="BZ285" s="539">
        <f t="shared" si="256"/>
        <v>10000000</v>
      </c>
      <c r="CA285" s="539">
        <f t="shared" si="257"/>
        <v>10000000</v>
      </c>
      <c r="CB285" s="539">
        <f t="shared" si="258"/>
        <v>2750000</v>
      </c>
    </row>
    <row r="286" spans="1:80" s="11" customFormat="1" ht="97.5" customHeight="1" x14ac:dyDescent="0.2">
      <c r="A286" s="54"/>
      <c r="B286" s="256"/>
      <c r="C286" s="28"/>
      <c r="D286" s="70"/>
      <c r="E286" s="28"/>
      <c r="F286" s="28"/>
      <c r="G286" s="68"/>
      <c r="H286" s="57">
        <v>3</v>
      </c>
      <c r="I286" s="56" t="s">
        <v>363</v>
      </c>
      <c r="J286" s="131">
        <v>1</v>
      </c>
      <c r="K286" s="207">
        <v>1</v>
      </c>
      <c r="L286" s="489">
        <v>0.5</v>
      </c>
      <c r="M286" s="851"/>
      <c r="N286" s="877"/>
      <c r="O286" s="857"/>
      <c r="P286" s="854"/>
      <c r="Q286" s="57" t="s">
        <v>51</v>
      </c>
      <c r="R286" s="539">
        <v>0</v>
      </c>
      <c r="S286" s="539"/>
      <c r="T286" s="539"/>
      <c r="U286" s="539">
        <v>0</v>
      </c>
      <c r="V286" s="539"/>
      <c r="W286" s="539"/>
      <c r="X286" s="539">
        <v>0</v>
      </c>
      <c r="Y286" s="539"/>
      <c r="Z286" s="539"/>
      <c r="AA286" s="539">
        <v>0</v>
      </c>
      <c r="AB286" s="539"/>
      <c r="AC286" s="539"/>
      <c r="AD286" s="539">
        <v>0</v>
      </c>
      <c r="AE286" s="539"/>
      <c r="AF286" s="539"/>
      <c r="AG286" s="539">
        <v>0</v>
      </c>
      <c r="AH286" s="539"/>
      <c r="AI286" s="539"/>
      <c r="AJ286" s="539">
        <v>0</v>
      </c>
      <c r="AK286" s="539"/>
      <c r="AL286" s="539"/>
      <c r="AM286" s="539"/>
      <c r="AN286" s="539"/>
      <c r="AO286" s="539"/>
      <c r="AP286" s="539"/>
      <c r="AQ286" s="539"/>
      <c r="AR286" s="539"/>
      <c r="AS286" s="539">
        <v>0</v>
      </c>
      <c r="AT286" s="539"/>
      <c r="AU286" s="539"/>
      <c r="AV286" s="539">
        <v>0</v>
      </c>
      <c r="AW286" s="539"/>
      <c r="AX286" s="539"/>
      <c r="AY286" s="539"/>
      <c r="AZ286" s="539"/>
      <c r="BA286" s="539"/>
      <c r="BB286" s="539"/>
      <c r="BC286" s="539"/>
      <c r="BD286" s="539"/>
      <c r="BE286" s="539">
        <v>0</v>
      </c>
      <c r="BF286" s="539"/>
      <c r="BG286" s="539"/>
      <c r="BH286" s="539">
        <v>0</v>
      </c>
      <c r="BI286" s="541"/>
      <c r="BJ286" s="541"/>
      <c r="BK286" s="172">
        <v>6000000</v>
      </c>
      <c r="BL286" s="172">
        <v>6000000</v>
      </c>
      <c r="BM286" s="172">
        <v>0</v>
      </c>
      <c r="BN286" s="172"/>
      <c r="BO286" s="172"/>
      <c r="BP286" s="172"/>
      <c r="BQ286" s="539">
        <v>0</v>
      </c>
      <c r="BR286" s="541"/>
      <c r="BS286" s="541"/>
      <c r="BT286" s="541"/>
      <c r="BU286" s="541"/>
      <c r="BV286" s="541"/>
      <c r="BW286" s="541">
        <v>0</v>
      </c>
      <c r="BX286" s="541"/>
      <c r="BY286" s="541"/>
      <c r="BZ286" s="539">
        <f t="shared" si="256"/>
        <v>6000000</v>
      </c>
      <c r="CA286" s="539">
        <f t="shared" si="257"/>
        <v>6000000</v>
      </c>
      <c r="CB286" s="539">
        <f t="shared" si="258"/>
        <v>0</v>
      </c>
    </row>
    <row r="287" spans="1:80" s="11" customFormat="1" ht="97.5" customHeight="1" x14ac:dyDescent="0.2">
      <c r="A287" s="54"/>
      <c r="B287" s="256"/>
      <c r="C287" s="28"/>
      <c r="D287" s="70"/>
      <c r="E287" s="28"/>
      <c r="F287" s="28"/>
      <c r="G287" s="68"/>
      <c r="H287" s="57">
        <v>4</v>
      </c>
      <c r="I287" s="56" t="s">
        <v>364</v>
      </c>
      <c r="J287" s="131">
        <v>0</v>
      </c>
      <c r="K287" s="207">
        <v>1</v>
      </c>
      <c r="L287" s="489">
        <v>0.4</v>
      </c>
      <c r="M287" s="851"/>
      <c r="N287" s="877"/>
      <c r="O287" s="857"/>
      <c r="P287" s="854"/>
      <c r="Q287" s="57" t="s">
        <v>51</v>
      </c>
      <c r="R287" s="539"/>
      <c r="S287" s="539"/>
      <c r="T287" s="539"/>
      <c r="U287" s="539"/>
      <c r="V287" s="539"/>
      <c r="W287" s="539"/>
      <c r="X287" s="539"/>
      <c r="Y287" s="539"/>
      <c r="Z287" s="539"/>
      <c r="AA287" s="539"/>
      <c r="AB287" s="539"/>
      <c r="AC287" s="539"/>
      <c r="AD287" s="539"/>
      <c r="AE287" s="539"/>
      <c r="AF287" s="539"/>
      <c r="AG287" s="539"/>
      <c r="AH287" s="539"/>
      <c r="AI287" s="539"/>
      <c r="AJ287" s="539"/>
      <c r="AK287" s="539"/>
      <c r="AL287" s="539"/>
      <c r="AM287" s="539"/>
      <c r="AN287" s="539"/>
      <c r="AO287" s="539"/>
      <c r="AP287" s="539"/>
      <c r="AQ287" s="539"/>
      <c r="AR287" s="539"/>
      <c r="AS287" s="539"/>
      <c r="AT287" s="539"/>
      <c r="AU287" s="539"/>
      <c r="AV287" s="539"/>
      <c r="AW287" s="539"/>
      <c r="AX287" s="539"/>
      <c r="AY287" s="539"/>
      <c r="AZ287" s="539"/>
      <c r="BA287" s="539"/>
      <c r="BB287" s="539"/>
      <c r="BC287" s="539"/>
      <c r="BD287" s="539"/>
      <c r="BE287" s="539"/>
      <c r="BF287" s="539"/>
      <c r="BG287" s="539"/>
      <c r="BH287" s="539"/>
      <c r="BI287" s="541"/>
      <c r="BJ287" s="541"/>
      <c r="BK287" s="172">
        <f>11000000+10000000</f>
        <v>21000000</v>
      </c>
      <c r="BL287" s="172">
        <v>20999991</v>
      </c>
      <c r="BM287" s="172">
        <v>5862922</v>
      </c>
      <c r="BN287" s="172"/>
      <c r="BO287" s="172"/>
      <c r="BP287" s="172"/>
      <c r="BQ287" s="539"/>
      <c r="BR287" s="541"/>
      <c r="BS287" s="541"/>
      <c r="BT287" s="541"/>
      <c r="BU287" s="541"/>
      <c r="BV287" s="541"/>
      <c r="BW287" s="541"/>
      <c r="BX287" s="541"/>
      <c r="BY287" s="541"/>
      <c r="BZ287" s="539">
        <f t="shared" si="256"/>
        <v>21000000</v>
      </c>
      <c r="CA287" s="539">
        <f t="shared" si="257"/>
        <v>20999991</v>
      </c>
      <c r="CB287" s="539">
        <f t="shared" si="258"/>
        <v>5862922</v>
      </c>
    </row>
    <row r="288" spans="1:80" s="11" customFormat="1" ht="97.5" customHeight="1" x14ac:dyDescent="0.2">
      <c r="A288" s="54"/>
      <c r="B288" s="256"/>
      <c r="C288" s="28">
        <v>3</v>
      </c>
      <c r="D288" s="70" t="s">
        <v>365</v>
      </c>
      <c r="E288" s="28" t="s">
        <v>366</v>
      </c>
      <c r="F288" s="28" t="s">
        <v>158</v>
      </c>
      <c r="G288" s="68"/>
      <c r="H288" s="57">
        <v>5</v>
      </c>
      <c r="I288" s="56" t="s">
        <v>367</v>
      </c>
      <c r="J288" s="131">
        <v>3</v>
      </c>
      <c r="K288" s="207">
        <v>2</v>
      </c>
      <c r="L288" s="207">
        <v>1</v>
      </c>
      <c r="M288" s="851"/>
      <c r="N288" s="877"/>
      <c r="O288" s="857"/>
      <c r="P288" s="854"/>
      <c r="Q288" s="57" t="s">
        <v>67</v>
      </c>
      <c r="R288" s="539">
        <v>0</v>
      </c>
      <c r="S288" s="539"/>
      <c r="T288" s="539"/>
      <c r="U288" s="539">
        <v>0</v>
      </c>
      <c r="V288" s="539"/>
      <c r="W288" s="539"/>
      <c r="X288" s="539">
        <v>0</v>
      </c>
      <c r="Y288" s="539"/>
      <c r="Z288" s="539"/>
      <c r="AA288" s="539">
        <v>0</v>
      </c>
      <c r="AB288" s="539"/>
      <c r="AC288" s="539"/>
      <c r="AD288" s="539">
        <v>0</v>
      </c>
      <c r="AE288" s="539"/>
      <c r="AF288" s="539"/>
      <c r="AG288" s="539">
        <v>0</v>
      </c>
      <c r="AH288" s="539"/>
      <c r="AI288" s="539"/>
      <c r="AJ288" s="539">
        <v>0</v>
      </c>
      <c r="AK288" s="539"/>
      <c r="AL288" s="539"/>
      <c r="AM288" s="539"/>
      <c r="AN288" s="539"/>
      <c r="AO288" s="539"/>
      <c r="AP288" s="539"/>
      <c r="AQ288" s="539"/>
      <c r="AR288" s="539"/>
      <c r="AS288" s="539">
        <v>0</v>
      </c>
      <c r="AT288" s="539"/>
      <c r="AU288" s="539"/>
      <c r="AV288" s="539">
        <v>0</v>
      </c>
      <c r="AW288" s="539"/>
      <c r="AX288" s="539"/>
      <c r="AY288" s="539"/>
      <c r="AZ288" s="539"/>
      <c r="BA288" s="539"/>
      <c r="BB288" s="539"/>
      <c r="BC288" s="539"/>
      <c r="BD288" s="539"/>
      <c r="BE288" s="539">
        <v>0</v>
      </c>
      <c r="BF288" s="539"/>
      <c r="BG288" s="539"/>
      <c r="BH288" s="539">
        <v>0</v>
      </c>
      <c r="BI288" s="541"/>
      <c r="BJ288" s="541"/>
      <c r="BK288" s="172">
        <f>10000000+11000000</f>
        <v>21000000</v>
      </c>
      <c r="BL288" s="172">
        <v>18980000</v>
      </c>
      <c r="BM288" s="172">
        <v>7500000</v>
      </c>
      <c r="BN288" s="172"/>
      <c r="BO288" s="172"/>
      <c r="BP288" s="172"/>
      <c r="BQ288" s="539">
        <v>0</v>
      </c>
      <c r="BR288" s="541"/>
      <c r="BS288" s="541"/>
      <c r="BT288" s="541"/>
      <c r="BU288" s="541"/>
      <c r="BV288" s="541"/>
      <c r="BW288" s="541">
        <v>0</v>
      </c>
      <c r="BX288" s="541"/>
      <c r="BY288" s="541"/>
      <c r="BZ288" s="539">
        <f t="shared" si="256"/>
        <v>21000000</v>
      </c>
      <c r="CA288" s="539">
        <f t="shared" si="257"/>
        <v>18980000</v>
      </c>
      <c r="CB288" s="539">
        <f t="shared" si="258"/>
        <v>7500000</v>
      </c>
    </row>
    <row r="289" spans="1:80" s="465" customFormat="1" ht="97.5" customHeight="1" x14ac:dyDescent="0.25">
      <c r="A289" s="54"/>
      <c r="B289" s="256"/>
      <c r="C289" s="509"/>
      <c r="D289" s="64"/>
      <c r="E289" s="509"/>
      <c r="F289" s="509"/>
      <c r="G289" s="72"/>
      <c r="H289" s="57">
        <v>6</v>
      </c>
      <c r="I289" s="56" t="s">
        <v>368</v>
      </c>
      <c r="J289" s="131">
        <v>3</v>
      </c>
      <c r="K289" s="207">
        <v>12</v>
      </c>
      <c r="L289" s="207">
        <v>6</v>
      </c>
      <c r="M289" s="852"/>
      <c r="N289" s="878"/>
      <c r="O289" s="858"/>
      <c r="P289" s="855"/>
      <c r="Q289" s="57" t="s">
        <v>51</v>
      </c>
      <c r="R289" s="539">
        <v>0</v>
      </c>
      <c r="S289" s="539"/>
      <c r="T289" s="539"/>
      <c r="U289" s="539">
        <v>0</v>
      </c>
      <c r="V289" s="539"/>
      <c r="W289" s="539"/>
      <c r="X289" s="539">
        <v>0</v>
      </c>
      <c r="Y289" s="539"/>
      <c r="Z289" s="539"/>
      <c r="AA289" s="539">
        <v>0</v>
      </c>
      <c r="AB289" s="539"/>
      <c r="AC289" s="539"/>
      <c r="AD289" s="539">
        <v>0</v>
      </c>
      <c r="AE289" s="539"/>
      <c r="AF289" s="539"/>
      <c r="AG289" s="539">
        <v>0</v>
      </c>
      <c r="AH289" s="539"/>
      <c r="AI289" s="539"/>
      <c r="AJ289" s="539">
        <v>0</v>
      </c>
      <c r="AK289" s="539"/>
      <c r="AL289" s="539"/>
      <c r="AM289" s="539"/>
      <c r="AN289" s="539"/>
      <c r="AO289" s="539"/>
      <c r="AP289" s="539"/>
      <c r="AQ289" s="539"/>
      <c r="AR289" s="539"/>
      <c r="AS289" s="539">
        <v>0</v>
      </c>
      <c r="AT289" s="539"/>
      <c r="AU289" s="539"/>
      <c r="AV289" s="539">
        <v>0</v>
      </c>
      <c r="AW289" s="539"/>
      <c r="AX289" s="539"/>
      <c r="AY289" s="539"/>
      <c r="AZ289" s="539"/>
      <c r="BA289" s="539"/>
      <c r="BB289" s="539"/>
      <c r="BC289" s="539"/>
      <c r="BD289" s="539"/>
      <c r="BE289" s="539">
        <v>0</v>
      </c>
      <c r="BF289" s="539"/>
      <c r="BG289" s="539"/>
      <c r="BH289" s="539">
        <v>0</v>
      </c>
      <c r="BI289" s="541"/>
      <c r="BJ289" s="541"/>
      <c r="BK289" s="172">
        <v>7000000</v>
      </c>
      <c r="BL289" s="172">
        <v>7000000</v>
      </c>
      <c r="BM289" s="172">
        <v>3256000</v>
      </c>
      <c r="BN289" s="553"/>
      <c r="BO289" s="553"/>
      <c r="BP289" s="553"/>
      <c r="BQ289" s="539">
        <v>0</v>
      </c>
      <c r="BR289" s="541"/>
      <c r="BS289" s="541"/>
      <c r="BT289" s="541"/>
      <c r="BU289" s="541"/>
      <c r="BV289" s="541"/>
      <c r="BW289" s="541">
        <v>0</v>
      </c>
      <c r="BX289" s="541"/>
      <c r="BY289" s="541"/>
      <c r="BZ289" s="539">
        <f t="shared" si="256"/>
        <v>7000000</v>
      </c>
      <c r="CA289" s="539">
        <f t="shared" si="257"/>
        <v>7000000</v>
      </c>
      <c r="CB289" s="539">
        <f t="shared" si="258"/>
        <v>3256000</v>
      </c>
    </row>
    <row r="290" spans="1:80" s="459" customFormat="1" ht="15.75" x14ac:dyDescent="0.2">
      <c r="A290" s="54"/>
      <c r="B290" s="54"/>
      <c r="C290" s="510"/>
      <c r="D290" s="518"/>
      <c r="E290" s="510"/>
      <c r="F290" s="510"/>
      <c r="G290" s="77"/>
      <c r="H290" s="78"/>
      <c r="I290" s="77"/>
      <c r="J290" s="164"/>
      <c r="K290" s="279"/>
      <c r="L290" s="279"/>
      <c r="M290" s="279"/>
      <c r="N290" s="164"/>
      <c r="O290" s="78"/>
      <c r="P290" s="77"/>
      <c r="Q290" s="78"/>
      <c r="R290" s="548">
        <f t="shared" ref="R290:BZ290" si="259">SUM(R284:R289)</f>
        <v>0</v>
      </c>
      <c r="S290" s="548">
        <f t="shared" si="259"/>
        <v>0</v>
      </c>
      <c r="T290" s="548">
        <f t="shared" si="259"/>
        <v>0</v>
      </c>
      <c r="U290" s="548">
        <f t="shared" si="259"/>
        <v>0</v>
      </c>
      <c r="V290" s="548">
        <f t="shared" si="259"/>
        <v>0</v>
      </c>
      <c r="W290" s="548">
        <f t="shared" si="259"/>
        <v>0</v>
      </c>
      <c r="X290" s="548">
        <f t="shared" si="259"/>
        <v>0</v>
      </c>
      <c r="Y290" s="548">
        <f t="shared" si="259"/>
        <v>0</v>
      </c>
      <c r="Z290" s="548">
        <f t="shared" si="259"/>
        <v>0</v>
      </c>
      <c r="AA290" s="548">
        <f t="shared" si="259"/>
        <v>0</v>
      </c>
      <c r="AB290" s="548">
        <f t="shared" si="259"/>
        <v>0</v>
      </c>
      <c r="AC290" s="548">
        <f t="shared" si="259"/>
        <v>0</v>
      </c>
      <c r="AD290" s="548">
        <f t="shared" si="259"/>
        <v>0</v>
      </c>
      <c r="AE290" s="548">
        <f t="shared" si="259"/>
        <v>0</v>
      </c>
      <c r="AF290" s="548">
        <f t="shared" si="259"/>
        <v>0</v>
      </c>
      <c r="AG290" s="548">
        <f t="shared" si="259"/>
        <v>0</v>
      </c>
      <c r="AH290" s="548">
        <f t="shared" si="259"/>
        <v>0</v>
      </c>
      <c r="AI290" s="548">
        <f t="shared" si="259"/>
        <v>0</v>
      </c>
      <c r="AJ290" s="548">
        <f t="shared" si="259"/>
        <v>0</v>
      </c>
      <c r="AK290" s="548">
        <f t="shared" si="259"/>
        <v>0</v>
      </c>
      <c r="AL290" s="548">
        <f t="shared" si="259"/>
        <v>0</v>
      </c>
      <c r="AM290" s="548">
        <f t="shared" si="259"/>
        <v>0</v>
      </c>
      <c r="AN290" s="548">
        <f t="shared" si="259"/>
        <v>0</v>
      </c>
      <c r="AO290" s="548">
        <f t="shared" si="259"/>
        <v>0</v>
      </c>
      <c r="AP290" s="548">
        <f t="shared" si="259"/>
        <v>0</v>
      </c>
      <c r="AQ290" s="548">
        <f t="shared" si="259"/>
        <v>0</v>
      </c>
      <c r="AR290" s="548">
        <f t="shared" si="259"/>
        <v>0</v>
      </c>
      <c r="AS290" s="548">
        <f t="shared" si="259"/>
        <v>0</v>
      </c>
      <c r="AT290" s="548">
        <f t="shared" si="259"/>
        <v>0</v>
      </c>
      <c r="AU290" s="548">
        <f t="shared" si="259"/>
        <v>0</v>
      </c>
      <c r="AV290" s="548">
        <f t="shared" si="259"/>
        <v>0</v>
      </c>
      <c r="AW290" s="548">
        <f t="shared" si="259"/>
        <v>0</v>
      </c>
      <c r="AX290" s="548">
        <f t="shared" si="259"/>
        <v>0</v>
      </c>
      <c r="AY290" s="548">
        <f t="shared" si="259"/>
        <v>0</v>
      </c>
      <c r="AZ290" s="548">
        <f t="shared" si="259"/>
        <v>0</v>
      </c>
      <c r="BA290" s="548">
        <f t="shared" si="259"/>
        <v>0</v>
      </c>
      <c r="BB290" s="548">
        <f t="shared" si="259"/>
        <v>0</v>
      </c>
      <c r="BC290" s="548">
        <f t="shared" si="259"/>
        <v>0</v>
      </c>
      <c r="BD290" s="548">
        <f t="shared" si="259"/>
        <v>0</v>
      </c>
      <c r="BE290" s="548">
        <f t="shared" si="259"/>
        <v>0</v>
      </c>
      <c r="BF290" s="548">
        <f t="shared" si="259"/>
        <v>0</v>
      </c>
      <c r="BG290" s="548">
        <f t="shared" si="259"/>
        <v>0</v>
      </c>
      <c r="BH290" s="548">
        <f t="shared" si="259"/>
        <v>0</v>
      </c>
      <c r="BI290" s="548">
        <f t="shared" si="259"/>
        <v>0</v>
      </c>
      <c r="BJ290" s="548">
        <f t="shared" si="259"/>
        <v>0</v>
      </c>
      <c r="BK290" s="548">
        <f t="shared" si="259"/>
        <v>85000000</v>
      </c>
      <c r="BL290" s="548">
        <f t="shared" si="259"/>
        <v>82979991</v>
      </c>
      <c r="BM290" s="548">
        <f t="shared" si="259"/>
        <v>28312922</v>
      </c>
      <c r="BN290" s="548">
        <f t="shared" si="259"/>
        <v>0</v>
      </c>
      <c r="BO290" s="548">
        <f t="shared" si="259"/>
        <v>0</v>
      </c>
      <c r="BP290" s="548">
        <f t="shared" si="259"/>
        <v>0</v>
      </c>
      <c r="BQ290" s="548">
        <f t="shared" si="259"/>
        <v>0</v>
      </c>
      <c r="BR290" s="548">
        <f t="shared" si="259"/>
        <v>0</v>
      </c>
      <c r="BS290" s="548">
        <f t="shared" si="259"/>
        <v>0</v>
      </c>
      <c r="BT290" s="548">
        <f t="shared" si="259"/>
        <v>0</v>
      </c>
      <c r="BU290" s="548">
        <f t="shared" si="259"/>
        <v>0</v>
      </c>
      <c r="BV290" s="548">
        <f t="shared" si="259"/>
        <v>0</v>
      </c>
      <c r="BW290" s="548">
        <f t="shared" si="259"/>
        <v>0</v>
      </c>
      <c r="BX290" s="548">
        <f t="shared" si="259"/>
        <v>0</v>
      </c>
      <c r="BY290" s="548">
        <f t="shared" si="259"/>
        <v>0</v>
      </c>
      <c r="BZ290" s="548">
        <f t="shared" si="259"/>
        <v>85000000</v>
      </c>
      <c r="CA290" s="548">
        <f t="shared" ref="CA290:CB290" si="260">SUM(CA284:CA289)</f>
        <v>82979991</v>
      </c>
      <c r="CB290" s="548">
        <f t="shared" si="260"/>
        <v>28312922</v>
      </c>
    </row>
    <row r="291" spans="1:80" s="11" customFormat="1" ht="15.75" x14ac:dyDescent="0.2">
      <c r="A291" s="54"/>
      <c r="B291" s="54"/>
      <c r="C291" s="92"/>
      <c r="D291" s="91"/>
      <c r="E291" s="92"/>
      <c r="F291" s="92"/>
      <c r="G291" s="91"/>
      <c r="H291" s="92"/>
      <c r="I291" s="91"/>
      <c r="J291" s="183"/>
      <c r="K291" s="280"/>
      <c r="L291" s="280"/>
      <c r="M291" s="280"/>
      <c r="N291" s="183"/>
      <c r="O291" s="500"/>
      <c r="P291" s="91"/>
      <c r="Q291" s="92"/>
      <c r="R291" s="543"/>
      <c r="S291" s="543"/>
      <c r="T291" s="543"/>
      <c r="U291" s="544"/>
      <c r="V291" s="544"/>
      <c r="W291" s="544"/>
      <c r="X291" s="543"/>
      <c r="Y291" s="543"/>
      <c r="Z291" s="543"/>
      <c r="AA291" s="543"/>
      <c r="AB291" s="543"/>
      <c r="AC291" s="543"/>
      <c r="AD291" s="543"/>
      <c r="AE291" s="543"/>
      <c r="AF291" s="543"/>
      <c r="AG291" s="543"/>
      <c r="AH291" s="543"/>
      <c r="AI291" s="543"/>
      <c r="AJ291" s="543"/>
      <c r="AK291" s="543"/>
      <c r="AL291" s="543"/>
      <c r="AM291" s="543"/>
      <c r="AN291" s="543"/>
      <c r="AO291" s="543"/>
      <c r="AP291" s="543"/>
      <c r="AQ291" s="543"/>
      <c r="AR291" s="543"/>
      <c r="AS291" s="543"/>
      <c r="AT291" s="543"/>
      <c r="AU291" s="543"/>
      <c r="AV291" s="543"/>
      <c r="AW291" s="543"/>
      <c r="AX291" s="543"/>
      <c r="AY291" s="544"/>
      <c r="AZ291" s="544"/>
      <c r="BA291" s="544"/>
      <c r="BB291" s="544"/>
      <c r="BC291" s="544"/>
      <c r="BD291" s="544"/>
      <c r="BE291" s="543"/>
      <c r="BF291" s="543"/>
      <c r="BG291" s="543"/>
      <c r="BH291" s="543"/>
      <c r="BI291" s="543"/>
      <c r="BJ291" s="543"/>
      <c r="BK291" s="545"/>
      <c r="BL291" s="545"/>
      <c r="BM291" s="545"/>
      <c r="BN291" s="546"/>
      <c r="BO291" s="546"/>
      <c r="BP291" s="546"/>
      <c r="BQ291" s="543"/>
      <c r="BR291" s="543"/>
      <c r="BS291" s="543"/>
      <c r="BT291" s="543"/>
      <c r="BU291" s="543"/>
      <c r="BV291" s="543"/>
      <c r="BW291" s="544"/>
      <c r="BX291" s="544"/>
      <c r="BY291" s="544"/>
      <c r="BZ291" s="547"/>
      <c r="CA291" s="547"/>
      <c r="CB291" s="547"/>
    </row>
    <row r="292" spans="1:80" s="459" customFormat="1" ht="15.75" x14ac:dyDescent="0.2">
      <c r="A292" s="54"/>
      <c r="B292" s="54"/>
      <c r="C292" s="508"/>
      <c r="D292" s="516"/>
      <c r="E292" s="508"/>
      <c r="F292" s="508"/>
      <c r="G292" s="169">
        <v>2</v>
      </c>
      <c r="H292" s="170" t="s">
        <v>155</v>
      </c>
      <c r="I292" s="100"/>
      <c r="J292" s="100"/>
      <c r="K292" s="278"/>
      <c r="L292" s="278"/>
      <c r="M292" s="278"/>
      <c r="N292" s="100"/>
      <c r="O292" s="212"/>
      <c r="P292" s="100"/>
      <c r="Q292" s="100"/>
      <c r="R292" s="336"/>
      <c r="S292" s="336"/>
      <c r="T292" s="336"/>
      <c r="U292" s="336"/>
      <c r="V292" s="336"/>
      <c r="W292" s="336"/>
      <c r="X292" s="336"/>
      <c r="Y292" s="336"/>
      <c r="Z292" s="336"/>
      <c r="AA292" s="336"/>
      <c r="AB292" s="336"/>
      <c r="AC292" s="336"/>
      <c r="AD292" s="336"/>
      <c r="AE292" s="336"/>
      <c r="AF292" s="336"/>
      <c r="AG292" s="336"/>
      <c r="AH292" s="336"/>
      <c r="AI292" s="336"/>
      <c r="AJ292" s="336"/>
      <c r="AK292" s="336"/>
      <c r="AL292" s="336"/>
      <c r="AM292" s="336"/>
      <c r="AN292" s="336"/>
      <c r="AO292" s="336"/>
      <c r="AP292" s="336"/>
      <c r="AQ292" s="336"/>
      <c r="AR292" s="336"/>
      <c r="AS292" s="336"/>
      <c r="AT292" s="336"/>
      <c r="AU292" s="336"/>
      <c r="AV292" s="336"/>
      <c r="AW292" s="336"/>
      <c r="AX292" s="336"/>
      <c r="AY292" s="336"/>
      <c r="AZ292" s="336"/>
      <c r="BA292" s="336"/>
      <c r="BB292" s="336"/>
      <c r="BC292" s="336"/>
      <c r="BD292" s="336"/>
      <c r="BE292" s="336"/>
      <c r="BF292" s="336"/>
      <c r="BG292" s="336"/>
      <c r="BH292" s="336"/>
      <c r="BI292" s="336"/>
      <c r="BJ292" s="336"/>
      <c r="BK292" s="552"/>
      <c r="BL292" s="552"/>
      <c r="BM292" s="552"/>
      <c r="BN292" s="336"/>
      <c r="BO292" s="336"/>
      <c r="BP292" s="336"/>
      <c r="BQ292" s="336"/>
      <c r="BR292" s="336"/>
      <c r="BS292" s="336"/>
      <c r="BT292" s="336"/>
      <c r="BU292" s="336"/>
      <c r="BV292" s="336"/>
      <c r="BW292" s="336"/>
      <c r="BX292" s="336"/>
      <c r="BY292" s="336"/>
      <c r="BZ292" s="338"/>
      <c r="CA292" s="338"/>
      <c r="CB292" s="338"/>
    </row>
    <row r="293" spans="1:80" s="11" customFormat="1" ht="99.75" customHeight="1" x14ac:dyDescent="0.2">
      <c r="A293" s="54"/>
      <c r="B293" s="54"/>
      <c r="C293" s="510">
        <v>2</v>
      </c>
      <c r="D293" s="518" t="s">
        <v>360</v>
      </c>
      <c r="E293" s="510" t="s">
        <v>361</v>
      </c>
      <c r="F293" s="510" t="s">
        <v>361</v>
      </c>
      <c r="G293" s="58"/>
      <c r="H293" s="57">
        <v>8</v>
      </c>
      <c r="I293" s="56" t="s">
        <v>369</v>
      </c>
      <c r="J293" s="131">
        <v>1</v>
      </c>
      <c r="K293" s="207">
        <v>1</v>
      </c>
      <c r="L293" s="207">
        <v>1</v>
      </c>
      <c r="M293" s="850">
        <v>2017003630070</v>
      </c>
      <c r="N293" s="890" t="s">
        <v>370</v>
      </c>
      <c r="O293" s="856" t="s">
        <v>371</v>
      </c>
      <c r="P293" s="853" t="s">
        <v>372</v>
      </c>
      <c r="Q293" s="57" t="s">
        <v>67</v>
      </c>
      <c r="R293" s="539">
        <v>0</v>
      </c>
      <c r="S293" s="539"/>
      <c r="T293" s="539"/>
      <c r="U293" s="539">
        <v>0</v>
      </c>
      <c r="V293" s="539"/>
      <c r="W293" s="539"/>
      <c r="X293" s="539">
        <v>0</v>
      </c>
      <c r="Y293" s="539"/>
      <c r="Z293" s="539"/>
      <c r="AA293" s="539">
        <v>0</v>
      </c>
      <c r="AB293" s="539"/>
      <c r="AC293" s="539"/>
      <c r="AD293" s="539">
        <v>0</v>
      </c>
      <c r="AE293" s="539"/>
      <c r="AF293" s="539"/>
      <c r="AG293" s="539">
        <v>0</v>
      </c>
      <c r="AH293" s="539"/>
      <c r="AI293" s="539"/>
      <c r="AJ293" s="539">
        <v>0</v>
      </c>
      <c r="AK293" s="539"/>
      <c r="AL293" s="539"/>
      <c r="AM293" s="539"/>
      <c r="AN293" s="539"/>
      <c r="AO293" s="539"/>
      <c r="AP293" s="539"/>
      <c r="AQ293" s="539"/>
      <c r="AR293" s="539"/>
      <c r="AS293" s="539">
        <v>0</v>
      </c>
      <c r="AT293" s="539"/>
      <c r="AU293" s="539"/>
      <c r="AV293" s="539">
        <v>0</v>
      </c>
      <c r="AW293" s="539"/>
      <c r="AX293" s="539"/>
      <c r="AY293" s="539"/>
      <c r="AZ293" s="539"/>
      <c r="BA293" s="539"/>
      <c r="BB293" s="539"/>
      <c r="BC293" s="539"/>
      <c r="BD293" s="539"/>
      <c r="BE293" s="539">
        <v>0</v>
      </c>
      <c r="BF293" s="539"/>
      <c r="BG293" s="539"/>
      <c r="BH293" s="539">
        <f>39500000-39500000</f>
        <v>0</v>
      </c>
      <c r="BI293" s="539"/>
      <c r="BJ293" s="539"/>
      <c r="BK293" s="540">
        <v>38000000</v>
      </c>
      <c r="BL293" s="540">
        <v>38000000</v>
      </c>
      <c r="BM293" s="540">
        <v>3170000</v>
      </c>
      <c r="BN293" s="553"/>
      <c r="BO293" s="553"/>
      <c r="BP293" s="553"/>
      <c r="BQ293" s="539">
        <v>0</v>
      </c>
      <c r="BR293" s="541"/>
      <c r="BS293" s="541"/>
      <c r="BT293" s="541"/>
      <c r="BU293" s="541"/>
      <c r="BV293" s="541"/>
      <c r="BW293" s="541">
        <v>0</v>
      </c>
      <c r="BX293" s="541"/>
      <c r="BY293" s="541"/>
      <c r="BZ293" s="539">
        <f t="shared" ref="BZ293:BZ294" si="261">R293+U293+X293+AA293+AD293+AG293+AJ293+AM293+AP293+AS293+AV293+AY293+BB293+BE293+BH293+BK293+BN293+BQ293+BT293+BW293</f>
        <v>38000000</v>
      </c>
      <c r="CA293" s="539">
        <f t="shared" ref="CA293:CA294" si="262">S293+V293+Y293+AB293+AE293+AH293+AK293+AN293+AQ293+AT293+AW293+AZ293+BC293+BF293+BI293+BL293+BO293+BR293+BU293+BX293</f>
        <v>38000000</v>
      </c>
      <c r="CB293" s="539">
        <f t="shared" ref="CB293:CB294" si="263">T293+W293+Z293+AC293+AF293+AI293+AL293+AO293+AR293+AU293+AX293+BA293+BD293+BG293+BJ293+BM293+BP293+BS293+BV293+BY293</f>
        <v>3170000</v>
      </c>
    </row>
    <row r="294" spans="1:80" s="11" customFormat="1" ht="66" customHeight="1" x14ac:dyDescent="0.2">
      <c r="A294" s="54"/>
      <c r="B294" s="54"/>
      <c r="C294" s="508">
        <v>2</v>
      </c>
      <c r="D294" s="516" t="s">
        <v>360</v>
      </c>
      <c r="E294" s="508" t="s">
        <v>361</v>
      </c>
      <c r="F294" s="508" t="s">
        <v>361</v>
      </c>
      <c r="G294" s="139"/>
      <c r="H294" s="57">
        <v>7</v>
      </c>
      <c r="I294" s="56" t="s">
        <v>373</v>
      </c>
      <c r="J294" s="131">
        <v>0</v>
      </c>
      <c r="K294" s="207">
        <v>1</v>
      </c>
      <c r="L294" s="489">
        <v>0.2</v>
      </c>
      <c r="M294" s="852"/>
      <c r="N294" s="892"/>
      <c r="O294" s="858"/>
      <c r="P294" s="855"/>
      <c r="Q294" s="57" t="s">
        <v>51</v>
      </c>
      <c r="R294" s="539">
        <v>0</v>
      </c>
      <c r="S294" s="539"/>
      <c r="T294" s="539"/>
      <c r="U294" s="539">
        <v>0</v>
      </c>
      <c r="V294" s="539"/>
      <c r="W294" s="539"/>
      <c r="X294" s="539">
        <v>0</v>
      </c>
      <c r="Y294" s="539"/>
      <c r="Z294" s="539"/>
      <c r="AA294" s="539">
        <v>0</v>
      </c>
      <c r="AB294" s="539"/>
      <c r="AC294" s="539"/>
      <c r="AD294" s="539">
        <v>0</v>
      </c>
      <c r="AE294" s="539"/>
      <c r="AF294" s="539"/>
      <c r="AG294" s="539">
        <v>0</v>
      </c>
      <c r="AH294" s="539"/>
      <c r="AI294" s="539"/>
      <c r="AJ294" s="539">
        <v>0</v>
      </c>
      <c r="AK294" s="539"/>
      <c r="AL294" s="539"/>
      <c r="AM294" s="539"/>
      <c r="AN294" s="539"/>
      <c r="AO294" s="539"/>
      <c r="AP294" s="539"/>
      <c r="AQ294" s="539"/>
      <c r="AR294" s="539"/>
      <c r="AS294" s="539">
        <v>0</v>
      </c>
      <c r="AT294" s="539"/>
      <c r="AU294" s="539"/>
      <c r="AV294" s="539">
        <v>0</v>
      </c>
      <c r="AW294" s="539"/>
      <c r="AX294" s="539"/>
      <c r="AY294" s="539"/>
      <c r="AZ294" s="539"/>
      <c r="BA294" s="539"/>
      <c r="BB294" s="539"/>
      <c r="BC294" s="539"/>
      <c r="BD294" s="539"/>
      <c r="BE294" s="539">
        <v>0</v>
      </c>
      <c r="BF294" s="539"/>
      <c r="BG294" s="539"/>
      <c r="BH294" s="540">
        <v>0</v>
      </c>
      <c r="BI294" s="540"/>
      <c r="BJ294" s="540"/>
      <c r="BK294" s="540">
        <f>62000000+100000000</f>
        <v>162000000</v>
      </c>
      <c r="BL294" s="540">
        <v>58453000</v>
      </c>
      <c r="BM294" s="540">
        <v>9700000</v>
      </c>
      <c r="BN294" s="553"/>
      <c r="BO294" s="553"/>
      <c r="BP294" s="553"/>
      <c r="BQ294" s="539">
        <v>0</v>
      </c>
      <c r="BR294" s="541"/>
      <c r="BS294" s="541"/>
      <c r="BT294" s="541"/>
      <c r="BU294" s="541"/>
      <c r="BV294" s="541"/>
      <c r="BW294" s="541"/>
      <c r="BX294" s="541"/>
      <c r="BY294" s="541"/>
      <c r="BZ294" s="539">
        <f t="shared" si="261"/>
        <v>162000000</v>
      </c>
      <c r="CA294" s="539">
        <f t="shared" si="262"/>
        <v>58453000</v>
      </c>
      <c r="CB294" s="539">
        <f t="shared" si="263"/>
        <v>9700000</v>
      </c>
    </row>
    <row r="295" spans="1:80" s="459" customFormat="1" ht="15.75" x14ac:dyDescent="0.2">
      <c r="A295" s="54"/>
      <c r="B295" s="54"/>
      <c r="C295" s="510"/>
      <c r="D295" s="518"/>
      <c r="E295" s="510"/>
      <c r="F295" s="510"/>
      <c r="G295" s="77"/>
      <c r="H295" s="78"/>
      <c r="I295" s="77"/>
      <c r="J295" s="77"/>
      <c r="K295" s="293"/>
      <c r="L295" s="293"/>
      <c r="M295" s="293"/>
      <c r="N295" s="77"/>
      <c r="O295" s="78"/>
      <c r="P295" s="77"/>
      <c r="Q295" s="78"/>
      <c r="R295" s="605">
        <f t="shared" ref="R295:BZ295" si="264">SUM(R293:R294)</f>
        <v>0</v>
      </c>
      <c r="S295" s="605">
        <f t="shared" si="264"/>
        <v>0</v>
      </c>
      <c r="T295" s="605">
        <f t="shared" si="264"/>
        <v>0</v>
      </c>
      <c r="U295" s="605">
        <f t="shared" si="264"/>
        <v>0</v>
      </c>
      <c r="V295" s="605">
        <f t="shared" si="264"/>
        <v>0</v>
      </c>
      <c r="W295" s="605">
        <f t="shared" si="264"/>
        <v>0</v>
      </c>
      <c r="X295" s="605">
        <f t="shared" si="264"/>
        <v>0</v>
      </c>
      <c r="Y295" s="605">
        <f t="shared" si="264"/>
        <v>0</v>
      </c>
      <c r="Z295" s="605">
        <f t="shared" si="264"/>
        <v>0</v>
      </c>
      <c r="AA295" s="605">
        <f t="shared" si="264"/>
        <v>0</v>
      </c>
      <c r="AB295" s="605">
        <f t="shared" si="264"/>
        <v>0</v>
      </c>
      <c r="AC295" s="605">
        <f t="shared" si="264"/>
        <v>0</v>
      </c>
      <c r="AD295" s="605">
        <f t="shared" si="264"/>
        <v>0</v>
      </c>
      <c r="AE295" s="605">
        <f t="shared" si="264"/>
        <v>0</v>
      </c>
      <c r="AF295" s="605">
        <f t="shared" si="264"/>
        <v>0</v>
      </c>
      <c r="AG295" s="605">
        <f t="shared" si="264"/>
        <v>0</v>
      </c>
      <c r="AH295" s="605">
        <f t="shared" si="264"/>
        <v>0</v>
      </c>
      <c r="AI295" s="605">
        <f t="shared" si="264"/>
        <v>0</v>
      </c>
      <c r="AJ295" s="605">
        <f t="shared" si="264"/>
        <v>0</v>
      </c>
      <c r="AK295" s="605">
        <f t="shared" si="264"/>
        <v>0</v>
      </c>
      <c r="AL295" s="605">
        <f t="shared" si="264"/>
        <v>0</v>
      </c>
      <c r="AM295" s="605">
        <f t="shared" si="264"/>
        <v>0</v>
      </c>
      <c r="AN295" s="605">
        <f t="shared" si="264"/>
        <v>0</v>
      </c>
      <c r="AO295" s="605">
        <f t="shared" si="264"/>
        <v>0</v>
      </c>
      <c r="AP295" s="605">
        <f t="shared" si="264"/>
        <v>0</v>
      </c>
      <c r="AQ295" s="605">
        <f t="shared" si="264"/>
        <v>0</v>
      </c>
      <c r="AR295" s="605">
        <f t="shared" si="264"/>
        <v>0</v>
      </c>
      <c r="AS295" s="605">
        <f t="shared" si="264"/>
        <v>0</v>
      </c>
      <c r="AT295" s="605">
        <f t="shared" si="264"/>
        <v>0</v>
      </c>
      <c r="AU295" s="605">
        <f t="shared" si="264"/>
        <v>0</v>
      </c>
      <c r="AV295" s="605">
        <f t="shared" si="264"/>
        <v>0</v>
      </c>
      <c r="AW295" s="605">
        <f t="shared" si="264"/>
        <v>0</v>
      </c>
      <c r="AX295" s="605">
        <f t="shared" si="264"/>
        <v>0</v>
      </c>
      <c r="AY295" s="605">
        <f t="shared" si="264"/>
        <v>0</v>
      </c>
      <c r="AZ295" s="605">
        <f t="shared" si="264"/>
        <v>0</v>
      </c>
      <c r="BA295" s="605">
        <f t="shared" si="264"/>
        <v>0</v>
      </c>
      <c r="BB295" s="605">
        <f t="shared" si="264"/>
        <v>0</v>
      </c>
      <c r="BC295" s="605">
        <f t="shared" si="264"/>
        <v>0</v>
      </c>
      <c r="BD295" s="605">
        <f t="shared" si="264"/>
        <v>0</v>
      </c>
      <c r="BE295" s="605">
        <f t="shared" si="264"/>
        <v>0</v>
      </c>
      <c r="BF295" s="605">
        <f t="shared" si="264"/>
        <v>0</v>
      </c>
      <c r="BG295" s="605">
        <f t="shared" si="264"/>
        <v>0</v>
      </c>
      <c r="BH295" s="605">
        <f t="shared" si="264"/>
        <v>0</v>
      </c>
      <c r="BI295" s="605">
        <f t="shared" si="264"/>
        <v>0</v>
      </c>
      <c r="BJ295" s="605">
        <f t="shared" si="264"/>
        <v>0</v>
      </c>
      <c r="BK295" s="605">
        <f t="shared" si="264"/>
        <v>200000000</v>
      </c>
      <c r="BL295" s="605">
        <f t="shared" si="264"/>
        <v>96453000</v>
      </c>
      <c r="BM295" s="605">
        <f t="shared" si="264"/>
        <v>12870000</v>
      </c>
      <c r="BN295" s="605">
        <f t="shared" si="264"/>
        <v>0</v>
      </c>
      <c r="BO295" s="605">
        <f t="shared" si="264"/>
        <v>0</v>
      </c>
      <c r="BP295" s="605">
        <f t="shared" si="264"/>
        <v>0</v>
      </c>
      <c r="BQ295" s="605">
        <f t="shared" si="264"/>
        <v>0</v>
      </c>
      <c r="BR295" s="605">
        <f t="shared" si="264"/>
        <v>0</v>
      </c>
      <c r="BS295" s="605">
        <f t="shared" si="264"/>
        <v>0</v>
      </c>
      <c r="BT295" s="605">
        <f t="shared" si="264"/>
        <v>0</v>
      </c>
      <c r="BU295" s="605">
        <f t="shared" si="264"/>
        <v>0</v>
      </c>
      <c r="BV295" s="605">
        <f t="shared" si="264"/>
        <v>0</v>
      </c>
      <c r="BW295" s="605">
        <f t="shared" si="264"/>
        <v>0</v>
      </c>
      <c r="BX295" s="605">
        <f t="shared" si="264"/>
        <v>0</v>
      </c>
      <c r="BY295" s="605">
        <f t="shared" si="264"/>
        <v>0</v>
      </c>
      <c r="BZ295" s="605">
        <f t="shared" si="264"/>
        <v>200000000</v>
      </c>
      <c r="CA295" s="605">
        <f t="shared" ref="CA295:CB295" si="265">SUM(CA293:CA294)</f>
        <v>96453000</v>
      </c>
      <c r="CB295" s="605">
        <f t="shared" si="265"/>
        <v>12870000</v>
      </c>
    </row>
    <row r="296" spans="1:80" s="11" customFormat="1" ht="15.75" x14ac:dyDescent="0.2">
      <c r="A296" s="54"/>
      <c r="B296" s="54"/>
      <c r="C296" s="92"/>
      <c r="D296" s="91"/>
      <c r="E296" s="244"/>
      <c r="F296" s="244"/>
      <c r="G296" s="91"/>
      <c r="H296" s="92"/>
      <c r="I296" s="91"/>
      <c r="J296" s="91"/>
      <c r="K296" s="294"/>
      <c r="L296" s="294"/>
      <c r="M296" s="294"/>
      <c r="N296" s="91"/>
      <c r="O296" s="500"/>
      <c r="P296" s="91"/>
      <c r="Q296" s="92"/>
      <c r="R296" s="606"/>
      <c r="S296" s="606"/>
      <c r="T296" s="606"/>
      <c r="U296" s="607"/>
      <c r="V296" s="607"/>
      <c r="W296" s="607"/>
      <c r="X296" s="606"/>
      <c r="Y296" s="606"/>
      <c r="Z296" s="606"/>
      <c r="AA296" s="606"/>
      <c r="AB296" s="606"/>
      <c r="AC296" s="606"/>
      <c r="AD296" s="606"/>
      <c r="AE296" s="606"/>
      <c r="AF296" s="606"/>
      <c r="AG296" s="606"/>
      <c r="AH296" s="606"/>
      <c r="AI296" s="606"/>
      <c r="AJ296" s="606"/>
      <c r="AK296" s="606"/>
      <c r="AL296" s="606"/>
      <c r="AM296" s="606"/>
      <c r="AN296" s="606"/>
      <c r="AO296" s="606"/>
      <c r="AP296" s="606"/>
      <c r="AQ296" s="606"/>
      <c r="AR296" s="606"/>
      <c r="AS296" s="606"/>
      <c r="AT296" s="606"/>
      <c r="AU296" s="606"/>
      <c r="AV296" s="606"/>
      <c r="AW296" s="606"/>
      <c r="AX296" s="606"/>
      <c r="AY296" s="607"/>
      <c r="AZ296" s="607"/>
      <c r="BA296" s="607"/>
      <c r="BB296" s="607"/>
      <c r="BC296" s="607"/>
      <c r="BD296" s="607"/>
      <c r="BE296" s="606"/>
      <c r="BF296" s="606"/>
      <c r="BG296" s="606"/>
      <c r="BH296" s="606"/>
      <c r="BI296" s="606"/>
      <c r="BJ296" s="606"/>
      <c r="BK296" s="608" t="s">
        <v>62</v>
      </c>
      <c r="BL296" s="608"/>
      <c r="BM296" s="608"/>
      <c r="BN296" s="609"/>
      <c r="BO296" s="609"/>
      <c r="BP296" s="609"/>
      <c r="BQ296" s="606"/>
      <c r="BR296" s="606"/>
      <c r="BS296" s="606"/>
      <c r="BT296" s="606"/>
      <c r="BU296" s="606"/>
      <c r="BV296" s="606"/>
      <c r="BW296" s="607"/>
      <c r="BX296" s="607"/>
      <c r="BY296" s="607"/>
      <c r="BZ296" s="606"/>
      <c r="CA296" s="606"/>
      <c r="CB296" s="606"/>
    </row>
    <row r="297" spans="1:80" s="459" customFormat="1" ht="24" customHeight="1" x14ac:dyDescent="0.2">
      <c r="A297" s="54"/>
      <c r="B297" s="54"/>
      <c r="C297" s="508"/>
      <c r="D297" s="516"/>
      <c r="E297" s="508"/>
      <c r="F297" s="508"/>
      <c r="G297" s="169">
        <v>3</v>
      </c>
      <c r="H297" s="170" t="s">
        <v>374</v>
      </c>
      <c r="I297" s="100"/>
      <c r="J297" s="100"/>
      <c r="K297" s="278"/>
      <c r="L297" s="278"/>
      <c r="M297" s="278"/>
      <c r="N297" s="100"/>
      <c r="O297" s="212"/>
      <c r="P297" s="100"/>
      <c r="Q297" s="100"/>
      <c r="R297" s="336"/>
      <c r="S297" s="336"/>
      <c r="T297" s="336"/>
      <c r="U297" s="336"/>
      <c r="V297" s="336"/>
      <c r="W297" s="336"/>
      <c r="X297" s="336"/>
      <c r="Y297" s="336"/>
      <c r="Z297" s="336"/>
      <c r="AA297" s="336"/>
      <c r="AB297" s="336"/>
      <c r="AC297" s="336"/>
      <c r="AD297" s="336"/>
      <c r="AE297" s="336"/>
      <c r="AF297" s="336"/>
      <c r="AG297" s="336"/>
      <c r="AH297" s="336"/>
      <c r="AI297" s="336"/>
      <c r="AJ297" s="336"/>
      <c r="AK297" s="336"/>
      <c r="AL297" s="336"/>
      <c r="AM297" s="336"/>
      <c r="AN297" s="336"/>
      <c r="AO297" s="336"/>
      <c r="AP297" s="336"/>
      <c r="AQ297" s="336"/>
      <c r="AR297" s="336"/>
      <c r="AS297" s="336"/>
      <c r="AT297" s="336"/>
      <c r="AU297" s="336"/>
      <c r="AV297" s="336"/>
      <c r="AW297" s="336"/>
      <c r="AX297" s="336"/>
      <c r="AY297" s="336"/>
      <c r="AZ297" s="336"/>
      <c r="BA297" s="336"/>
      <c r="BB297" s="336"/>
      <c r="BC297" s="336"/>
      <c r="BD297" s="336"/>
      <c r="BE297" s="336"/>
      <c r="BF297" s="336"/>
      <c r="BG297" s="336"/>
      <c r="BH297" s="336"/>
      <c r="BI297" s="336"/>
      <c r="BJ297" s="336"/>
      <c r="BK297" s="552"/>
      <c r="BL297" s="552"/>
      <c r="BM297" s="552"/>
      <c r="BN297" s="336"/>
      <c r="BO297" s="336"/>
      <c r="BP297" s="336"/>
      <c r="BQ297" s="336"/>
      <c r="BR297" s="336"/>
      <c r="BS297" s="336"/>
      <c r="BT297" s="336"/>
      <c r="BU297" s="336"/>
      <c r="BV297" s="336"/>
      <c r="BW297" s="336"/>
      <c r="BX297" s="336"/>
      <c r="BY297" s="336"/>
      <c r="BZ297" s="338"/>
      <c r="CA297" s="338"/>
      <c r="CB297" s="338"/>
    </row>
    <row r="298" spans="1:80" s="11" customFormat="1" ht="73.5" customHeight="1" x14ac:dyDescent="0.2">
      <c r="A298" s="54"/>
      <c r="B298" s="54"/>
      <c r="C298" s="510" t="s">
        <v>888</v>
      </c>
      <c r="D298" s="518" t="s">
        <v>375</v>
      </c>
      <c r="E298" s="510" t="s">
        <v>889</v>
      </c>
      <c r="F298" s="510" t="s">
        <v>890</v>
      </c>
      <c r="G298" s="58"/>
      <c r="H298" s="57">
        <v>14</v>
      </c>
      <c r="I298" s="56" t="s">
        <v>376</v>
      </c>
      <c r="J298" s="131">
        <v>2</v>
      </c>
      <c r="K298" s="207">
        <v>6</v>
      </c>
      <c r="L298" s="207">
        <v>3</v>
      </c>
      <c r="M298" s="61">
        <v>2017003630075</v>
      </c>
      <c r="N298" s="131" t="s">
        <v>357</v>
      </c>
      <c r="O298" s="498" t="s">
        <v>377</v>
      </c>
      <c r="P298" s="56" t="s">
        <v>378</v>
      </c>
      <c r="Q298" s="57" t="s">
        <v>51</v>
      </c>
      <c r="R298" s="539">
        <v>0</v>
      </c>
      <c r="S298" s="539"/>
      <c r="T298" s="539"/>
      <c r="U298" s="539">
        <v>0</v>
      </c>
      <c r="V298" s="539"/>
      <c r="W298" s="539"/>
      <c r="X298" s="539">
        <v>0</v>
      </c>
      <c r="Y298" s="539"/>
      <c r="Z298" s="539"/>
      <c r="AA298" s="539">
        <v>0</v>
      </c>
      <c r="AB298" s="539"/>
      <c r="AC298" s="539"/>
      <c r="AD298" s="539">
        <v>0</v>
      </c>
      <c r="AE298" s="539"/>
      <c r="AF298" s="539"/>
      <c r="AG298" s="539">
        <v>0</v>
      </c>
      <c r="AH298" s="539"/>
      <c r="AI298" s="539"/>
      <c r="AJ298" s="539">
        <v>0</v>
      </c>
      <c r="AK298" s="539"/>
      <c r="AL298" s="539"/>
      <c r="AM298" s="539"/>
      <c r="AN298" s="539"/>
      <c r="AO298" s="539"/>
      <c r="AP298" s="539"/>
      <c r="AQ298" s="539"/>
      <c r="AR298" s="539"/>
      <c r="AS298" s="539">
        <v>0</v>
      </c>
      <c r="AT298" s="539"/>
      <c r="AU298" s="539"/>
      <c r="AV298" s="539">
        <v>0</v>
      </c>
      <c r="AW298" s="539"/>
      <c r="AX298" s="539"/>
      <c r="AY298" s="539"/>
      <c r="AZ298" s="539"/>
      <c r="BA298" s="539"/>
      <c r="BB298" s="539"/>
      <c r="BC298" s="539"/>
      <c r="BD298" s="539"/>
      <c r="BE298" s="539">
        <v>0</v>
      </c>
      <c r="BF298" s="539"/>
      <c r="BG298" s="539"/>
      <c r="BH298" s="539">
        <v>0</v>
      </c>
      <c r="BI298" s="539"/>
      <c r="BJ298" s="539"/>
      <c r="BK298" s="163">
        <f>488574676+41297982</f>
        <v>529872658</v>
      </c>
      <c r="BL298" s="163">
        <v>219990000</v>
      </c>
      <c r="BM298" s="163">
        <v>40310000</v>
      </c>
      <c r="BN298" s="559"/>
      <c r="BO298" s="559"/>
      <c r="BP298" s="559"/>
      <c r="BQ298" s="539">
        <v>0</v>
      </c>
      <c r="BR298" s="541"/>
      <c r="BS298" s="541"/>
      <c r="BT298" s="541"/>
      <c r="BU298" s="541"/>
      <c r="BV298" s="541"/>
      <c r="BW298" s="541"/>
      <c r="BX298" s="541"/>
      <c r="BY298" s="541"/>
      <c r="BZ298" s="539">
        <f t="shared" ref="BZ298:BZ303" si="266">R298+U298+X298+AA298+AD298+AG298+AJ298+AM298+AP298+AS298+AV298+AY298+BB298+BE298+BH298+BK298+BN298+BQ298+BT298+BW298</f>
        <v>529872658</v>
      </c>
      <c r="CA298" s="539">
        <f t="shared" ref="CA298:CA303" si="267">S298+V298+Y298+AB298+AE298+AH298+AK298+AN298+AQ298+AT298+AW298+AZ298+BC298+BF298+BI298+BL298+BO298+BR298+BU298+BX298</f>
        <v>219990000</v>
      </c>
      <c r="CB298" s="539">
        <f t="shared" ref="CB298:CB303" si="268">T298+W298+Z298+AC298+AF298+AI298+AL298+AO298+AR298+AU298+AX298+BA298+BD298+BG298+BJ298+BM298+BP298+BS298+BV298+BY298</f>
        <v>40310000</v>
      </c>
    </row>
    <row r="299" spans="1:80" s="11" customFormat="1" ht="80.25" customHeight="1" x14ac:dyDescent="0.2">
      <c r="A299" s="54"/>
      <c r="B299" s="54"/>
      <c r="C299" s="55">
        <v>3</v>
      </c>
      <c r="D299" s="56" t="s">
        <v>365</v>
      </c>
      <c r="E299" s="57" t="s">
        <v>366</v>
      </c>
      <c r="F299" s="57" t="s">
        <v>158</v>
      </c>
      <c r="G299" s="64"/>
      <c r="H299" s="57">
        <v>15</v>
      </c>
      <c r="I299" s="67" t="s">
        <v>379</v>
      </c>
      <c r="J299" s="131">
        <v>0</v>
      </c>
      <c r="K299" s="207">
        <v>2</v>
      </c>
      <c r="L299" s="207">
        <v>0</v>
      </c>
      <c r="M299" s="850">
        <v>2017003630062</v>
      </c>
      <c r="N299" s="876" t="s">
        <v>357</v>
      </c>
      <c r="O299" s="857" t="s">
        <v>380</v>
      </c>
      <c r="P299" s="854" t="s">
        <v>381</v>
      </c>
      <c r="Q299" s="57" t="s">
        <v>51</v>
      </c>
      <c r="R299" s="539"/>
      <c r="S299" s="539"/>
      <c r="T299" s="539"/>
      <c r="U299" s="539"/>
      <c r="V299" s="539"/>
      <c r="W299" s="539"/>
      <c r="X299" s="539"/>
      <c r="Y299" s="539"/>
      <c r="Z299" s="539"/>
      <c r="AA299" s="539"/>
      <c r="AB299" s="539"/>
      <c r="AC299" s="539"/>
      <c r="AD299" s="539"/>
      <c r="AE299" s="539"/>
      <c r="AF299" s="539"/>
      <c r="AG299" s="539"/>
      <c r="AH299" s="539"/>
      <c r="AI299" s="539"/>
      <c r="AJ299" s="539"/>
      <c r="AK299" s="539"/>
      <c r="AL299" s="539"/>
      <c r="AM299" s="539"/>
      <c r="AN299" s="539"/>
      <c r="AO299" s="539"/>
      <c r="AP299" s="539"/>
      <c r="AQ299" s="539"/>
      <c r="AR299" s="539"/>
      <c r="AS299" s="539"/>
      <c r="AT299" s="539"/>
      <c r="AU299" s="539"/>
      <c r="AV299" s="539"/>
      <c r="AW299" s="539"/>
      <c r="AX299" s="539"/>
      <c r="AY299" s="539"/>
      <c r="AZ299" s="539"/>
      <c r="BA299" s="539"/>
      <c r="BB299" s="539"/>
      <c r="BC299" s="539"/>
      <c r="BD299" s="539"/>
      <c r="BE299" s="539"/>
      <c r="BF299" s="539"/>
      <c r="BG299" s="539"/>
      <c r="BH299" s="539"/>
      <c r="BI299" s="539"/>
      <c r="BJ299" s="539"/>
      <c r="BK299" s="163">
        <v>180000000</v>
      </c>
      <c r="BL299" s="163"/>
      <c r="BM299" s="163"/>
      <c r="BN299" s="559"/>
      <c r="BO299" s="559"/>
      <c r="BP299" s="559"/>
      <c r="BQ299" s="539"/>
      <c r="BR299" s="541"/>
      <c r="BS299" s="541"/>
      <c r="BT299" s="541"/>
      <c r="BU299" s="541"/>
      <c r="BV299" s="541"/>
      <c r="BW299" s="541"/>
      <c r="BX299" s="541"/>
      <c r="BY299" s="541"/>
      <c r="BZ299" s="539">
        <f t="shared" si="266"/>
        <v>180000000</v>
      </c>
      <c r="CA299" s="539">
        <f t="shared" si="267"/>
        <v>0</v>
      </c>
      <c r="CB299" s="539">
        <f t="shared" si="268"/>
        <v>0</v>
      </c>
    </row>
    <row r="300" spans="1:80" s="11" customFormat="1" ht="81.75" customHeight="1" x14ac:dyDescent="0.2">
      <c r="A300" s="54"/>
      <c r="B300" s="54"/>
      <c r="C300" s="57"/>
      <c r="D300" s="56"/>
      <c r="E300" s="57"/>
      <c r="F300" s="57"/>
      <c r="G300" s="64"/>
      <c r="H300" s="57">
        <v>16</v>
      </c>
      <c r="I300" s="67" t="s">
        <v>382</v>
      </c>
      <c r="J300" s="131">
        <v>7</v>
      </c>
      <c r="K300" s="207">
        <v>4</v>
      </c>
      <c r="L300" s="207">
        <v>1</v>
      </c>
      <c r="M300" s="851"/>
      <c r="N300" s="877"/>
      <c r="O300" s="857"/>
      <c r="P300" s="854"/>
      <c r="Q300" s="57" t="s">
        <v>67</v>
      </c>
      <c r="R300" s="539"/>
      <c r="S300" s="539"/>
      <c r="T300" s="539"/>
      <c r="U300" s="539"/>
      <c r="V300" s="539"/>
      <c r="W300" s="539"/>
      <c r="X300" s="539"/>
      <c r="Y300" s="539"/>
      <c r="Z300" s="539"/>
      <c r="AA300" s="539"/>
      <c r="AB300" s="539"/>
      <c r="AC300" s="539"/>
      <c r="AD300" s="539"/>
      <c r="AE300" s="539"/>
      <c r="AF300" s="539"/>
      <c r="AG300" s="539"/>
      <c r="AH300" s="539"/>
      <c r="AI300" s="539"/>
      <c r="AJ300" s="539"/>
      <c r="AK300" s="539"/>
      <c r="AL300" s="539"/>
      <c r="AM300" s="539"/>
      <c r="AN300" s="539"/>
      <c r="AO300" s="539"/>
      <c r="AP300" s="539"/>
      <c r="AQ300" s="539"/>
      <c r="AR300" s="539"/>
      <c r="AS300" s="539"/>
      <c r="AT300" s="539"/>
      <c r="AU300" s="539"/>
      <c r="AV300" s="539"/>
      <c r="AW300" s="539"/>
      <c r="AX300" s="539"/>
      <c r="AY300" s="539"/>
      <c r="AZ300" s="539"/>
      <c r="BA300" s="539"/>
      <c r="BB300" s="539"/>
      <c r="BC300" s="539"/>
      <c r="BD300" s="539"/>
      <c r="BE300" s="539"/>
      <c r="BF300" s="539"/>
      <c r="BG300" s="539"/>
      <c r="BH300" s="539"/>
      <c r="BI300" s="539"/>
      <c r="BJ300" s="539"/>
      <c r="BK300" s="163">
        <v>6000000</v>
      </c>
      <c r="BL300" s="163">
        <v>6000000</v>
      </c>
      <c r="BM300" s="163"/>
      <c r="BN300" s="559"/>
      <c r="BO300" s="559"/>
      <c r="BP300" s="559"/>
      <c r="BQ300" s="539"/>
      <c r="BR300" s="541"/>
      <c r="BS300" s="541"/>
      <c r="BT300" s="541"/>
      <c r="BU300" s="541"/>
      <c r="BV300" s="541"/>
      <c r="BW300" s="541"/>
      <c r="BX300" s="541"/>
      <c r="BY300" s="541"/>
      <c r="BZ300" s="539">
        <f t="shared" si="266"/>
        <v>6000000</v>
      </c>
      <c r="CA300" s="539">
        <f t="shared" si="267"/>
        <v>6000000</v>
      </c>
      <c r="CB300" s="539">
        <f t="shared" si="268"/>
        <v>0</v>
      </c>
    </row>
    <row r="301" spans="1:80" s="11" customFormat="1" ht="57.75" customHeight="1" x14ac:dyDescent="0.2">
      <c r="A301" s="54"/>
      <c r="B301" s="54"/>
      <c r="C301" s="29"/>
      <c r="D301" s="71"/>
      <c r="E301" s="29"/>
      <c r="F301" s="29"/>
      <c r="G301" s="64"/>
      <c r="H301" s="57">
        <v>18</v>
      </c>
      <c r="I301" s="56" t="s">
        <v>383</v>
      </c>
      <c r="J301" s="131">
        <v>0</v>
      </c>
      <c r="K301" s="207">
        <v>7</v>
      </c>
      <c r="L301" s="207">
        <v>0</v>
      </c>
      <c r="M301" s="851"/>
      <c r="N301" s="877"/>
      <c r="O301" s="857"/>
      <c r="P301" s="854"/>
      <c r="Q301" s="57" t="s">
        <v>67</v>
      </c>
      <c r="R301" s="539"/>
      <c r="S301" s="539"/>
      <c r="T301" s="539"/>
      <c r="U301" s="539"/>
      <c r="V301" s="539"/>
      <c r="W301" s="539"/>
      <c r="X301" s="539"/>
      <c r="Y301" s="539"/>
      <c r="Z301" s="539"/>
      <c r="AA301" s="539"/>
      <c r="AB301" s="539"/>
      <c r="AC301" s="539"/>
      <c r="AD301" s="539"/>
      <c r="AE301" s="539"/>
      <c r="AF301" s="539"/>
      <c r="AG301" s="539"/>
      <c r="AH301" s="539"/>
      <c r="AI301" s="539"/>
      <c r="AJ301" s="539"/>
      <c r="AK301" s="539"/>
      <c r="AL301" s="539"/>
      <c r="AM301" s="539"/>
      <c r="AN301" s="539"/>
      <c r="AO301" s="539"/>
      <c r="AP301" s="539"/>
      <c r="AQ301" s="539"/>
      <c r="AR301" s="539"/>
      <c r="AS301" s="539"/>
      <c r="AT301" s="539"/>
      <c r="AU301" s="539"/>
      <c r="AV301" s="539"/>
      <c r="AW301" s="539"/>
      <c r="AX301" s="539"/>
      <c r="AY301" s="539"/>
      <c r="AZ301" s="539"/>
      <c r="BA301" s="539"/>
      <c r="BB301" s="539"/>
      <c r="BC301" s="539"/>
      <c r="BD301" s="539"/>
      <c r="BE301" s="539"/>
      <c r="BF301" s="539"/>
      <c r="BG301" s="539"/>
      <c r="BH301" s="539"/>
      <c r="BI301" s="541"/>
      <c r="BJ301" s="541"/>
      <c r="BK301" s="542">
        <v>8600000</v>
      </c>
      <c r="BL301" s="542">
        <v>7000000</v>
      </c>
      <c r="BM301" s="542">
        <v>3500000</v>
      </c>
      <c r="BN301" s="542"/>
      <c r="BO301" s="542"/>
      <c r="BP301" s="542"/>
      <c r="BQ301" s="539"/>
      <c r="BR301" s="541"/>
      <c r="BS301" s="541"/>
      <c r="BT301" s="541"/>
      <c r="BU301" s="541"/>
      <c r="BV301" s="541"/>
      <c r="BW301" s="541"/>
      <c r="BX301" s="541"/>
      <c r="BY301" s="541"/>
      <c r="BZ301" s="539">
        <f t="shared" si="266"/>
        <v>8600000</v>
      </c>
      <c r="CA301" s="539">
        <f t="shared" si="267"/>
        <v>7000000</v>
      </c>
      <c r="CB301" s="539">
        <f t="shared" si="268"/>
        <v>3500000</v>
      </c>
    </row>
    <row r="302" spans="1:80" s="11" customFormat="1" ht="81.75" customHeight="1" x14ac:dyDescent="0.2">
      <c r="A302" s="54"/>
      <c r="B302" s="54"/>
      <c r="C302" s="55">
        <v>4</v>
      </c>
      <c r="D302" s="56" t="s">
        <v>384</v>
      </c>
      <c r="E302" s="57" t="s">
        <v>385</v>
      </c>
      <c r="F302" s="57" t="s">
        <v>386</v>
      </c>
      <c r="G302" s="64"/>
      <c r="H302" s="57">
        <v>19</v>
      </c>
      <c r="I302" s="56" t="s">
        <v>387</v>
      </c>
      <c r="J302" s="131">
        <v>20</v>
      </c>
      <c r="K302" s="207">
        <v>9</v>
      </c>
      <c r="L302" s="207">
        <v>7</v>
      </c>
      <c r="M302" s="851"/>
      <c r="N302" s="877"/>
      <c r="O302" s="857"/>
      <c r="P302" s="854"/>
      <c r="Q302" s="57" t="s">
        <v>67</v>
      </c>
      <c r="R302" s="539">
        <v>0</v>
      </c>
      <c r="S302" s="539"/>
      <c r="T302" s="539"/>
      <c r="U302" s="539">
        <v>0</v>
      </c>
      <c r="V302" s="539"/>
      <c r="W302" s="539"/>
      <c r="X302" s="539">
        <v>0</v>
      </c>
      <c r="Y302" s="539"/>
      <c r="Z302" s="539"/>
      <c r="AA302" s="539">
        <v>0</v>
      </c>
      <c r="AB302" s="539"/>
      <c r="AC302" s="539"/>
      <c r="AD302" s="539">
        <v>0</v>
      </c>
      <c r="AE302" s="539"/>
      <c r="AF302" s="539"/>
      <c r="AG302" s="539">
        <v>0</v>
      </c>
      <c r="AH302" s="539"/>
      <c r="AI302" s="539"/>
      <c r="AJ302" s="539">
        <v>0</v>
      </c>
      <c r="AK302" s="539"/>
      <c r="AL302" s="539"/>
      <c r="AM302" s="539"/>
      <c r="AN302" s="539"/>
      <c r="AO302" s="539"/>
      <c r="AP302" s="539"/>
      <c r="AQ302" s="539"/>
      <c r="AR302" s="539"/>
      <c r="AS302" s="539">
        <v>0</v>
      </c>
      <c r="AT302" s="539"/>
      <c r="AU302" s="539"/>
      <c r="AV302" s="539">
        <v>0</v>
      </c>
      <c r="AW302" s="539"/>
      <c r="AX302" s="539"/>
      <c r="AY302" s="539"/>
      <c r="AZ302" s="539"/>
      <c r="BA302" s="539"/>
      <c r="BB302" s="539"/>
      <c r="BC302" s="539"/>
      <c r="BD302" s="539"/>
      <c r="BE302" s="539">
        <v>0</v>
      </c>
      <c r="BF302" s="539"/>
      <c r="BG302" s="539"/>
      <c r="BH302" s="539">
        <v>0</v>
      </c>
      <c r="BI302" s="541"/>
      <c r="BJ302" s="541"/>
      <c r="BK302" s="542">
        <v>7000000</v>
      </c>
      <c r="BL302" s="542">
        <v>7000000</v>
      </c>
      <c r="BM302" s="542">
        <v>2333333</v>
      </c>
      <c r="BN302" s="542"/>
      <c r="BO302" s="542"/>
      <c r="BP302" s="542"/>
      <c r="BQ302" s="539">
        <v>0</v>
      </c>
      <c r="BR302" s="541"/>
      <c r="BS302" s="541"/>
      <c r="BT302" s="541"/>
      <c r="BU302" s="541"/>
      <c r="BV302" s="541"/>
      <c r="BW302" s="541"/>
      <c r="BX302" s="541"/>
      <c r="BY302" s="541"/>
      <c r="BZ302" s="539">
        <f t="shared" si="266"/>
        <v>7000000</v>
      </c>
      <c r="CA302" s="539">
        <f t="shared" si="267"/>
        <v>7000000</v>
      </c>
      <c r="CB302" s="539">
        <f t="shared" si="268"/>
        <v>2333333</v>
      </c>
    </row>
    <row r="303" spans="1:80" s="11" customFormat="1" ht="108" customHeight="1" x14ac:dyDescent="0.2">
      <c r="A303" s="54"/>
      <c r="B303" s="54"/>
      <c r="C303" s="508">
        <v>1</v>
      </c>
      <c r="D303" s="516" t="s">
        <v>355</v>
      </c>
      <c r="E303" s="694" t="s">
        <v>42</v>
      </c>
      <c r="F303" s="695">
        <v>15000</v>
      </c>
      <c r="G303" s="64"/>
      <c r="H303" s="57">
        <v>20</v>
      </c>
      <c r="I303" s="56" t="s">
        <v>388</v>
      </c>
      <c r="J303" s="131" t="s">
        <v>42</v>
      </c>
      <c r="K303" s="207">
        <v>70</v>
      </c>
      <c r="L303" s="207">
        <v>70</v>
      </c>
      <c r="M303" s="852"/>
      <c r="N303" s="878"/>
      <c r="O303" s="858"/>
      <c r="P303" s="855"/>
      <c r="Q303" s="57" t="s">
        <v>67</v>
      </c>
      <c r="R303" s="539">
        <v>0</v>
      </c>
      <c r="S303" s="539"/>
      <c r="T303" s="539"/>
      <c r="U303" s="539">
        <v>0</v>
      </c>
      <c r="V303" s="539"/>
      <c r="W303" s="539"/>
      <c r="X303" s="539">
        <v>0</v>
      </c>
      <c r="Y303" s="539"/>
      <c r="Z303" s="539"/>
      <c r="AA303" s="539">
        <v>0</v>
      </c>
      <c r="AB303" s="539"/>
      <c r="AC303" s="539"/>
      <c r="AD303" s="539">
        <v>0</v>
      </c>
      <c r="AE303" s="539"/>
      <c r="AF303" s="539"/>
      <c r="AG303" s="539">
        <v>0</v>
      </c>
      <c r="AH303" s="539"/>
      <c r="AI303" s="539"/>
      <c r="AJ303" s="539">
        <v>0</v>
      </c>
      <c r="AK303" s="539"/>
      <c r="AL303" s="539"/>
      <c r="AM303" s="539"/>
      <c r="AN303" s="539"/>
      <c r="AO303" s="539"/>
      <c r="AP303" s="539"/>
      <c r="AQ303" s="539"/>
      <c r="AR303" s="539"/>
      <c r="AS303" s="539">
        <v>0</v>
      </c>
      <c r="AT303" s="539"/>
      <c r="AU303" s="539"/>
      <c r="AV303" s="539">
        <v>0</v>
      </c>
      <c r="AW303" s="539"/>
      <c r="AX303" s="539"/>
      <c r="AY303" s="539"/>
      <c r="AZ303" s="539"/>
      <c r="BA303" s="539"/>
      <c r="BB303" s="539"/>
      <c r="BC303" s="539"/>
      <c r="BD303" s="539"/>
      <c r="BE303" s="539">
        <v>0</v>
      </c>
      <c r="BF303" s="539"/>
      <c r="BG303" s="539"/>
      <c r="BH303" s="539">
        <v>0</v>
      </c>
      <c r="BI303" s="541"/>
      <c r="BJ303" s="541"/>
      <c r="BK303" s="542">
        <v>7000000</v>
      </c>
      <c r="BL303" s="542">
        <v>5950000</v>
      </c>
      <c r="BM303" s="542"/>
      <c r="BN303" s="542"/>
      <c r="BO303" s="542"/>
      <c r="BP303" s="542"/>
      <c r="BQ303" s="539">
        <v>0</v>
      </c>
      <c r="BR303" s="541"/>
      <c r="BS303" s="541"/>
      <c r="BT303" s="541"/>
      <c r="BU303" s="541"/>
      <c r="BV303" s="541"/>
      <c r="BW303" s="541"/>
      <c r="BX303" s="541"/>
      <c r="BY303" s="541"/>
      <c r="BZ303" s="539">
        <f t="shared" si="266"/>
        <v>7000000</v>
      </c>
      <c r="CA303" s="539">
        <f t="shared" si="267"/>
        <v>5950000</v>
      </c>
      <c r="CB303" s="539">
        <f t="shared" si="268"/>
        <v>0</v>
      </c>
    </row>
    <row r="304" spans="1:80" s="459" customFormat="1" ht="15.75" customHeight="1" x14ac:dyDescent="0.2">
      <c r="A304" s="54"/>
      <c r="B304" s="74"/>
      <c r="C304" s="510"/>
      <c r="D304" s="518"/>
      <c r="E304" s="510"/>
      <c r="F304" s="510"/>
      <c r="G304" s="77"/>
      <c r="H304" s="78"/>
      <c r="I304" s="77"/>
      <c r="J304" s="77"/>
      <c r="K304" s="293"/>
      <c r="L304" s="293"/>
      <c r="M304" s="293"/>
      <c r="N304" s="77"/>
      <c r="O304" s="78"/>
      <c r="P304" s="295"/>
      <c r="Q304" s="78"/>
      <c r="R304" s="605">
        <f t="shared" ref="R304:BY304" si="269">SUM(R298:R303)</f>
        <v>0</v>
      </c>
      <c r="S304" s="605">
        <f t="shared" si="269"/>
        <v>0</v>
      </c>
      <c r="T304" s="605">
        <f t="shared" si="269"/>
        <v>0</v>
      </c>
      <c r="U304" s="605">
        <f t="shared" si="269"/>
        <v>0</v>
      </c>
      <c r="V304" s="605">
        <f t="shared" si="269"/>
        <v>0</v>
      </c>
      <c r="W304" s="605">
        <f t="shared" si="269"/>
        <v>0</v>
      </c>
      <c r="X304" s="605">
        <f t="shared" si="269"/>
        <v>0</v>
      </c>
      <c r="Y304" s="605">
        <f t="shared" si="269"/>
        <v>0</v>
      </c>
      <c r="Z304" s="605">
        <f t="shared" si="269"/>
        <v>0</v>
      </c>
      <c r="AA304" s="605">
        <f t="shared" si="269"/>
        <v>0</v>
      </c>
      <c r="AB304" s="605">
        <f t="shared" si="269"/>
        <v>0</v>
      </c>
      <c r="AC304" s="605">
        <f t="shared" si="269"/>
        <v>0</v>
      </c>
      <c r="AD304" s="605">
        <f t="shared" si="269"/>
        <v>0</v>
      </c>
      <c r="AE304" s="605">
        <f t="shared" si="269"/>
        <v>0</v>
      </c>
      <c r="AF304" s="605">
        <f t="shared" si="269"/>
        <v>0</v>
      </c>
      <c r="AG304" s="605">
        <f t="shared" si="269"/>
        <v>0</v>
      </c>
      <c r="AH304" s="605">
        <f t="shared" si="269"/>
        <v>0</v>
      </c>
      <c r="AI304" s="605">
        <f t="shared" si="269"/>
        <v>0</v>
      </c>
      <c r="AJ304" s="605">
        <f t="shared" si="269"/>
        <v>0</v>
      </c>
      <c r="AK304" s="605">
        <f t="shared" si="269"/>
        <v>0</v>
      </c>
      <c r="AL304" s="605">
        <f t="shared" si="269"/>
        <v>0</v>
      </c>
      <c r="AM304" s="605">
        <f t="shared" si="269"/>
        <v>0</v>
      </c>
      <c r="AN304" s="605">
        <f t="shared" si="269"/>
        <v>0</v>
      </c>
      <c r="AO304" s="605">
        <f t="shared" si="269"/>
        <v>0</v>
      </c>
      <c r="AP304" s="605">
        <f t="shared" si="269"/>
        <v>0</v>
      </c>
      <c r="AQ304" s="605">
        <f t="shared" si="269"/>
        <v>0</v>
      </c>
      <c r="AR304" s="605">
        <f t="shared" si="269"/>
        <v>0</v>
      </c>
      <c r="AS304" s="605">
        <f t="shared" si="269"/>
        <v>0</v>
      </c>
      <c r="AT304" s="605">
        <f t="shared" si="269"/>
        <v>0</v>
      </c>
      <c r="AU304" s="605">
        <f t="shared" si="269"/>
        <v>0</v>
      </c>
      <c r="AV304" s="605">
        <f t="shared" si="269"/>
        <v>0</v>
      </c>
      <c r="AW304" s="605">
        <f t="shared" si="269"/>
        <v>0</v>
      </c>
      <c r="AX304" s="605">
        <f t="shared" si="269"/>
        <v>0</v>
      </c>
      <c r="AY304" s="605">
        <f t="shared" si="269"/>
        <v>0</v>
      </c>
      <c r="AZ304" s="605">
        <f t="shared" si="269"/>
        <v>0</v>
      </c>
      <c r="BA304" s="605">
        <f t="shared" si="269"/>
        <v>0</v>
      </c>
      <c r="BB304" s="605">
        <f t="shared" si="269"/>
        <v>0</v>
      </c>
      <c r="BC304" s="605">
        <f t="shared" si="269"/>
        <v>0</v>
      </c>
      <c r="BD304" s="605">
        <f t="shared" si="269"/>
        <v>0</v>
      </c>
      <c r="BE304" s="605">
        <f t="shared" si="269"/>
        <v>0</v>
      </c>
      <c r="BF304" s="605">
        <f t="shared" si="269"/>
        <v>0</v>
      </c>
      <c r="BG304" s="605">
        <f t="shared" si="269"/>
        <v>0</v>
      </c>
      <c r="BH304" s="605">
        <f t="shared" si="269"/>
        <v>0</v>
      </c>
      <c r="BI304" s="605">
        <f t="shared" si="269"/>
        <v>0</v>
      </c>
      <c r="BJ304" s="605">
        <f t="shared" si="269"/>
        <v>0</v>
      </c>
      <c r="BK304" s="605">
        <f t="shared" si="269"/>
        <v>738472658</v>
      </c>
      <c r="BL304" s="605">
        <f t="shared" si="269"/>
        <v>245940000</v>
      </c>
      <c r="BM304" s="605">
        <f t="shared" si="269"/>
        <v>46143333</v>
      </c>
      <c r="BN304" s="605">
        <f t="shared" si="269"/>
        <v>0</v>
      </c>
      <c r="BO304" s="605">
        <f t="shared" si="269"/>
        <v>0</v>
      </c>
      <c r="BP304" s="605">
        <f t="shared" si="269"/>
        <v>0</v>
      </c>
      <c r="BQ304" s="605">
        <f t="shared" si="269"/>
        <v>0</v>
      </c>
      <c r="BR304" s="605">
        <f t="shared" si="269"/>
        <v>0</v>
      </c>
      <c r="BS304" s="605">
        <f t="shared" si="269"/>
        <v>0</v>
      </c>
      <c r="BT304" s="605">
        <f t="shared" si="269"/>
        <v>0</v>
      </c>
      <c r="BU304" s="605">
        <f t="shared" si="269"/>
        <v>0</v>
      </c>
      <c r="BV304" s="605">
        <f t="shared" si="269"/>
        <v>0</v>
      </c>
      <c r="BW304" s="605">
        <f t="shared" si="269"/>
        <v>0</v>
      </c>
      <c r="BX304" s="605">
        <f t="shared" si="269"/>
        <v>0</v>
      </c>
      <c r="BY304" s="605">
        <f t="shared" si="269"/>
        <v>0</v>
      </c>
      <c r="BZ304" s="605">
        <f t="shared" ref="BZ304" si="270">SUM(BZ298:BZ303)</f>
        <v>738472658</v>
      </c>
      <c r="CA304" s="605">
        <f t="shared" ref="CA304:CB304" si="271">SUM(CA298:CA303)</f>
        <v>245940000</v>
      </c>
      <c r="CB304" s="605">
        <f t="shared" si="271"/>
        <v>46143333</v>
      </c>
    </row>
    <row r="305" spans="1:80" s="459" customFormat="1" ht="15.75" customHeight="1" x14ac:dyDescent="0.2">
      <c r="A305" s="74"/>
      <c r="B305" s="81"/>
      <c r="C305" s="120"/>
      <c r="D305" s="81"/>
      <c r="E305" s="82"/>
      <c r="F305" s="82"/>
      <c r="G305" s="81"/>
      <c r="H305" s="82"/>
      <c r="I305" s="81"/>
      <c r="J305" s="81"/>
      <c r="K305" s="296"/>
      <c r="L305" s="296"/>
      <c r="M305" s="296"/>
      <c r="N305" s="81"/>
      <c r="O305" s="82"/>
      <c r="P305" s="81"/>
      <c r="Q305" s="82"/>
      <c r="R305" s="577">
        <f t="shared" ref="R305:BY305" si="272">R304+R295+R290</f>
        <v>0</v>
      </c>
      <c r="S305" s="577">
        <f t="shared" si="272"/>
        <v>0</v>
      </c>
      <c r="T305" s="577">
        <f t="shared" si="272"/>
        <v>0</v>
      </c>
      <c r="U305" s="577">
        <f t="shared" si="272"/>
        <v>0</v>
      </c>
      <c r="V305" s="577">
        <f t="shared" si="272"/>
        <v>0</v>
      </c>
      <c r="W305" s="577">
        <f t="shared" si="272"/>
        <v>0</v>
      </c>
      <c r="X305" s="577">
        <f t="shared" si="272"/>
        <v>0</v>
      </c>
      <c r="Y305" s="577">
        <f t="shared" si="272"/>
        <v>0</v>
      </c>
      <c r="Z305" s="577">
        <f t="shared" si="272"/>
        <v>0</v>
      </c>
      <c r="AA305" s="577">
        <f t="shared" si="272"/>
        <v>0</v>
      </c>
      <c r="AB305" s="577">
        <f t="shared" si="272"/>
        <v>0</v>
      </c>
      <c r="AC305" s="577">
        <f t="shared" si="272"/>
        <v>0</v>
      </c>
      <c r="AD305" s="577">
        <f t="shared" si="272"/>
        <v>0</v>
      </c>
      <c r="AE305" s="577">
        <f t="shared" si="272"/>
        <v>0</v>
      </c>
      <c r="AF305" s="577">
        <f t="shared" si="272"/>
        <v>0</v>
      </c>
      <c r="AG305" s="577">
        <f t="shared" si="272"/>
        <v>0</v>
      </c>
      <c r="AH305" s="577">
        <f t="shared" si="272"/>
        <v>0</v>
      </c>
      <c r="AI305" s="577">
        <f t="shared" si="272"/>
        <v>0</v>
      </c>
      <c r="AJ305" s="577">
        <f t="shared" si="272"/>
        <v>0</v>
      </c>
      <c r="AK305" s="577">
        <f t="shared" si="272"/>
        <v>0</v>
      </c>
      <c r="AL305" s="577">
        <f t="shared" si="272"/>
        <v>0</v>
      </c>
      <c r="AM305" s="577">
        <f t="shared" si="272"/>
        <v>0</v>
      </c>
      <c r="AN305" s="577">
        <f t="shared" si="272"/>
        <v>0</v>
      </c>
      <c r="AO305" s="577">
        <f t="shared" si="272"/>
        <v>0</v>
      </c>
      <c r="AP305" s="577">
        <f t="shared" si="272"/>
        <v>0</v>
      </c>
      <c r="AQ305" s="577">
        <f t="shared" si="272"/>
        <v>0</v>
      </c>
      <c r="AR305" s="577">
        <f t="shared" si="272"/>
        <v>0</v>
      </c>
      <c r="AS305" s="577">
        <f t="shared" si="272"/>
        <v>0</v>
      </c>
      <c r="AT305" s="577">
        <f t="shared" si="272"/>
        <v>0</v>
      </c>
      <c r="AU305" s="577">
        <f t="shared" si="272"/>
        <v>0</v>
      </c>
      <c r="AV305" s="577">
        <f t="shared" si="272"/>
        <v>0</v>
      </c>
      <c r="AW305" s="577">
        <f t="shared" si="272"/>
        <v>0</v>
      </c>
      <c r="AX305" s="577">
        <f t="shared" si="272"/>
        <v>0</v>
      </c>
      <c r="AY305" s="577">
        <f t="shared" si="272"/>
        <v>0</v>
      </c>
      <c r="AZ305" s="577">
        <f t="shared" si="272"/>
        <v>0</v>
      </c>
      <c r="BA305" s="577">
        <f t="shared" si="272"/>
        <v>0</v>
      </c>
      <c r="BB305" s="577">
        <f t="shared" si="272"/>
        <v>0</v>
      </c>
      <c r="BC305" s="577">
        <f t="shared" si="272"/>
        <v>0</v>
      </c>
      <c r="BD305" s="577">
        <f t="shared" si="272"/>
        <v>0</v>
      </c>
      <c r="BE305" s="577">
        <f t="shared" si="272"/>
        <v>0</v>
      </c>
      <c r="BF305" s="577">
        <f t="shared" si="272"/>
        <v>0</v>
      </c>
      <c r="BG305" s="577">
        <f t="shared" si="272"/>
        <v>0</v>
      </c>
      <c r="BH305" s="577">
        <f t="shared" si="272"/>
        <v>0</v>
      </c>
      <c r="BI305" s="577">
        <f t="shared" si="272"/>
        <v>0</v>
      </c>
      <c r="BJ305" s="577">
        <f t="shared" si="272"/>
        <v>0</v>
      </c>
      <c r="BK305" s="577">
        <f t="shared" si="272"/>
        <v>1023472658</v>
      </c>
      <c r="BL305" s="577">
        <f t="shared" si="272"/>
        <v>425372991</v>
      </c>
      <c r="BM305" s="577">
        <f t="shared" si="272"/>
        <v>87326255</v>
      </c>
      <c r="BN305" s="577">
        <f t="shared" si="272"/>
        <v>0</v>
      </c>
      <c r="BO305" s="577">
        <f t="shared" si="272"/>
        <v>0</v>
      </c>
      <c r="BP305" s="577">
        <f t="shared" si="272"/>
        <v>0</v>
      </c>
      <c r="BQ305" s="577">
        <f t="shared" si="272"/>
        <v>0</v>
      </c>
      <c r="BR305" s="577">
        <f t="shared" si="272"/>
        <v>0</v>
      </c>
      <c r="BS305" s="577">
        <f t="shared" si="272"/>
        <v>0</v>
      </c>
      <c r="BT305" s="577">
        <f t="shared" si="272"/>
        <v>0</v>
      </c>
      <c r="BU305" s="577">
        <f t="shared" si="272"/>
        <v>0</v>
      </c>
      <c r="BV305" s="577">
        <f t="shared" si="272"/>
        <v>0</v>
      </c>
      <c r="BW305" s="577">
        <f t="shared" si="272"/>
        <v>0</v>
      </c>
      <c r="BX305" s="577">
        <f t="shared" si="272"/>
        <v>0</v>
      </c>
      <c r="BY305" s="577">
        <f t="shared" si="272"/>
        <v>0</v>
      </c>
      <c r="BZ305" s="577">
        <f t="shared" ref="BZ305" si="273">BZ304+BZ295+BZ290</f>
        <v>1023472658</v>
      </c>
      <c r="CA305" s="577">
        <f t="shared" ref="CA305:CB305" si="274">CA304+CA295+CA290</f>
        <v>425372991</v>
      </c>
      <c r="CB305" s="577">
        <f t="shared" si="274"/>
        <v>87326255</v>
      </c>
    </row>
    <row r="306" spans="1:80" s="11" customFormat="1" ht="15.75" customHeight="1" x14ac:dyDescent="0.2">
      <c r="A306" s="812"/>
      <c r="B306" s="812"/>
      <c r="C306" s="85"/>
      <c r="D306" s="405"/>
      <c r="E306" s="405"/>
      <c r="F306" s="405"/>
      <c r="G306" s="405"/>
      <c r="H306" s="85"/>
      <c r="I306" s="405"/>
      <c r="J306" s="405"/>
      <c r="K306" s="813"/>
      <c r="L306" s="813"/>
      <c r="M306" s="813"/>
      <c r="N306" s="405"/>
      <c r="O306" s="85"/>
      <c r="P306" s="405"/>
      <c r="Q306" s="405"/>
      <c r="R306" s="814">
        <f t="shared" ref="R306:BY306" si="275">R305</f>
        <v>0</v>
      </c>
      <c r="S306" s="814">
        <f t="shared" si="275"/>
        <v>0</v>
      </c>
      <c r="T306" s="814">
        <f t="shared" si="275"/>
        <v>0</v>
      </c>
      <c r="U306" s="814">
        <f t="shared" si="275"/>
        <v>0</v>
      </c>
      <c r="V306" s="814">
        <f t="shared" si="275"/>
        <v>0</v>
      </c>
      <c r="W306" s="814">
        <f t="shared" si="275"/>
        <v>0</v>
      </c>
      <c r="X306" s="814">
        <f t="shared" si="275"/>
        <v>0</v>
      </c>
      <c r="Y306" s="814">
        <f t="shared" si="275"/>
        <v>0</v>
      </c>
      <c r="Z306" s="814">
        <f t="shared" si="275"/>
        <v>0</v>
      </c>
      <c r="AA306" s="814">
        <f t="shared" si="275"/>
        <v>0</v>
      </c>
      <c r="AB306" s="814">
        <f t="shared" si="275"/>
        <v>0</v>
      </c>
      <c r="AC306" s="814">
        <f t="shared" si="275"/>
        <v>0</v>
      </c>
      <c r="AD306" s="814">
        <f t="shared" si="275"/>
        <v>0</v>
      </c>
      <c r="AE306" s="814">
        <f t="shared" si="275"/>
        <v>0</v>
      </c>
      <c r="AF306" s="814">
        <f t="shared" si="275"/>
        <v>0</v>
      </c>
      <c r="AG306" s="814">
        <f t="shared" si="275"/>
        <v>0</v>
      </c>
      <c r="AH306" s="814">
        <f t="shared" si="275"/>
        <v>0</v>
      </c>
      <c r="AI306" s="814">
        <f t="shared" si="275"/>
        <v>0</v>
      </c>
      <c r="AJ306" s="814">
        <f t="shared" si="275"/>
        <v>0</v>
      </c>
      <c r="AK306" s="814">
        <f t="shared" si="275"/>
        <v>0</v>
      </c>
      <c r="AL306" s="814">
        <f t="shared" si="275"/>
        <v>0</v>
      </c>
      <c r="AM306" s="814">
        <f t="shared" si="275"/>
        <v>0</v>
      </c>
      <c r="AN306" s="814">
        <f t="shared" si="275"/>
        <v>0</v>
      </c>
      <c r="AO306" s="814">
        <f t="shared" si="275"/>
        <v>0</v>
      </c>
      <c r="AP306" s="814">
        <f t="shared" si="275"/>
        <v>0</v>
      </c>
      <c r="AQ306" s="814">
        <f t="shared" si="275"/>
        <v>0</v>
      </c>
      <c r="AR306" s="814">
        <f t="shared" si="275"/>
        <v>0</v>
      </c>
      <c r="AS306" s="814">
        <f t="shared" si="275"/>
        <v>0</v>
      </c>
      <c r="AT306" s="814">
        <f t="shared" si="275"/>
        <v>0</v>
      </c>
      <c r="AU306" s="814">
        <f t="shared" si="275"/>
        <v>0</v>
      </c>
      <c r="AV306" s="814">
        <f t="shared" si="275"/>
        <v>0</v>
      </c>
      <c r="AW306" s="814">
        <f t="shared" si="275"/>
        <v>0</v>
      </c>
      <c r="AX306" s="814">
        <f t="shared" si="275"/>
        <v>0</v>
      </c>
      <c r="AY306" s="814">
        <f t="shared" si="275"/>
        <v>0</v>
      </c>
      <c r="AZ306" s="814">
        <f t="shared" si="275"/>
        <v>0</v>
      </c>
      <c r="BA306" s="814">
        <f t="shared" si="275"/>
        <v>0</v>
      </c>
      <c r="BB306" s="814">
        <f t="shared" si="275"/>
        <v>0</v>
      </c>
      <c r="BC306" s="814">
        <f t="shared" si="275"/>
        <v>0</v>
      </c>
      <c r="BD306" s="814">
        <f t="shared" si="275"/>
        <v>0</v>
      </c>
      <c r="BE306" s="814">
        <f t="shared" si="275"/>
        <v>0</v>
      </c>
      <c r="BF306" s="814">
        <f t="shared" si="275"/>
        <v>0</v>
      </c>
      <c r="BG306" s="814">
        <f t="shared" si="275"/>
        <v>0</v>
      </c>
      <c r="BH306" s="814">
        <f t="shared" si="275"/>
        <v>0</v>
      </c>
      <c r="BI306" s="814">
        <f t="shared" si="275"/>
        <v>0</v>
      </c>
      <c r="BJ306" s="814">
        <f t="shared" si="275"/>
        <v>0</v>
      </c>
      <c r="BK306" s="814">
        <f t="shared" si="275"/>
        <v>1023472658</v>
      </c>
      <c r="BL306" s="814">
        <f t="shared" si="275"/>
        <v>425372991</v>
      </c>
      <c r="BM306" s="814">
        <f t="shared" si="275"/>
        <v>87326255</v>
      </c>
      <c r="BN306" s="814">
        <f t="shared" si="275"/>
        <v>0</v>
      </c>
      <c r="BO306" s="814">
        <f t="shared" si="275"/>
        <v>0</v>
      </c>
      <c r="BP306" s="814">
        <f t="shared" si="275"/>
        <v>0</v>
      </c>
      <c r="BQ306" s="814">
        <f t="shared" si="275"/>
        <v>0</v>
      </c>
      <c r="BR306" s="814">
        <f t="shared" si="275"/>
        <v>0</v>
      </c>
      <c r="BS306" s="814">
        <f t="shared" si="275"/>
        <v>0</v>
      </c>
      <c r="BT306" s="814">
        <f t="shared" si="275"/>
        <v>0</v>
      </c>
      <c r="BU306" s="814">
        <f t="shared" si="275"/>
        <v>0</v>
      </c>
      <c r="BV306" s="814">
        <f t="shared" si="275"/>
        <v>0</v>
      </c>
      <c r="BW306" s="814">
        <f t="shared" si="275"/>
        <v>0</v>
      </c>
      <c r="BX306" s="814">
        <f t="shared" si="275"/>
        <v>0</v>
      </c>
      <c r="BY306" s="814">
        <f t="shared" si="275"/>
        <v>0</v>
      </c>
      <c r="BZ306" s="814">
        <f t="shared" ref="BZ306" si="276">BZ305</f>
        <v>1023472658</v>
      </c>
      <c r="CA306" s="814">
        <f t="shared" ref="CA306:CB306" si="277">CA305</f>
        <v>425372991</v>
      </c>
      <c r="CB306" s="814">
        <f t="shared" si="277"/>
        <v>87326255</v>
      </c>
    </row>
    <row r="307" spans="1:80" s="11" customFormat="1" x14ac:dyDescent="0.2">
      <c r="A307" s="91"/>
      <c r="B307" s="91"/>
      <c r="C307" s="92"/>
      <c r="D307" s="91"/>
      <c r="E307" s="92"/>
      <c r="F307" s="92"/>
      <c r="G307" s="91"/>
      <c r="H307" s="92"/>
      <c r="I307" s="91"/>
      <c r="J307" s="91"/>
      <c r="K307" s="294"/>
      <c r="L307" s="294"/>
      <c r="M307" s="294"/>
      <c r="N307" s="91"/>
      <c r="O307" s="500"/>
      <c r="P307" s="91"/>
      <c r="Q307" s="92"/>
      <c r="R307" s="606"/>
      <c r="S307" s="606"/>
      <c r="T307" s="606"/>
      <c r="U307" s="607"/>
      <c r="V307" s="607"/>
      <c r="W307" s="607"/>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6"/>
      <c r="AY307" s="607"/>
      <c r="AZ307" s="607"/>
      <c r="BA307" s="607"/>
      <c r="BB307" s="607"/>
      <c r="BC307" s="607"/>
      <c r="BD307" s="607"/>
      <c r="BE307" s="606"/>
      <c r="BF307" s="606"/>
      <c r="BG307" s="606"/>
      <c r="BH307" s="606"/>
      <c r="BI307" s="606"/>
      <c r="BJ307" s="606"/>
      <c r="BK307" s="608"/>
      <c r="BL307" s="608"/>
      <c r="BM307" s="608"/>
      <c r="BN307" s="606"/>
      <c r="BO307" s="606"/>
      <c r="BP307" s="606"/>
      <c r="BQ307" s="606"/>
      <c r="BR307" s="606"/>
      <c r="BS307" s="606"/>
      <c r="BT307" s="606"/>
      <c r="BU307" s="606"/>
      <c r="BV307" s="606"/>
      <c r="BW307" s="607"/>
      <c r="BX307" s="607"/>
      <c r="BY307" s="607"/>
      <c r="BZ307" s="606"/>
      <c r="CA307" s="606"/>
      <c r="CB307" s="606"/>
    </row>
    <row r="308" spans="1:80" s="459" customFormat="1" ht="21.75" customHeight="1" x14ac:dyDescent="0.2">
      <c r="A308" s="44">
        <v>2</v>
      </c>
      <c r="B308" s="45" t="s">
        <v>129</v>
      </c>
      <c r="C308" s="46"/>
      <c r="D308" s="45"/>
      <c r="E308" s="45"/>
      <c r="F308" s="45"/>
      <c r="G308" s="45"/>
      <c r="H308" s="46"/>
      <c r="I308" s="45"/>
      <c r="J308" s="45"/>
      <c r="K308" s="291"/>
      <c r="L308" s="291"/>
      <c r="M308" s="291"/>
      <c r="N308" s="45"/>
      <c r="O308" s="46"/>
      <c r="P308" s="45"/>
      <c r="Q308" s="45"/>
      <c r="R308" s="572"/>
      <c r="S308" s="572"/>
      <c r="T308" s="572"/>
      <c r="U308" s="572"/>
      <c r="V308" s="572"/>
      <c r="W308" s="572"/>
      <c r="X308" s="572"/>
      <c r="Y308" s="572"/>
      <c r="Z308" s="572"/>
      <c r="AA308" s="572"/>
      <c r="AB308" s="572"/>
      <c r="AC308" s="572"/>
      <c r="AD308" s="572"/>
      <c r="AE308" s="572"/>
      <c r="AF308" s="572"/>
      <c r="AG308" s="572"/>
      <c r="AH308" s="572"/>
      <c r="AI308" s="572"/>
      <c r="AJ308" s="572"/>
      <c r="AK308" s="572"/>
      <c r="AL308" s="572"/>
      <c r="AM308" s="572"/>
      <c r="AN308" s="572"/>
      <c r="AO308" s="572"/>
      <c r="AP308" s="572"/>
      <c r="AQ308" s="572"/>
      <c r="AR308" s="572"/>
      <c r="AS308" s="572"/>
      <c r="AT308" s="572"/>
      <c r="AU308" s="572"/>
      <c r="AV308" s="572"/>
      <c r="AW308" s="572"/>
      <c r="AX308" s="572"/>
      <c r="AY308" s="572"/>
      <c r="AZ308" s="572"/>
      <c r="BA308" s="572"/>
      <c r="BB308" s="572"/>
      <c r="BC308" s="572"/>
      <c r="BD308" s="572"/>
      <c r="BE308" s="572"/>
      <c r="BF308" s="572"/>
      <c r="BG308" s="572"/>
      <c r="BH308" s="572"/>
      <c r="BI308" s="572"/>
      <c r="BJ308" s="572"/>
      <c r="BK308" s="573"/>
      <c r="BL308" s="573"/>
      <c r="BM308" s="573"/>
      <c r="BN308" s="572"/>
      <c r="BO308" s="572"/>
      <c r="BP308" s="572"/>
      <c r="BQ308" s="572"/>
      <c r="BR308" s="572"/>
      <c r="BS308" s="572"/>
      <c r="BT308" s="572"/>
      <c r="BU308" s="572"/>
      <c r="BV308" s="572"/>
      <c r="BW308" s="572"/>
      <c r="BX308" s="572"/>
      <c r="BY308" s="572"/>
      <c r="BZ308" s="574"/>
      <c r="CA308" s="574"/>
      <c r="CB308" s="574"/>
    </row>
    <row r="309" spans="1:80" s="459" customFormat="1" ht="21.75" customHeight="1" x14ac:dyDescent="0.2">
      <c r="A309" s="96"/>
      <c r="B309" s="152">
        <v>2</v>
      </c>
      <c r="C309" s="49" t="s">
        <v>302</v>
      </c>
      <c r="D309" s="50"/>
      <c r="E309" s="50"/>
      <c r="F309" s="50"/>
      <c r="G309" s="50"/>
      <c r="H309" s="51"/>
      <c r="I309" s="50"/>
      <c r="J309" s="50"/>
      <c r="K309" s="284"/>
      <c r="L309" s="284"/>
      <c r="M309" s="284"/>
      <c r="N309" s="50"/>
      <c r="O309" s="51"/>
      <c r="P309" s="50"/>
      <c r="Q309" s="50"/>
      <c r="R309" s="550"/>
      <c r="S309" s="550"/>
      <c r="T309" s="550"/>
      <c r="U309" s="550"/>
      <c r="V309" s="550"/>
      <c r="W309" s="550"/>
      <c r="X309" s="550"/>
      <c r="Y309" s="550"/>
      <c r="Z309" s="550"/>
      <c r="AA309" s="550"/>
      <c r="AB309" s="550"/>
      <c r="AC309" s="550"/>
      <c r="AD309" s="550"/>
      <c r="AE309" s="550"/>
      <c r="AF309" s="550"/>
      <c r="AG309" s="550"/>
      <c r="AH309" s="550"/>
      <c r="AI309" s="550"/>
      <c r="AJ309" s="550"/>
      <c r="AK309" s="550"/>
      <c r="AL309" s="550"/>
      <c r="AM309" s="550"/>
      <c r="AN309" s="550"/>
      <c r="AO309" s="550"/>
      <c r="AP309" s="550"/>
      <c r="AQ309" s="550"/>
      <c r="AR309" s="550"/>
      <c r="AS309" s="550"/>
      <c r="AT309" s="550"/>
      <c r="AU309" s="550"/>
      <c r="AV309" s="550"/>
      <c r="AW309" s="550"/>
      <c r="AX309" s="550"/>
      <c r="AY309" s="550"/>
      <c r="AZ309" s="550"/>
      <c r="BA309" s="550"/>
      <c r="BB309" s="550"/>
      <c r="BC309" s="550"/>
      <c r="BD309" s="550"/>
      <c r="BE309" s="550"/>
      <c r="BF309" s="550"/>
      <c r="BG309" s="550"/>
      <c r="BH309" s="550"/>
      <c r="BI309" s="550"/>
      <c r="BJ309" s="550"/>
      <c r="BK309" s="551"/>
      <c r="BL309" s="551"/>
      <c r="BM309" s="551"/>
      <c r="BN309" s="550"/>
      <c r="BO309" s="550"/>
      <c r="BP309" s="550"/>
      <c r="BQ309" s="550"/>
      <c r="BR309" s="550"/>
      <c r="BS309" s="550"/>
      <c r="BT309" s="550"/>
      <c r="BU309" s="550"/>
      <c r="BV309" s="550"/>
      <c r="BW309" s="550"/>
      <c r="BX309" s="550"/>
      <c r="BY309" s="550"/>
      <c r="BZ309" s="555"/>
      <c r="CA309" s="555"/>
      <c r="CB309" s="555"/>
    </row>
    <row r="310" spans="1:80" s="459" customFormat="1" ht="21.75" customHeight="1" x14ac:dyDescent="0.2">
      <c r="A310" s="54"/>
      <c r="B310" s="96"/>
      <c r="C310" s="508"/>
      <c r="D310" s="516"/>
      <c r="E310" s="508"/>
      <c r="F310" s="508"/>
      <c r="G310" s="274">
        <v>4</v>
      </c>
      <c r="H310" s="99" t="s">
        <v>389</v>
      </c>
      <c r="I310" s="100"/>
      <c r="J310" s="100"/>
      <c r="K310" s="278"/>
      <c r="L310" s="278"/>
      <c r="M310" s="278"/>
      <c r="N310" s="100"/>
      <c r="O310" s="212"/>
      <c r="P310" s="100"/>
      <c r="Q310" s="100"/>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6"/>
      <c r="AY310" s="336"/>
      <c r="AZ310" s="336"/>
      <c r="BA310" s="336"/>
      <c r="BB310" s="336"/>
      <c r="BC310" s="336"/>
      <c r="BD310" s="336"/>
      <c r="BE310" s="336"/>
      <c r="BF310" s="336"/>
      <c r="BG310" s="336"/>
      <c r="BH310" s="336"/>
      <c r="BI310" s="336"/>
      <c r="BJ310" s="336"/>
      <c r="BK310" s="552"/>
      <c r="BL310" s="552"/>
      <c r="BM310" s="552"/>
      <c r="BN310" s="336"/>
      <c r="BO310" s="336"/>
      <c r="BP310" s="336"/>
      <c r="BQ310" s="336"/>
      <c r="BR310" s="336"/>
      <c r="BS310" s="336"/>
      <c r="BT310" s="336"/>
      <c r="BU310" s="336"/>
      <c r="BV310" s="336"/>
      <c r="BW310" s="336"/>
      <c r="BX310" s="336"/>
      <c r="BY310" s="336"/>
      <c r="BZ310" s="338"/>
      <c r="CA310" s="338"/>
      <c r="CB310" s="338"/>
    </row>
    <row r="311" spans="1:80" s="11" customFormat="1" ht="134.25" customHeight="1" x14ac:dyDescent="0.2">
      <c r="A311" s="54"/>
      <c r="B311" s="54"/>
      <c r="C311" s="510" t="s">
        <v>891</v>
      </c>
      <c r="D311" s="518" t="s">
        <v>390</v>
      </c>
      <c r="E311" s="510" t="s">
        <v>892</v>
      </c>
      <c r="F311" s="510" t="s">
        <v>893</v>
      </c>
      <c r="G311" s="56"/>
      <c r="H311" s="57">
        <v>21</v>
      </c>
      <c r="I311" s="56" t="s">
        <v>391</v>
      </c>
      <c r="J311" s="131">
        <v>20</v>
      </c>
      <c r="K311" s="207">
        <v>100</v>
      </c>
      <c r="L311" s="207">
        <v>12</v>
      </c>
      <c r="M311" s="850">
        <v>2017003630069</v>
      </c>
      <c r="N311" s="876" t="s">
        <v>100</v>
      </c>
      <c r="O311" s="856" t="s">
        <v>392</v>
      </c>
      <c r="P311" s="856" t="s">
        <v>393</v>
      </c>
      <c r="Q311" s="57" t="s">
        <v>67</v>
      </c>
      <c r="R311" s="539">
        <v>0</v>
      </c>
      <c r="S311" s="539"/>
      <c r="T311" s="539"/>
      <c r="U311" s="539">
        <v>0</v>
      </c>
      <c r="V311" s="539"/>
      <c r="W311" s="539"/>
      <c r="X311" s="539">
        <v>0</v>
      </c>
      <c r="Y311" s="539"/>
      <c r="Z311" s="539"/>
      <c r="AA311" s="539">
        <v>0</v>
      </c>
      <c r="AB311" s="539"/>
      <c r="AC311" s="539"/>
      <c r="AD311" s="539">
        <v>0</v>
      </c>
      <c r="AE311" s="539"/>
      <c r="AF311" s="539"/>
      <c r="AG311" s="539">
        <v>0</v>
      </c>
      <c r="AH311" s="539"/>
      <c r="AI311" s="539"/>
      <c r="AJ311" s="539">
        <v>0</v>
      </c>
      <c r="AK311" s="539"/>
      <c r="AL311" s="539"/>
      <c r="AM311" s="539"/>
      <c r="AN311" s="539"/>
      <c r="AO311" s="539"/>
      <c r="AP311" s="539"/>
      <c r="AQ311" s="539"/>
      <c r="AR311" s="539"/>
      <c r="AS311" s="539">
        <v>0</v>
      </c>
      <c r="AT311" s="539"/>
      <c r="AU311" s="539"/>
      <c r="AV311" s="539">
        <v>0</v>
      </c>
      <c r="AW311" s="539"/>
      <c r="AX311" s="539"/>
      <c r="AY311" s="539"/>
      <c r="AZ311" s="539"/>
      <c r="BA311" s="539"/>
      <c r="BB311" s="539"/>
      <c r="BC311" s="539"/>
      <c r="BD311" s="539"/>
      <c r="BE311" s="539">
        <v>0</v>
      </c>
      <c r="BF311" s="539"/>
      <c r="BG311" s="539"/>
      <c r="BH311" s="539">
        <v>0</v>
      </c>
      <c r="BI311" s="541"/>
      <c r="BJ311" s="541"/>
      <c r="BK311" s="542">
        <f>28000000+16000000+20000000</f>
        <v>64000000</v>
      </c>
      <c r="BL311" s="542">
        <v>43870000</v>
      </c>
      <c r="BM311" s="542">
        <v>25510000</v>
      </c>
      <c r="BN311" s="542"/>
      <c r="BO311" s="542"/>
      <c r="BP311" s="542"/>
      <c r="BQ311" s="539">
        <v>0</v>
      </c>
      <c r="BR311" s="541"/>
      <c r="BS311" s="541"/>
      <c r="BT311" s="541"/>
      <c r="BU311" s="541"/>
      <c r="BV311" s="541"/>
      <c r="BW311" s="541"/>
      <c r="BX311" s="541"/>
      <c r="BY311" s="541"/>
      <c r="BZ311" s="539">
        <f t="shared" ref="BZ311:BZ314" si="278">R311+U311+X311+AA311+AD311+AG311+AJ311+AM311+AP311+AS311+AV311+AY311+BB311+BE311+BH311+BK311+BN311+BQ311+BT311+BW311</f>
        <v>64000000</v>
      </c>
      <c r="CA311" s="539">
        <f t="shared" ref="CA311:CA314" si="279">S311+V311+Y311+AB311+AE311+AH311+AK311+AN311+AQ311+AT311+AW311+AZ311+BC311+BF311+BI311+BL311+BO311+BR311+BU311+BX311</f>
        <v>43870000</v>
      </c>
      <c r="CB311" s="539">
        <f t="shared" ref="CB311:CB314" si="280">T311+W311+Z311+AC311+AF311+AI311+AL311+AO311+AR311+AU311+AX311+BA311+BD311+BG311+BJ311+BM311+BP311+BS311+BV311+BY311</f>
        <v>25510000</v>
      </c>
    </row>
    <row r="312" spans="1:80" s="11" customFormat="1" ht="131.25" customHeight="1" x14ac:dyDescent="0.2">
      <c r="A312" s="54"/>
      <c r="B312" s="54"/>
      <c r="C312" s="55" t="s">
        <v>891</v>
      </c>
      <c r="D312" s="56" t="s">
        <v>390</v>
      </c>
      <c r="E312" s="57" t="s">
        <v>892</v>
      </c>
      <c r="F312" s="57" t="s">
        <v>893</v>
      </c>
      <c r="G312" s="56"/>
      <c r="H312" s="55">
        <v>22</v>
      </c>
      <c r="I312" s="56" t="s">
        <v>394</v>
      </c>
      <c r="J312" s="131">
        <v>0</v>
      </c>
      <c r="K312" s="207">
        <v>2</v>
      </c>
      <c r="L312" s="489">
        <v>0.5</v>
      </c>
      <c r="M312" s="851"/>
      <c r="N312" s="877"/>
      <c r="O312" s="857"/>
      <c r="P312" s="857"/>
      <c r="Q312" s="57" t="s">
        <v>67</v>
      </c>
      <c r="R312" s="539"/>
      <c r="S312" s="539"/>
      <c r="T312" s="539"/>
      <c r="U312" s="539"/>
      <c r="V312" s="539"/>
      <c r="W312" s="539"/>
      <c r="X312" s="539"/>
      <c r="Y312" s="539"/>
      <c r="Z312" s="539"/>
      <c r="AA312" s="539"/>
      <c r="AB312" s="539"/>
      <c r="AC312" s="539"/>
      <c r="AD312" s="539"/>
      <c r="AE312" s="539"/>
      <c r="AF312" s="539"/>
      <c r="AG312" s="539"/>
      <c r="AH312" s="539"/>
      <c r="AI312" s="539"/>
      <c r="AJ312" s="539"/>
      <c r="AK312" s="539"/>
      <c r="AL312" s="539"/>
      <c r="AM312" s="539"/>
      <c r="AN312" s="539"/>
      <c r="AO312" s="539"/>
      <c r="AP312" s="539"/>
      <c r="AQ312" s="539"/>
      <c r="AR312" s="539"/>
      <c r="AS312" s="539"/>
      <c r="AT312" s="539"/>
      <c r="AU312" s="539"/>
      <c r="AV312" s="539"/>
      <c r="AW312" s="539"/>
      <c r="AX312" s="539"/>
      <c r="AY312" s="539"/>
      <c r="AZ312" s="539"/>
      <c r="BA312" s="539"/>
      <c r="BB312" s="539"/>
      <c r="BC312" s="539"/>
      <c r="BD312" s="539"/>
      <c r="BE312" s="539"/>
      <c r="BF312" s="539"/>
      <c r="BG312" s="539"/>
      <c r="BH312" s="539"/>
      <c r="BI312" s="541"/>
      <c r="BJ312" s="541"/>
      <c r="BK312" s="542">
        <v>28000000</v>
      </c>
      <c r="BL312" s="542">
        <v>23020000</v>
      </c>
      <c r="BM312" s="542">
        <v>15850000</v>
      </c>
      <c r="BN312" s="542"/>
      <c r="BO312" s="542"/>
      <c r="BP312" s="542"/>
      <c r="BQ312" s="539"/>
      <c r="BR312" s="541"/>
      <c r="BS312" s="541"/>
      <c r="BT312" s="541"/>
      <c r="BU312" s="541"/>
      <c r="BV312" s="541"/>
      <c r="BW312" s="541"/>
      <c r="BX312" s="541"/>
      <c r="BY312" s="541"/>
      <c r="BZ312" s="539">
        <f t="shared" si="278"/>
        <v>28000000</v>
      </c>
      <c r="CA312" s="539">
        <f t="shared" si="279"/>
        <v>23020000</v>
      </c>
      <c r="CB312" s="539">
        <f t="shared" si="280"/>
        <v>15850000</v>
      </c>
    </row>
    <row r="313" spans="1:80" s="11" customFormat="1" ht="131.25" customHeight="1" x14ac:dyDescent="0.2">
      <c r="A313" s="54"/>
      <c r="B313" s="54"/>
      <c r="C313" s="55" t="s">
        <v>891</v>
      </c>
      <c r="D313" s="56" t="s">
        <v>390</v>
      </c>
      <c r="E313" s="57" t="s">
        <v>892</v>
      </c>
      <c r="F313" s="57" t="s">
        <v>893</v>
      </c>
      <c r="G313" s="56"/>
      <c r="H313" s="55">
        <v>23</v>
      </c>
      <c r="I313" s="56" t="s">
        <v>395</v>
      </c>
      <c r="J313" s="131">
        <v>0</v>
      </c>
      <c r="K313" s="207">
        <v>1</v>
      </c>
      <c r="L313" s="489">
        <v>0.5</v>
      </c>
      <c r="M313" s="851"/>
      <c r="N313" s="877"/>
      <c r="O313" s="857"/>
      <c r="P313" s="857"/>
      <c r="Q313" s="57" t="s">
        <v>51</v>
      </c>
      <c r="R313" s="539"/>
      <c r="S313" s="539"/>
      <c r="T313" s="539"/>
      <c r="U313" s="539"/>
      <c r="V313" s="539"/>
      <c r="W313" s="539"/>
      <c r="X313" s="539"/>
      <c r="Y313" s="539"/>
      <c r="Z313" s="539"/>
      <c r="AA313" s="539"/>
      <c r="AB313" s="539"/>
      <c r="AC313" s="539"/>
      <c r="AD313" s="539"/>
      <c r="AE313" s="539"/>
      <c r="AF313" s="539"/>
      <c r="AG313" s="539"/>
      <c r="AH313" s="539"/>
      <c r="AI313" s="539"/>
      <c r="AJ313" s="539"/>
      <c r="AK313" s="539"/>
      <c r="AL313" s="539"/>
      <c r="AM313" s="539"/>
      <c r="AN313" s="539"/>
      <c r="AO313" s="539"/>
      <c r="AP313" s="539"/>
      <c r="AQ313" s="539"/>
      <c r="AR313" s="539"/>
      <c r="AS313" s="539"/>
      <c r="AT313" s="539"/>
      <c r="AU313" s="539"/>
      <c r="AV313" s="539"/>
      <c r="AW313" s="539"/>
      <c r="AX313" s="539"/>
      <c r="AY313" s="539"/>
      <c r="AZ313" s="539"/>
      <c r="BA313" s="539"/>
      <c r="BB313" s="539"/>
      <c r="BC313" s="539"/>
      <c r="BD313" s="539"/>
      <c r="BE313" s="539"/>
      <c r="BF313" s="539"/>
      <c r="BG313" s="539"/>
      <c r="BH313" s="539"/>
      <c r="BI313" s="541"/>
      <c r="BJ313" s="541"/>
      <c r="BK313" s="542">
        <f>114000000+30000000</f>
        <v>144000000</v>
      </c>
      <c r="BL313" s="542">
        <v>108090000</v>
      </c>
      <c r="BM313" s="542">
        <v>18090000</v>
      </c>
      <c r="BN313" s="542"/>
      <c r="BO313" s="542"/>
      <c r="BP313" s="542"/>
      <c r="BQ313" s="539"/>
      <c r="BR313" s="541"/>
      <c r="BS313" s="541"/>
      <c r="BT313" s="541"/>
      <c r="BU313" s="541"/>
      <c r="BV313" s="541"/>
      <c r="BW313" s="541"/>
      <c r="BX313" s="541"/>
      <c r="BY313" s="541"/>
      <c r="BZ313" s="539">
        <f t="shared" si="278"/>
        <v>144000000</v>
      </c>
      <c r="CA313" s="539">
        <f t="shared" si="279"/>
        <v>108090000</v>
      </c>
      <c r="CB313" s="539">
        <f t="shared" si="280"/>
        <v>18090000</v>
      </c>
    </row>
    <row r="314" spans="1:80" s="11" customFormat="1" ht="128.25" customHeight="1" x14ac:dyDescent="0.2">
      <c r="A314" s="54"/>
      <c r="B314" s="54"/>
      <c r="C314" s="508" t="s">
        <v>891</v>
      </c>
      <c r="D314" s="516" t="s">
        <v>390</v>
      </c>
      <c r="E314" s="508" t="s">
        <v>892</v>
      </c>
      <c r="F314" s="508" t="s">
        <v>893</v>
      </c>
      <c r="G314" s="56"/>
      <c r="H314" s="55">
        <v>24</v>
      </c>
      <c r="I314" s="56" t="s">
        <v>396</v>
      </c>
      <c r="J314" s="131">
        <v>0</v>
      </c>
      <c r="K314" s="207">
        <v>1</v>
      </c>
      <c r="L314" s="275">
        <v>0.25</v>
      </c>
      <c r="M314" s="852"/>
      <c r="N314" s="878"/>
      <c r="O314" s="858"/>
      <c r="P314" s="858"/>
      <c r="Q314" s="57" t="s">
        <v>67</v>
      </c>
      <c r="R314" s="539"/>
      <c r="S314" s="539"/>
      <c r="T314" s="539"/>
      <c r="U314" s="539"/>
      <c r="V314" s="539"/>
      <c r="W314" s="539"/>
      <c r="X314" s="539"/>
      <c r="Y314" s="539"/>
      <c r="Z314" s="539"/>
      <c r="AA314" s="539"/>
      <c r="AB314" s="539"/>
      <c r="AC314" s="539"/>
      <c r="AD314" s="539"/>
      <c r="AE314" s="539"/>
      <c r="AF314" s="539"/>
      <c r="AG314" s="539"/>
      <c r="AH314" s="539"/>
      <c r="AI314" s="539"/>
      <c r="AJ314" s="539"/>
      <c r="AK314" s="539"/>
      <c r="AL314" s="539"/>
      <c r="AM314" s="539"/>
      <c r="AN314" s="539"/>
      <c r="AO314" s="539"/>
      <c r="AP314" s="539"/>
      <c r="AQ314" s="539"/>
      <c r="AR314" s="539"/>
      <c r="AS314" s="539"/>
      <c r="AT314" s="539"/>
      <c r="AU314" s="539"/>
      <c r="AV314" s="539"/>
      <c r="AW314" s="539"/>
      <c r="AX314" s="539"/>
      <c r="AY314" s="539"/>
      <c r="AZ314" s="539"/>
      <c r="BA314" s="539"/>
      <c r="BB314" s="539"/>
      <c r="BC314" s="539"/>
      <c r="BD314" s="539"/>
      <c r="BE314" s="539"/>
      <c r="BF314" s="539"/>
      <c r="BG314" s="539"/>
      <c r="BH314" s="539"/>
      <c r="BI314" s="541"/>
      <c r="BJ314" s="541"/>
      <c r="BK314" s="542">
        <f>29000000+15000000+50000000</f>
        <v>94000000</v>
      </c>
      <c r="BL314" s="542">
        <v>37000000</v>
      </c>
      <c r="BM314" s="542">
        <v>17170000</v>
      </c>
      <c r="BN314" s="542"/>
      <c r="BO314" s="542"/>
      <c r="BP314" s="542"/>
      <c r="BQ314" s="539"/>
      <c r="BR314" s="541"/>
      <c r="BS314" s="541"/>
      <c r="BT314" s="541"/>
      <c r="BU314" s="541"/>
      <c r="BV314" s="541"/>
      <c r="BW314" s="541"/>
      <c r="BX314" s="541"/>
      <c r="BY314" s="541"/>
      <c r="BZ314" s="539">
        <f t="shared" si="278"/>
        <v>94000000</v>
      </c>
      <c r="CA314" s="539">
        <f t="shared" si="279"/>
        <v>37000000</v>
      </c>
      <c r="CB314" s="539">
        <f t="shared" si="280"/>
        <v>17170000</v>
      </c>
    </row>
    <row r="315" spans="1:80" s="11" customFormat="1" ht="21" customHeight="1" x14ac:dyDescent="0.2">
      <c r="A315" s="54"/>
      <c r="B315" s="54"/>
      <c r="C315" s="510"/>
      <c r="D315" s="518"/>
      <c r="E315" s="510"/>
      <c r="F315" s="510"/>
      <c r="G315" s="299"/>
      <c r="H315" s="299"/>
      <c r="I315" s="191"/>
      <c r="J315" s="192"/>
      <c r="K315" s="300"/>
      <c r="L315" s="301"/>
      <c r="M315" s="301"/>
      <c r="N315" s="302"/>
      <c r="O315" s="203"/>
      <c r="P315" s="203"/>
      <c r="Q315" s="190"/>
      <c r="R315" s="575">
        <f t="shared" ref="R315:BY315" si="281">SUM(R311:R314)</f>
        <v>0</v>
      </c>
      <c r="S315" s="575">
        <f t="shared" si="281"/>
        <v>0</v>
      </c>
      <c r="T315" s="575">
        <f t="shared" si="281"/>
        <v>0</v>
      </c>
      <c r="U315" s="575">
        <f t="shared" si="281"/>
        <v>0</v>
      </c>
      <c r="V315" s="575">
        <f t="shared" si="281"/>
        <v>0</v>
      </c>
      <c r="W315" s="575">
        <f t="shared" si="281"/>
        <v>0</v>
      </c>
      <c r="X315" s="575">
        <f t="shared" si="281"/>
        <v>0</v>
      </c>
      <c r="Y315" s="575">
        <f t="shared" si="281"/>
        <v>0</v>
      </c>
      <c r="Z315" s="575">
        <f t="shared" si="281"/>
        <v>0</v>
      </c>
      <c r="AA315" s="575">
        <f t="shared" si="281"/>
        <v>0</v>
      </c>
      <c r="AB315" s="575">
        <f t="shared" si="281"/>
        <v>0</v>
      </c>
      <c r="AC315" s="575">
        <f t="shared" si="281"/>
        <v>0</v>
      </c>
      <c r="AD315" s="575">
        <f t="shared" si="281"/>
        <v>0</v>
      </c>
      <c r="AE315" s="575">
        <f t="shared" si="281"/>
        <v>0</v>
      </c>
      <c r="AF315" s="575">
        <f t="shared" si="281"/>
        <v>0</v>
      </c>
      <c r="AG315" s="575">
        <f t="shared" si="281"/>
        <v>0</v>
      </c>
      <c r="AH315" s="575">
        <f t="shared" si="281"/>
        <v>0</v>
      </c>
      <c r="AI315" s="575">
        <f t="shared" si="281"/>
        <v>0</v>
      </c>
      <c r="AJ315" s="575">
        <f t="shared" si="281"/>
        <v>0</v>
      </c>
      <c r="AK315" s="575">
        <f t="shared" si="281"/>
        <v>0</v>
      </c>
      <c r="AL315" s="575">
        <f t="shared" si="281"/>
        <v>0</v>
      </c>
      <c r="AM315" s="575">
        <f t="shared" si="281"/>
        <v>0</v>
      </c>
      <c r="AN315" s="575">
        <f t="shared" si="281"/>
        <v>0</v>
      </c>
      <c r="AO315" s="575">
        <f t="shared" si="281"/>
        <v>0</v>
      </c>
      <c r="AP315" s="575">
        <f t="shared" si="281"/>
        <v>0</v>
      </c>
      <c r="AQ315" s="575">
        <f t="shared" si="281"/>
        <v>0</v>
      </c>
      <c r="AR315" s="575">
        <f t="shared" si="281"/>
        <v>0</v>
      </c>
      <c r="AS315" s="575">
        <f t="shared" si="281"/>
        <v>0</v>
      </c>
      <c r="AT315" s="575">
        <f t="shared" si="281"/>
        <v>0</v>
      </c>
      <c r="AU315" s="575">
        <f t="shared" si="281"/>
        <v>0</v>
      </c>
      <c r="AV315" s="575">
        <f t="shared" si="281"/>
        <v>0</v>
      </c>
      <c r="AW315" s="575">
        <f t="shared" si="281"/>
        <v>0</v>
      </c>
      <c r="AX315" s="575">
        <f t="shared" si="281"/>
        <v>0</v>
      </c>
      <c r="AY315" s="575">
        <f t="shared" si="281"/>
        <v>0</v>
      </c>
      <c r="AZ315" s="575">
        <f t="shared" si="281"/>
        <v>0</v>
      </c>
      <c r="BA315" s="575">
        <f t="shared" si="281"/>
        <v>0</v>
      </c>
      <c r="BB315" s="575">
        <f t="shared" si="281"/>
        <v>0</v>
      </c>
      <c r="BC315" s="575">
        <f t="shared" si="281"/>
        <v>0</v>
      </c>
      <c r="BD315" s="575">
        <f t="shared" si="281"/>
        <v>0</v>
      </c>
      <c r="BE315" s="575">
        <f t="shared" si="281"/>
        <v>0</v>
      </c>
      <c r="BF315" s="575">
        <f t="shared" si="281"/>
        <v>0</v>
      </c>
      <c r="BG315" s="575">
        <f t="shared" si="281"/>
        <v>0</v>
      </c>
      <c r="BH315" s="575">
        <f t="shared" si="281"/>
        <v>0</v>
      </c>
      <c r="BI315" s="575">
        <f t="shared" si="281"/>
        <v>0</v>
      </c>
      <c r="BJ315" s="575">
        <f t="shared" si="281"/>
        <v>0</v>
      </c>
      <c r="BK315" s="575">
        <f t="shared" si="281"/>
        <v>330000000</v>
      </c>
      <c r="BL315" s="575">
        <f t="shared" si="281"/>
        <v>211980000</v>
      </c>
      <c r="BM315" s="575">
        <f t="shared" si="281"/>
        <v>76620000</v>
      </c>
      <c r="BN315" s="575">
        <f t="shared" si="281"/>
        <v>0</v>
      </c>
      <c r="BO315" s="575">
        <f t="shared" si="281"/>
        <v>0</v>
      </c>
      <c r="BP315" s="575">
        <f t="shared" si="281"/>
        <v>0</v>
      </c>
      <c r="BQ315" s="575">
        <f t="shared" si="281"/>
        <v>0</v>
      </c>
      <c r="BR315" s="575">
        <f t="shared" si="281"/>
        <v>0</v>
      </c>
      <c r="BS315" s="575">
        <f t="shared" si="281"/>
        <v>0</v>
      </c>
      <c r="BT315" s="575">
        <f t="shared" si="281"/>
        <v>0</v>
      </c>
      <c r="BU315" s="575">
        <f t="shared" si="281"/>
        <v>0</v>
      </c>
      <c r="BV315" s="575">
        <f t="shared" si="281"/>
        <v>0</v>
      </c>
      <c r="BW315" s="575">
        <f t="shared" si="281"/>
        <v>0</v>
      </c>
      <c r="BX315" s="575">
        <f t="shared" si="281"/>
        <v>0</v>
      </c>
      <c r="BY315" s="575">
        <f t="shared" si="281"/>
        <v>0</v>
      </c>
      <c r="BZ315" s="575">
        <f t="shared" ref="BZ315" si="282">SUM(BZ311:BZ314)</f>
        <v>330000000</v>
      </c>
      <c r="CA315" s="575">
        <f t="shared" ref="CA315:CB315" si="283">SUM(CA311:CA314)</f>
        <v>211980000</v>
      </c>
      <c r="CB315" s="575">
        <f t="shared" si="283"/>
        <v>76620000</v>
      </c>
    </row>
    <row r="316" spans="1:80" s="11" customFormat="1" ht="21" customHeight="1" x14ac:dyDescent="0.2">
      <c r="A316" s="54"/>
      <c r="B316" s="54"/>
      <c r="C316" s="55"/>
      <c r="D316" s="56"/>
      <c r="E316" s="57"/>
      <c r="F316" s="57"/>
      <c r="G316" s="71"/>
      <c r="H316" s="241"/>
      <c r="I316" s="56"/>
      <c r="J316" s="131"/>
      <c r="K316" s="275"/>
      <c r="L316" s="303"/>
      <c r="M316" s="303"/>
      <c r="N316" s="175"/>
      <c r="O316" s="496"/>
      <c r="P316" s="29"/>
      <c r="Q316" s="57"/>
      <c r="R316" s="539"/>
      <c r="S316" s="539"/>
      <c r="T316" s="539"/>
      <c r="U316" s="566"/>
      <c r="V316" s="566"/>
      <c r="W316" s="566"/>
      <c r="X316" s="539"/>
      <c r="Y316" s="539"/>
      <c r="Z316" s="539"/>
      <c r="AA316" s="539"/>
      <c r="AB316" s="539"/>
      <c r="AC316" s="539"/>
      <c r="AD316" s="539"/>
      <c r="AE316" s="539"/>
      <c r="AF316" s="539"/>
      <c r="AG316" s="539"/>
      <c r="AH316" s="539"/>
      <c r="AI316" s="539"/>
      <c r="AJ316" s="539"/>
      <c r="AK316" s="539"/>
      <c r="AL316" s="539"/>
      <c r="AM316" s="539"/>
      <c r="AN316" s="539"/>
      <c r="AO316" s="539"/>
      <c r="AP316" s="539"/>
      <c r="AQ316" s="539"/>
      <c r="AR316" s="539"/>
      <c r="AS316" s="539"/>
      <c r="AT316" s="539"/>
      <c r="AU316" s="539"/>
      <c r="AV316" s="539"/>
      <c r="AW316" s="539"/>
      <c r="AX316" s="539"/>
      <c r="AY316" s="539"/>
      <c r="AZ316" s="539"/>
      <c r="BA316" s="539"/>
      <c r="BB316" s="539"/>
      <c r="BC316" s="539"/>
      <c r="BD316" s="539"/>
      <c r="BE316" s="539"/>
      <c r="BF316" s="539"/>
      <c r="BG316" s="539"/>
      <c r="BH316" s="539"/>
      <c r="BI316" s="541"/>
      <c r="BJ316" s="541"/>
      <c r="BK316" s="542" t="s">
        <v>62</v>
      </c>
      <c r="BL316" s="542"/>
      <c r="BM316" s="542"/>
      <c r="BN316" s="542"/>
      <c r="BO316" s="542"/>
      <c r="BP316" s="542"/>
      <c r="BQ316" s="541"/>
      <c r="BR316" s="541"/>
      <c r="BS316" s="541"/>
      <c r="BT316" s="541"/>
      <c r="BU316" s="541"/>
      <c r="BV316" s="541"/>
      <c r="BW316" s="541"/>
      <c r="BX316" s="541"/>
      <c r="BY316" s="541"/>
      <c r="BZ316" s="541" t="s">
        <v>62</v>
      </c>
      <c r="CA316" s="541" t="s">
        <v>62</v>
      </c>
      <c r="CB316" s="541" t="s">
        <v>62</v>
      </c>
    </row>
    <row r="317" spans="1:80" s="11" customFormat="1" ht="23.25" customHeight="1" x14ac:dyDescent="0.2">
      <c r="A317" s="54"/>
      <c r="B317" s="54"/>
      <c r="C317" s="508"/>
      <c r="D317" s="516"/>
      <c r="E317" s="508"/>
      <c r="F317" s="508"/>
      <c r="G317" s="299">
        <v>5</v>
      </c>
      <c r="H317" s="304" t="s">
        <v>397</v>
      </c>
      <c r="I317" s="191"/>
      <c r="J317" s="192"/>
      <c r="K317" s="300"/>
      <c r="L317" s="300"/>
      <c r="M317" s="300"/>
      <c r="N317" s="192"/>
      <c r="O317" s="190"/>
      <c r="P317" s="190"/>
      <c r="Q317" s="190"/>
      <c r="R317" s="575"/>
      <c r="S317" s="575"/>
      <c r="T317" s="575"/>
      <c r="U317" s="575"/>
      <c r="V317" s="575"/>
      <c r="W317" s="575"/>
      <c r="X317" s="575"/>
      <c r="Y317" s="575"/>
      <c r="Z317" s="575"/>
      <c r="AA317" s="575"/>
      <c r="AB317" s="575"/>
      <c r="AC317" s="575"/>
      <c r="AD317" s="575"/>
      <c r="AE317" s="575"/>
      <c r="AF317" s="575"/>
      <c r="AG317" s="575"/>
      <c r="AH317" s="575"/>
      <c r="AI317" s="575"/>
      <c r="AJ317" s="575"/>
      <c r="AK317" s="575"/>
      <c r="AL317" s="575"/>
      <c r="AM317" s="575"/>
      <c r="AN317" s="575"/>
      <c r="AO317" s="575"/>
      <c r="AP317" s="575"/>
      <c r="AQ317" s="575"/>
      <c r="AR317" s="575"/>
      <c r="AS317" s="575"/>
      <c r="AT317" s="575"/>
      <c r="AU317" s="575"/>
      <c r="AV317" s="575"/>
      <c r="AW317" s="575"/>
      <c r="AX317" s="575"/>
      <c r="AY317" s="575"/>
      <c r="AZ317" s="575"/>
      <c r="BA317" s="575"/>
      <c r="BB317" s="575"/>
      <c r="BC317" s="575"/>
      <c r="BD317" s="575"/>
      <c r="BE317" s="575"/>
      <c r="BF317" s="575"/>
      <c r="BG317" s="575"/>
      <c r="BH317" s="575"/>
      <c r="BI317" s="575"/>
      <c r="BJ317" s="575"/>
      <c r="BK317" s="611"/>
      <c r="BL317" s="611"/>
      <c r="BM317" s="611"/>
      <c r="BN317" s="611"/>
      <c r="BO317" s="611"/>
      <c r="BP317" s="611"/>
      <c r="BQ317" s="611">
        <f>SUM(BQ311:BQ314)</f>
        <v>0</v>
      </c>
      <c r="BR317" s="611"/>
      <c r="BS317" s="611"/>
      <c r="BT317" s="611"/>
      <c r="BU317" s="611"/>
      <c r="BV317" s="611"/>
      <c r="BW317" s="611"/>
      <c r="BX317" s="611"/>
      <c r="BY317" s="611"/>
      <c r="BZ317" s="611"/>
      <c r="CA317" s="611"/>
      <c r="CB317" s="611"/>
    </row>
    <row r="318" spans="1:80" s="11" customFormat="1" ht="129" customHeight="1" x14ac:dyDescent="0.2">
      <c r="A318" s="54"/>
      <c r="B318" s="54"/>
      <c r="C318" s="510" t="s">
        <v>891</v>
      </c>
      <c r="D318" s="518" t="s">
        <v>390</v>
      </c>
      <c r="E318" s="510" t="s">
        <v>892</v>
      </c>
      <c r="F318" s="510" t="s">
        <v>893</v>
      </c>
      <c r="G318" s="173"/>
      <c r="H318" s="57">
        <v>25</v>
      </c>
      <c r="I318" s="56" t="s">
        <v>398</v>
      </c>
      <c r="J318" s="131" t="s">
        <v>42</v>
      </c>
      <c r="K318" s="207">
        <v>2</v>
      </c>
      <c r="L318" s="275">
        <v>0.25</v>
      </c>
      <c r="M318" s="850">
        <v>2017003630061</v>
      </c>
      <c r="N318" s="876" t="s">
        <v>100</v>
      </c>
      <c r="O318" s="856" t="s">
        <v>399</v>
      </c>
      <c r="P318" s="856" t="s">
        <v>400</v>
      </c>
      <c r="Q318" s="57" t="s">
        <v>67</v>
      </c>
      <c r="R318" s="539"/>
      <c r="S318" s="539"/>
      <c r="T318" s="539"/>
      <c r="U318" s="539"/>
      <c r="V318" s="539"/>
      <c r="W318" s="539"/>
      <c r="X318" s="539"/>
      <c r="Y318" s="539"/>
      <c r="Z318" s="539"/>
      <c r="AA318" s="539"/>
      <c r="AB318" s="539"/>
      <c r="AC318" s="539"/>
      <c r="AD318" s="539"/>
      <c r="AE318" s="539"/>
      <c r="AF318" s="539"/>
      <c r="AG318" s="539"/>
      <c r="AH318" s="539"/>
      <c r="AI318" s="539"/>
      <c r="AJ318" s="539"/>
      <c r="AK318" s="539"/>
      <c r="AL318" s="539"/>
      <c r="AM318" s="539"/>
      <c r="AN318" s="539"/>
      <c r="AO318" s="539"/>
      <c r="AP318" s="539"/>
      <c r="AQ318" s="539"/>
      <c r="AR318" s="539"/>
      <c r="AS318" s="539"/>
      <c r="AT318" s="539"/>
      <c r="AU318" s="539"/>
      <c r="AV318" s="539"/>
      <c r="AW318" s="539"/>
      <c r="AX318" s="539"/>
      <c r="AY318" s="539"/>
      <c r="AZ318" s="539"/>
      <c r="BA318" s="539"/>
      <c r="BB318" s="539"/>
      <c r="BC318" s="539"/>
      <c r="BD318" s="539"/>
      <c r="BE318" s="539"/>
      <c r="BF318" s="539"/>
      <c r="BG318" s="539"/>
      <c r="BH318" s="539"/>
      <c r="BI318" s="541"/>
      <c r="BJ318" s="541"/>
      <c r="BK318" s="542">
        <v>150000000</v>
      </c>
      <c r="BL318" s="542">
        <v>131500000</v>
      </c>
      <c r="BM318" s="542">
        <v>25970000</v>
      </c>
      <c r="BN318" s="542"/>
      <c r="BO318" s="542"/>
      <c r="BP318" s="542"/>
      <c r="BQ318" s="539"/>
      <c r="BR318" s="541"/>
      <c r="BS318" s="541"/>
      <c r="BT318" s="541">
        <v>600000000</v>
      </c>
      <c r="BU318" s="541"/>
      <c r="BV318" s="541"/>
      <c r="BW318" s="541"/>
      <c r="BX318" s="541"/>
      <c r="BY318" s="541"/>
      <c r="BZ318" s="539">
        <f t="shared" ref="BZ318:BZ323" si="284">R318+U318+X318+AA318+AD318+AG318+AJ318+AM318+AP318+AS318+AV318+AY318+BB318+BE318+BH318+BK318+BN318+BQ318+BT318+BW318</f>
        <v>750000000</v>
      </c>
      <c r="CA318" s="539">
        <f t="shared" ref="CA318:CA323" si="285">S318+V318+Y318+AB318+AE318+AH318+AK318+AN318+AQ318+AT318+AW318+AZ318+BC318+BF318+BI318+BL318+BO318+BR318+BU318+BX318</f>
        <v>131500000</v>
      </c>
      <c r="CB318" s="539">
        <f t="shared" ref="CB318:CB323" si="286">T318+W318+Z318+AC318+AF318+AI318+AL318+AO318+AR318+AU318+AX318+BA318+BD318+BG318+BJ318+BM318+BP318+BS318+BV318+BY318</f>
        <v>25970000</v>
      </c>
    </row>
    <row r="319" spans="1:80" s="11" customFormat="1" ht="135" customHeight="1" x14ac:dyDescent="0.2">
      <c r="A319" s="54"/>
      <c r="B319" s="54"/>
      <c r="C319" s="55" t="s">
        <v>891</v>
      </c>
      <c r="D319" s="56" t="s">
        <v>390</v>
      </c>
      <c r="E319" s="57" t="s">
        <v>892</v>
      </c>
      <c r="F319" s="57" t="s">
        <v>893</v>
      </c>
      <c r="G319" s="173"/>
      <c r="H319" s="57">
        <v>26</v>
      </c>
      <c r="I319" s="56" t="s">
        <v>401</v>
      </c>
      <c r="J319" s="131" t="s">
        <v>42</v>
      </c>
      <c r="K319" s="207">
        <v>2</v>
      </c>
      <c r="L319" s="489">
        <v>0.4</v>
      </c>
      <c r="M319" s="851"/>
      <c r="N319" s="877"/>
      <c r="O319" s="857"/>
      <c r="P319" s="857"/>
      <c r="Q319" s="57" t="s">
        <v>67</v>
      </c>
      <c r="R319" s="539"/>
      <c r="S319" s="539"/>
      <c r="T319" s="539"/>
      <c r="U319" s="539"/>
      <c r="V319" s="539"/>
      <c r="W319" s="539"/>
      <c r="X319" s="539"/>
      <c r="Y319" s="539"/>
      <c r="Z319" s="539"/>
      <c r="AA319" s="539"/>
      <c r="AB319" s="539"/>
      <c r="AC319" s="539"/>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39"/>
      <c r="AY319" s="539"/>
      <c r="AZ319" s="539"/>
      <c r="BA319" s="539"/>
      <c r="BB319" s="539"/>
      <c r="BC319" s="539"/>
      <c r="BD319" s="539"/>
      <c r="BE319" s="539"/>
      <c r="BF319" s="539"/>
      <c r="BG319" s="539"/>
      <c r="BH319" s="539"/>
      <c r="BI319" s="541"/>
      <c r="BJ319" s="541"/>
      <c r="BK319" s="542">
        <v>28000000</v>
      </c>
      <c r="BL319" s="542">
        <v>23065000</v>
      </c>
      <c r="BM319" s="542">
        <v>7940000</v>
      </c>
      <c r="BN319" s="542"/>
      <c r="BO319" s="542"/>
      <c r="BP319" s="542"/>
      <c r="BQ319" s="539"/>
      <c r="BR319" s="541"/>
      <c r="BS319" s="541"/>
      <c r="BT319" s="541">
        <v>400000000</v>
      </c>
      <c r="BU319" s="541"/>
      <c r="BV319" s="541"/>
      <c r="BW319" s="541"/>
      <c r="BX319" s="541"/>
      <c r="BY319" s="541"/>
      <c r="BZ319" s="539">
        <f t="shared" si="284"/>
        <v>428000000</v>
      </c>
      <c r="CA319" s="539">
        <f t="shared" si="285"/>
        <v>23065000</v>
      </c>
      <c r="CB319" s="539">
        <f t="shared" si="286"/>
        <v>7940000</v>
      </c>
    </row>
    <row r="320" spans="1:80" s="11" customFormat="1" ht="125.25" customHeight="1" x14ac:dyDescent="0.2">
      <c r="A320" s="54"/>
      <c r="B320" s="54"/>
      <c r="C320" s="55" t="s">
        <v>891</v>
      </c>
      <c r="D320" s="56" t="s">
        <v>390</v>
      </c>
      <c r="E320" s="57" t="s">
        <v>892</v>
      </c>
      <c r="F320" s="57" t="s">
        <v>893</v>
      </c>
      <c r="G320" s="173"/>
      <c r="H320" s="57">
        <v>27</v>
      </c>
      <c r="I320" s="56" t="s">
        <v>402</v>
      </c>
      <c r="J320" s="131">
        <v>0</v>
      </c>
      <c r="K320" s="207">
        <v>2</v>
      </c>
      <c r="L320" s="207">
        <v>0</v>
      </c>
      <c r="M320" s="851"/>
      <c r="N320" s="877"/>
      <c r="O320" s="857"/>
      <c r="P320" s="857"/>
      <c r="Q320" s="57" t="s">
        <v>67</v>
      </c>
      <c r="R320" s="539"/>
      <c r="S320" s="539"/>
      <c r="T320" s="539"/>
      <c r="U320" s="539"/>
      <c r="V320" s="539"/>
      <c r="W320" s="539"/>
      <c r="X320" s="539"/>
      <c r="Y320" s="539"/>
      <c r="Z320" s="539"/>
      <c r="AA320" s="539"/>
      <c r="AB320" s="539"/>
      <c r="AC320" s="539"/>
      <c r="AD320" s="539"/>
      <c r="AE320" s="539"/>
      <c r="AF320" s="539"/>
      <c r="AG320" s="539"/>
      <c r="AH320" s="539"/>
      <c r="AI320" s="539"/>
      <c r="AJ320" s="539"/>
      <c r="AK320" s="539"/>
      <c r="AL320" s="539"/>
      <c r="AM320" s="539"/>
      <c r="AN320" s="539"/>
      <c r="AO320" s="539"/>
      <c r="AP320" s="539"/>
      <c r="AQ320" s="539"/>
      <c r="AR320" s="539"/>
      <c r="AS320" s="539"/>
      <c r="AT320" s="539"/>
      <c r="AU320" s="539"/>
      <c r="AV320" s="539"/>
      <c r="AW320" s="539"/>
      <c r="AX320" s="539"/>
      <c r="AY320" s="539"/>
      <c r="AZ320" s="539"/>
      <c r="BA320" s="539"/>
      <c r="BB320" s="539"/>
      <c r="BC320" s="539"/>
      <c r="BD320" s="539"/>
      <c r="BE320" s="539"/>
      <c r="BF320" s="539"/>
      <c r="BG320" s="539"/>
      <c r="BH320" s="539"/>
      <c r="BI320" s="541"/>
      <c r="BJ320" s="541"/>
      <c r="BK320" s="542"/>
      <c r="BL320" s="542"/>
      <c r="BM320" s="542"/>
      <c r="BN320" s="542"/>
      <c r="BO320" s="542"/>
      <c r="BP320" s="542"/>
      <c r="BQ320" s="539"/>
      <c r="BR320" s="541"/>
      <c r="BS320" s="541"/>
      <c r="BT320" s="541"/>
      <c r="BU320" s="541"/>
      <c r="BV320" s="541"/>
      <c r="BW320" s="541"/>
      <c r="BX320" s="541"/>
      <c r="BY320" s="541"/>
      <c r="BZ320" s="539">
        <f t="shared" si="284"/>
        <v>0</v>
      </c>
      <c r="CA320" s="539">
        <f t="shared" si="285"/>
        <v>0</v>
      </c>
      <c r="CB320" s="539">
        <f t="shared" si="286"/>
        <v>0</v>
      </c>
    </row>
    <row r="321" spans="1:80" s="11" customFormat="1" ht="142.5" customHeight="1" x14ac:dyDescent="0.2">
      <c r="A321" s="54"/>
      <c r="B321" s="54"/>
      <c r="C321" s="55" t="s">
        <v>891</v>
      </c>
      <c r="D321" s="56" t="s">
        <v>390</v>
      </c>
      <c r="E321" s="57" t="s">
        <v>892</v>
      </c>
      <c r="F321" s="57" t="s">
        <v>893</v>
      </c>
      <c r="G321" s="173"/>
      <c r="H321" s="57">
        <v>28</v>
      </c>
      <c r="I321" s="56" t="s">
        <v>403</v>
      </c>
      <c r="J321" s="131" t="s">
        <v>42</v>
      </c>
      <c r="K321" s="207">
        <v>2</v>
      </c>
      <c r="L321" s="207">
        <v>0</v>
      </c>
      <c r="M321" s="852"/>
      <c r="N321" s="877"/>
      <c r="O321" s="858"/>
      <c r="P321" s="858"/>
      <c r="Q321" s="57" t="s">
        <v>67</v>
      </c>
      <c r="R321" s="539"/>
      <c r="S321" s="539"/>
      <c r="T321" s="539"/>
      <c r="U321" s="539"/>
      <c r="V321" s="539"/>
      <c r="W321" s="539"/>
      <c r="X321" s="539"/>
      <c r="Y321" s="539"/>
      <c r="Z321" s="539"/>
      <c r="AA321" s="539"/>
      <c r="AB321" s="539"/>
      <c r="AC321" s="539"/>
      <c r="AD321" s="539"/>
      <c r="AE321" s="539"/>
      <c r="AF321" s="539"/>
      <c r="AG321" s="539"/>
      <c r="AH321" s="539"/>
      <c r="AI321" s="539"/>
      <c r="AJ321" s="539"/>
      <c r="AK321" s="539"/>
      <c r="AL321" s="539"/>
      <c r="AM321" s="539"/>
      <c r="AN321" s="539"/>
      <c r="AO321" s="539"/>
      <c r="AP321" s="539"/>
      <c r="AQ321" s="539"/>
      <c r="AR321" s="539"/>
      <c r="AS321" s="539"/>
      <c r="AT321" s="539"/>
      <c r="AU321" s="539"/>
      <c r="AV321" s="539"/>
      <c r="AW321" s="539"/>
      <c r="AX321" s="539"/>
      <c r="AY321" s="539"/>
      <c r="AZ321" s="539"/>
      <c r="BA321" s="539"/>
      <c r="BB321" s="539"/>
      <c r="BC321" s="539"/>
      <c r="BD321" s="539"/>
      <c r="BE321" s="539"/>
      <c r="BF321" s="539"/>
      <c r="BG321" s="539"/>
      <c r="BH321" s="539"/>
      <c r="BI321" s="541"/>
      <c r="BJ321" s="541"/>
      <c r="BK321" s="542">
        <v>21000000</v>
      </c>
      <c r="BL321" s="542"/>
      <c r="BM321" s="542"/>
      <c r="BN321" s="542"/>
      <c r="BO321" s="542"/>
      <c r="BP321" s="542"/>
      <c r="BQ321" s="539"/>
      <c r="BR321" s="541"/>
      <c r="BS321" s="541"/>
      <c r="BT321" s="541"/>
      <c r="BU321" s="541"/>
      <c r="BV321" s="541"/>
      <c r="BW321" s="541"/>
      <c r="BX321" s="541"/>
      <c r="BY321" s="541"/>
      <c r="BZ321" s="539">
        <f t="shared" si="284"/>
        <v>21000000</v>
      </c>
      <c r="CA321" s="539">
        <f t="shared" si="285"/>
        <v>0</v>
      </c>
      <c r="CB321" s="539">
        <f t="shared" si="286"/>
        <v>0</v>
      </c>
    </row>
    <row r="322" spans="1:80" s="11" customFormat="1" ht="136.5" customHeight="1" x14ac:dyDescent="0.2">
      <c r="A322" s="54"/>
      <c r="B322" s="54"/>
      <c r="C322" s="55" t="s">
        <v>891</v>
      </c>
      <c r="D322" s="56" t="s">
        <v>390</v>
      </c>
      <c r="E322" s="57" t="s">
        <v>892</v>
      </c>
      <c r="F322" s="57" t="s">
        <v>893</v>
      </c>
      <c r="G322" s="173"/>
      <c r="H322" s="57">
        <v>29</v>
      </c>
      <c r="I322" s="56" t="s">
        <v>404</v>
      </c>
      <c r="J322" s="131">
        <v>0</v>
      </c>
      <c r="K322" s="207">
        <v>1</v>
      </c>
      <c r="L322" s="275">
        <v>0.27</v>
      </c>
      <c r="M322" s="61">
        <v>2017003630076</v>
      </c>
      <c r="N322" s="877"/>
      <c r="O322" s="496" t="s">
        <v>405</v>
      </c>
      <c r="P322" s="29" t="s">
        <v>406</v>
      </c>
      <c r="Q322" s="57" t="s">
        <v>51</v>
      </c>
      <c r="R322" s="539"/>
      <c r="S322" s="539"/>
      <c r="T322" s="539"/>
      <c r="U322" s="539"/>
      <c r="V322" s="539"/>
      <c r="W322" s="539"/>
      <c r="X322" s="539"/>
      <c r="Y322" s="539"/>
      <c r="Z322" s="539"/>
      <c r="AA322" s="539"/>
      <c r="AB322" s="539"/>
      <c r="AC322" s="539"/>
      <c r="AD322" s="539"/>
      <c r="AE322" s="539"/>
      <c r="AF322" s="539"/>
      <c r="AG322" s="539"/>
      <c r="AH322" s="539"/>
      <c r="AI322" s="539"/>
      <c r="AJ322" s="539"/>
      <c r="AK322" s="539"/>
      <c r="AL322" s="539"/>
      <c r="AM322" s="539"/>
      <c r="AN322" s="539"/>
      <c r="AO322" s="539"/>
      <c r="AP322" s="539"/>
      <c r="AQ322" s="539"/>
      <c r="AR322" s="539"/>
      <c r="AS322" s="539"/>
      <c r="AT322" s="539"/>
      <c r="AU322" s="539"/>
      <c r="AV322" s="539"/>
      <c r="AW322" s="539"/>
      <c r="AX322" s="539"/>
      <c r="AY322" s="539"/>
      <c r="AZ322" s="539"/>
      <c r="BA322" s="539"/>
      <c r="BB322" s="539"/>
      <c r="BC322" s="539"/>
      <c r="BD322" s="539"/>
      <c r="BE322" s="539"/>
      <c r="BF322" s="539"/>
      <c r="BG322" s="539"/>
      <c r="BH322" s="539"/>
      <c r="BI322" s="541"/>
      <c r="BJ322" s="541"/>
      <c r="BK322" s="542">
        <v>14000000</v>
      </c>
      <c r="BL322" s="542">
        <v>6340000</v>
      </c>
      <c r="BM322" s="542">
        <v>6340000</v>
      </c>
      <c r="BN322" s="542"/>
      <c r="BO322" s="542"/>
      <c r="BP322" s="542"/>
      <c r="BQ322" s="539"/>
      <c r="BR322" s="541"/>
      <c r="BS322" s="541"/>
      <c r="BT322" s="541"/>
      <c r="BU322" s="541"/>
      <c r="BV322" s="541"/>
      <c r="BW322" s="541"/>
      <c r="BX322" s="541"/>
      <c r="BY322" s="541"/>
      <c r="BZ322" s="539">
        <f t="shared" si="284"/>
        <v>14000000</v>
      </c>
      <c r="CA322" s="539">
        <f t="shared" si="285"/>
        <v>6340000</v>
      </c>
      <c r="CB322" s="539">
        <f t="shared" si="286"/>
        <v>6340000</v>
      </c>
    </row>
    <row r="323" spans="1:80" s="11" customFormat="1" ht="138" customHeight="1" x14ac:dyDescent="0.2">
      <c r="A323" s="54"/>
      <c r="B323" s="54"/>
      <c r="C323" s="508" t="s">
        <v>891</v>
      </c>
      <c r="D323" s="516" t="s">
        <v>390</v>
      </c>
      <c r="E323" s="508" t="s">
        <v>892</v>
      </c>
      <c r="F323" s="508" t="s">
        <v>893</v>
      </c>
      <c r="G323" s="305"/>
      <c r="H323" s="57">
        <v>30</v>
      </c>
      <c r="I323" s="56" t="s">
        <v>407</v>
      </c>
      <c r="J323" s="131">
        <v>1</v>
      </c>
      <c r="K323" s="207">
        <v>1</v>
      </c>
      <c r="L323" s="489">
        <v>0.6</v>
      </c>
      <c r="M323" s="61">
        <v>2017003630065</v>
      </c>
      <c r="N323" s="878"/>
      <c r="O323" s="65" t="s">
        <v>408</v>
      </c>
      <c r="P323" s="56" t="s">
        <v>409</v>
      </c>
      <c r="Q323" s="57" t="s">
        <v>51</v>
      </c>
      <c r="R323" s="539"/>
      <c r="S323" s="539"/>
      <c r="T323" s="539"/>
      <c r="U323" s="539"/>
      <c r="V323" s="539"/>
      <c r="W323" s="539"/>
      <c r="X323" s="539"/>
      <c r="Y323" s="539"/>
      <c r="Z323" s="539"/>
      <c r="AA323" s="539"/>
      <c r="AB323" s="539"/>
      <c r="AC323" s="539"/>
      <c r="AD323" s="539"/>
      <c r="AE323" s="539"/>
      <c r="AF323" s="539"/>
      <c r="AG323" s="539"/>
      <c r="AH323" s="539"/>
      <c r="AI323" s="539"/>
      <c r="AJ323" s="539"/>
      <c r="AK323" s="539"/>
      <c r="AL323" s="539"/>
      <c r="AM323" s="539"/>
      <c r="AN323" s="539"/>
      <c r="AO323" s="539"/>
      <c r="AP323" s="539"/>
      <c r="AQ323" s="539"/>
      <c r="AR323" s="539"/>
      <c r="AS323" s="539"/>
      <c r="AT323" s="539"/>
      <c r="AU323" s="539"/>
      <c r="AV323" s="539"/>
      <c r="AW323" s="539"/>
      <c r="AX323" s="539"/>
      <c r="AY323" s="539"/>
      <c r="AZ323" s="539"/>
      <c r="BA323" s="539"/>
      <c r="BB323" s="539"/>
      <c r="BC323" s="539"/>
      <c r="BD323" s="539"/>
      <c r="BE323" s="539"/>
      <c r="BF323" s="539"/>
      <c r="BG323" s="539"/>
      <c r="BH323" s="539"/>
      <c r="BI323" s="541"/>
      <c r="BJ323" s="541"/>
      <c r="BK323" s="542">
        <f>14000000+50000000</f>
        <v>64000000</v>
      </c>
      <c r="BL323" s="542">
        <v>14000000</v>
      </c>
      <c r="BM323" s="542">
        <v>2640000</v>
      </c>
      <c r="BN323" s="542"/>
      <c r="BO323" s="542"/>
      <c r="BP323" s="542"/>
      <c r="BQ323" s="539"/>
      <c r="BR323" s="539"/>
      <c r="BS323" s="539"/>
      <c r="BT323" s="539"/>
      <c r="BU323" s="539"/>
      <c r="BV323" s="539"/>
      <c r="BW323" s="539"/>
      <c r="BX323" s="539"/>
      <c r="BY323" s="539"/>
      <c r="BZ323" s="539">
        <f t="shared" si="284"/>
        <v>64000000</v>
      </c>
      <c r="CA323" s="539">
        <f t="shared" si="285"/>
        <v>14000000</v>
      </c>
      <c r="CB323" s="539">
        <f t="shared" si="286"/>
        <v>2640000</v>
      </c>
    </row>
    <row r="324" spans="1:80" s="459" customFormat="1" ht="24.75" customHeight="1" x14ac:dyDescent="0.2">
      <c r="A324" s="54"/>
      <c r="B324" s="54"/>
      <c r="C324" s="510"/>
      <c r="D324" s="518"/>
      <c r="E324" s="510"/>
      <c r="F324" s="510"/>
      <c r="G324" s="98"/>
      <c r="H324" s="306"/>
      <c r="I324" s="307"/>
      <c r="J324" s="308"/>
      <c r="K324" s="309"/>
      <c r="L324" s="309"/>
      <c r="M324" s="309"/>
      <c r="N324" s="308"/>
      <c r="O324" s="310"/>
      <c r="P324" s="307"/>
      <c r="Q324" s="310"/>
      <c r="R324" s="548">
        <f t="shared" ref="R324:BY324" si="287">SUM(R318:R323)</f>
        <v>0</v>
      </c>
      <c r="S324" s="548">
        <f t="shared" si="287"/>
        <v>0</v>
      </c>
      <c r="T324" s="548">
        <f t="shared" si="287"/>
        <v>0</v>
      </c>
      <c r="U324" s="548">
        <f t="shared" si="287"/>
        <v>0</v>
      </c>
      <c r="V324" s="548">
        <f t="shared" si="287"/>
        <v>0</v>
      </c>
      <c r="W324" s="548">
        <f t="shared" si="287"/>
        <v>0</v>
      </c>
      <c r="X324" s="548">
        <f t="shared" si="287"/>
        <v>0</v>
      </c>
      <c r="Y324" s="548">
        <f t="shared" si="287"/>
        <v>0</v>
      </c>
      <c r="Z324" s="548">
        <f t="shared" si="287"/>
        <v>0</v>
      </c>
      <c r="AA324" s="548">
        <f t="shared" si="287"/>
        <v>0</v>
      </c>
      <c r="AB324" s="548">
        <f t="shared" si="287"/>
        <v>0</v>
      </c>
      <c r="AC324" s="548">
        <f t="shared" si="287"/>
        <v>0</v>
      </c>
      <c r="AD324" s="548">
        <f t="shared" si="287"/>
        <v>0</v>
      </c>
      <c r="AE324" s="548">
        <f t="shared" si="287"/>
        <v>0</v>
      </c>
      <c r="AF324" s="548">
        <f t="shared" si="287"/>
        <v>0</v>
      </c>
      <c r="AG324" s="548">
        <f t="shared" si="287"/>
        <v>0</v>
      </c>
      <c r="AH324" s="548">
        <f t="shared" si="287"/>
        <v>0</v>
      </c>
      <c r="AI324" s="548">
        <f t="shared" si="287"/>
        <v>0</v>
      </c>
      <c r="AJ324" s="548">
        <f t="shared" si="287"/>
        <v>0</v>
      </c>
      <c r="AK324" s="548">
        <f t="shared" si="287"/>
        <v>0</v>
      </c>
      <c r="AL324" s="548">
        <f t="shared" si="287"/>
        <v>0</v>
      </c>
      <c r="AM324" s="548">
        <f t="shared" si="287"/>
        <v>0</v>
      </c>
      <c r="AN324" s="548">
        <f t="shared" si="287"/>
        <v>0</v>
      </c>
      <c r="AO324" s="548">
        <f t="shared" si="287"/>
        <v>0</v>
      </c>
      <c r="AP324" s="548">
        <f t="shared" si="287"/>
        <v>0</v>
      </c>
      <c r="AQ324" s="548">
        <f t="shared" si="287"/>
        <v>0</v>
      </c>
      <c r="AR324" s="548">
        <f t="shared" si="287"/>
        <v>0</v>
      </c>
      <c r="AS324" s="548">
        <f t="shared" si="287"/>
        <v>0</v>
      </c>
      <c r="AT324" s="548">
        <f t="shared" si="287"/>
        <v>0</v>
      </c>
      <c r="AU324" s="548">
        <f t="shared" si="287"/>
        <v>0</v>
      </c>
      <c r="AV324" s="548">
        <f t="shared" si="287"/>
        <v>0</v>
      </c>
      <c r="AW324" s="548">
        <f t="shared" si="287"/>
        <v>0</v>
      </c>
      <c r="AX324" s="548">
        <f t="shared" si="287"/>
        <v>0</v>
      </c>
      <c r="AY324" s="548">
        <f t="shared" si="287"/>
        <v>0</v>
      </c>
      <c r="AZ324" s="548">
        <f t="shared" si="287"/>
        <v>0</v>
      </c>
      <c r="BA324" s="548">
        <f t="shared" si="287"/>
        <v>0</v>
      </c>
      <c r="BB324" s="548">
        <f t="shared" si="287"/>
        <v>0</v>
      </c>
      <c r="BC324" s="548">
        <f t="shared" si="287"/>
        <v>0</v>
      </c>
      <c r="BD324" s="548">
        <f t="shared" si="287"/>
        <v>0</v>
      </c>
      <c r="BE324" s="548">
        <f t="shared" si="287"/>
        <v>0</v>
      </c>
      <c r="BF324" s="548">
        <f t="shared" si="287"/>
        <v>0</v>
      </c>
      <c r="BG324" s="548">
        <f t="shared" si="287"/>
        <v>0</v>
      </c>
      <c r="BH324" s="548">
        <f t="shared" si="287"/>
        <v>0</v>
      </c>
      <c r="BI324" s="548">
        <f t="shared" si="287"/>
        <v>0</v>
      </c>
      <c r="BJ324" s="548">
        <f t="shared" si="287"/>
        <v>0</v>
      </c>
      <c r="BK324" s="548">
        <f t="shared" si="287"/>
        <v>277000000</v>
      </c>
      <c r="BL324" s="548">
        <f t="shared" si="287"/>
        <v>174905000</v>
      </c>
      <c r="BM324" s="548">
        <f t="shared" si="287"/>
        <v>42890000</v>
      </c>
      <c r="BN324" s="548">
        <f t="shared" si="287"/>
        <v>0</v>
      </c>
      <c r="BO324" s="548">
        <f t="shared" si="287"/>
        <v>0</v>
      </c>
      <c r="BP324" s="548">
        <f t="shared" si="287"/>
        <v>0</v>
      </c>
      <c r="BQ324" s="548">
        <f t="shared" si="287"/>
        <v>0</v>
      </c>
      <c r="BR324" s="548">
        <f t="shared" si="287"/>
        <v>0</v>
      </c>
      <c r="BS324" s="548">
        <f t="shared" si="287"/>
        <v>0</v>
      </c>
      <c r="BT324" s="548">
        <f t="shared" si="287"/>
        <v>1000000000</v>
      </c>
      <c r="BU324" s="548">
        <f t="shared" si="287"/>
        <v>0</v>
      </c>
      <c r="BV324" s="548">
        <f t="shared" si="287"/>
        <v>0</v>
      </c>
      <c r="BW324" s="548">
        <f t="shared" si="287"/>
        <v>0</v>
      </c>
      <c r="BX324" s="548">
        <f t="shared" si="287"/>
        <v>0</v>
      </c>
      <c r="BY324" s="548">
        <f t="shared" si="287"/>
        <v>0</v>
      </c>
      <c r="BZ324" s="548">
        <f t="shared" ref="BZ324" si="288">SUM(BZ318:BZ323)</f>
        <v>1277000000</v>
      </c>
      <c r="CA324" s="548">
        <f t="shared" ref="CA324:CB324" si="289">SUM(CA318:CA323)</f>
        <v>174905000</v>
      </c>
      <c r="CB324" s="548">
        <f t="shared" si="289"/>
        <v>42890000</v>
      </c>
    </row>
    <row r="325" spans="1:80" s="11" customFormat="1" ht="15.75" x14ac:dyDescent="0.2">
      <c r="A325" s="54"/>
      <c r="B325" s="54"/>
      <c r="C325" s="92"/>
      <c r="D325" s="91"/>
      <c r="E325" s="92"/>
      <c r="F325" s="92"/>
      <c r="G325" s="311"/>
      <c r="H325" s="154"/>
      <c r="I325" s="91"/>
      <c r="J325" s="183"/>
      <c r="K325" s="280"/>
      <c r="L325" s="280"/>
      <c r="M325" s="280"/>
      <c r="N325" s="183"/>
      <c r="O325" s="500"/>
      <c r="P325" s="91"/>
      <c r="Q325" s="92"/>
      <c r="R325" s="543"/>
      <c r="S325" s="543"/>
      <c r="T325" s="543"/>
      <c r="U325" s="544"/>
      <c r="V325" s="544"/>
      <c r="W325" s="544"/>
      <c r="X325" s="543"/>
      <c r="Y325" s="543"/>
      <c r="Z325" s="543"/>
      <c r="AA325" s="543"/>
      <c r="AB325" s="543"/>
      <c r="AC325" s="543"/>
      <c r="AD325" s="543"/>
      <c r="AE325" s="543"/>
      <c r="AF325" s="543"/>
      <c r="AG325" s="543"/>
      <c r="AH325" s="543"/>
      <c r="AI325" s="543"/>
      <c r="AJ325" s="543"/>
      <c r="AK325" s="543"/>
      <c r="AL325" s="543"/>
      <c r="AM325" s="543"/>
      <c r="AN325" s="543"/>
      <c r="AO325" s="543"/>
      <c r="AP325" s="543"/>
      <c r="AQ325" s="543"/>
      <c r="AR325" s="543"/>
      <c r="AS325" s="543"/>
      <c r="AT325" s="543"/>
      <c r="AU325" s="543"/>
      <c r="AV325" s="543"/>
      <c r="AW325" s="543"/>
      <c r="AX325" s="543"/>
      <c r="AY325" s="543"/>
      <c r="AZ325" s="543"/>
      <c r="BA325" s="543"/>
      <c r="BB325" s="543"/>
      <c r="BC325" s="543"/>
      <c r="BD325" s="543"/>
      <c r="BE325" s="543"/>
      <c r="BF325" s="543"/>
      <c r="BG325" s="543"/>
      <c r="BH325" s="543"/>
      <c r="BI325" s="543"/>
      <c r="BJ325" s="543"/>
      <c r="BK325" s="545"/>
      <c r="BL325" s="545"/>
      <c r="BM325" s="545"/>
      <c r="BN325" s="543"/>
      <c r="BO325" s="543"/>
      <c r="BP325" s="543"/>
      <c r="BQ325" s="543"/>
      <c r="BR325" s="543"/>
      <c r="BS325" s="543"/>
      <c r="BT325" s="543"/>
      <c r="BU325" s="543"/>
      <c r="BV325" s="543"/>
      <c r="BW325" s="544"/>
      <c r="BX325" s="544"/>
      <c r="BY325" s="544"/>
      <c r="BZ325" s="543"/>
      <c r="CA325" s="543"/>
      <c r="CB325" s="543"/>
    </row>
    <row r="326" spans="1:80" s="459" customFormat="1" ht="26.25" customHeight="1" x14ac:dyDescent="0.2">
      <c r="A326" s="54"/>
      <c r="B326" s="54"/>
      <c r="C326" s="508"/>
      <c r="D326" s="516"/>
      <c r="E326" s="508"/>
      <c r="F326" s="508"/>
      <c r="G326" s="169">
        <v>6</v>
      </c>
      <c r="H326" s="170" t="s">
        <v>410</v>
      </c>
      <c r="I326" s="100"/>
      <c r="J326" s="100"/>
      <c r="K326" s="278"/>
      <c r="L326" s="278"/>
      <c r="M326" s="278"/>
      <c r="N326" s="100"/>
      <c r="O326" s="212"/>
      <c r="P326" s="100"/>
      <c r="Q326" s="100"/>
      <c r="R326" s="336"/>
      <c r="S326" s="336"/>
      <c r="T326" s="336"/>
      <c r="U326" s="336"/>
      <c r="V326" s="336"/>
      <c r="W326" s="336"/>
      <c r="X326" s="336"/>
      <c r="Y326" s="336"/>
      <c r="Z326" s="336"/>
      <c r="AA326" s="336"/>
      <c r="AB326" s="336"/>
      <c r="AC326" s="336"/>
      <c r="AD326" s="336"/>
      <c r="AE326" s="336"/>
      <c r="AF326" s="336"/>
      <c r="AG326" s="336"/>
      <c r="AH326" s="336"/>
      <c r="AI326" s="336"/>
      <c r="AJ326" s="336"/>
      <c r="AK326" s="336"/>
      <c r="AL326" s="336"/>
      <c r="AM326" s="336"/>
      <c r="AN326" s="336"/>
      <c r="AO326" s="336"/>
      <c r="AP326" s="336"/>
      <c r="AQ326" s="336"/>
      <c r="AR326" s="336"/>
      <c r="AS326" s="336"/>
      <c r="AT326" s="336"/>
      <c r="AU326" s="336"/>
      <c r="AV326" s="336"/>
      <c r="AW326" s="336"/>
      <c r="AX326" s="336"/>
      <c r="AY326" s="336"/>
      <c r="AZ326" s="336"/>
      <c r="BA326" s="336"/>
      <c r="BB326" s="336"/>
      <c r="BC326" s="336"/>
      <c r="BD326" s="336"/>
      <c r="BE326" s="336"/>
      <c r="BF326" s="336"/>
      <c r="BG326" s="336"/>
      <c r="BH326" s="336"/>
      <c r="BI326" s="336"/>
      <c r="BJ326" s="336"/>
      <c r="BK326" s="552"/>
      <c r="BL326" s="552"/>
      <c r="BM326" s="552"/>
      <c r="BN326" s="336"/>
      <c r="BO326" s="336"/>
      <c r="BP326" s="336"/>
      <c r="BQ326" s="336"/>
      <c r="BR326" s="336"/>
      <c r="BS326" s="336"/>
      <c r="BT326" s="336"/>
      <c r="BU326" s="336"/>
      <c r="BV326" s="336"/>
      <c r="BW326" s="336"/>
      <c r="BX326" s="336"/>
      <c r="BY326" s="336"/>
      <c r="BZ326" s="338"/>
      <c r="CA326" s="338"/>
      <c r="CB326" s="338"/>
    </row>
    <row r="327" spans="1:80" s="11" customFormat="1" ht="84.75" customHeight="1" x14ac:dyDescent="0.2">
      <c r="A327" s="54"/>
      <c r="B327" s="54"/>
      <c r="C327" s="510">
        <v>5</v>
      </c>
      <c r="D327" s="518" t="s">
        <v>411</v>
      </c>
      <c r="E327" s="510">
        <v>12.9</v>
      </c>
      <c r="F327" s="510">
        <v>8.9</v>
      </c>
      <c r="G327" s="312"/>
      <c r="H327" s="65">
        <v>31</v>
      </c>
      <c r="I327" s="56" t="s">
        <v>412</v>
      </c>
      <c r="J327" s="131" t="s">
        <v>42</v>
      </c>
      <c r="K327" s="828">
        <v>4</v>
      </c>
      <c r="L327" s="489">
        <v>2.5</v>
      </c>
      <c r="M327" s="850">
        <v>2017003630073</v>
      </c>
      <c r="N327" s="890" t="s">
        <v>100</v>
      </c>
      <c r="O327" s="856" t="s">
        <v>413</v>
      </c>
      <c r="P327" s="853" t="s">
        <v>414</v>
      </c>
      <c r="Q327" s="57" t="s">
        <v>51</v>
      </c>
      <c r="R327" s="539"/>
      <c r="S327" s="539"/>
      <c r="T327" s="539"/>
      <c r="U327" s="539"/>
      <c r="V327" s="539"/>
      <c r="W327" s="539"/>
      <c r="X327" s="539"/>
      <c r="Y327" s="539"/>
      <c r="Z327" s="539"/>
      <c r="AA327" s="539"/>
      <c r="AB327" s="539"/>
      <c r="AC327" s="539"/>
      <c r="AD327" s="539"/>
      <c r="AE327" s="539"/>
      <c r="AF327" s="539"/>
      <c r="AG327" s="539"/>
      <c r="AH327" s="539"/>
      <c r="AI327" s="539"/>
      <c r="AJ327" s="539"/>
      <c r="AK327" s="539"/>
      <c r="AL327" s="539"/>
      <c r="AM327" s="539"/>
      <c r="AN327" s="539"/>
      <c r="AO327" s="539"/>
      <c r="AP327" s="539"/>
      <c r="AQ327" s="539"/>
      <c r="AR327" s="539"/>
      <c r="AS327" s="539"/>
      <c r="AT327" s="539"/>
      <c r="AU327" s="539"/>
      <c r="AV327" s="539"/>
      <c r="AW327" s="539"/>
      <c r="AX327" s="539"/>
      <c r="AY327" s="539"/>
      <c r="AZ327" s="539"/>
      <c r="BA327" s="539"/>
      <c r="BB327" s="539"/>
      <c r="BC327" s="539"/>
      <c r="BD327" s="539"/>
      <c r="BE327" s="539"/>
      <c r="BF327" s="539"/>
      <c r="BG327" s="539"/>
      <c r="BH327" s="539"/>
      <c r="BI327" s="539"/>
      <c r="BJ327" s="539"/>
      <c r="BK327" s="540">
        <f>60000000+44000000</f>
        <v>104000000</v>
      </c>
      <c r="BL327" s="540">
        <v>76120000</v>
      </c>
      <c r="BM327" s="540">
        <v>20080000</v>
      </c>
      <c r="BN327" s="540"/>
      <c r="BO327" s="540"/>
      <c r="BP327" s="540"/>
      <c r="BQ327" s="539"/>
      <c r="BR327" s="541"/>
      <c r="BS327" s="541"/>
      <c r="BT327" s="541"/>
      <c r="BU327" s="541"/>
      <c r="BV327" s="541"/>
      <c r="BW327" s="541"/>
      <c r="BX327" s="541"/>
      <c r="BY327" s="541"/>
      <c r="BZ327" s="539">
        <f t="shared" ref="BZ327:BZ330" si="290">R327+U327+X327+AA327+AD327+AG327+AJ327+AM327+AP327+AS327+AV327+AY327+BB327+BE327+BH327+BK327+BN327+BQ327+BT327+BW327</f>
        <v>104000000</v>
      </c>
      <c r="CA327" s="539">
        <f t="shared" ref="CA327:CA330" si="291">S327+V327+Y327+AB327+AE327+AH327+AK327+AN327+AQ327+AT327+AW327+AZ327+BC327+BF327+BI327+BL327+BO327+BR327+BU327+BX327</f>
        <v>76120000</v>
      </c>
      <c r="CB327" s="539">
        <f t="shared" ref="CB327:CB330" si="292">T327+W327+Z327+AC327+AF327+AI327+AL327+AO327+AR327+AU327+AX327+BA327+BD327+BG327+BJ327+BM327+BP327+BS327+BV327+BY327</f>
        <v>20080000</v>
      </c>
    </row>
    <row r="328" spans="1:80" s="11" customFormat="1" ht="45" customHeight="1" x14ac:dyDescent="0.2">
      <c r="A328" s="54"/>
      <c r="B328" s="54"/>
      <c r="C328" s="282">
        <v>6</v>
      </c>
      <c r="D328" s="70" t="s">
        <v>415</v>
      </c>
      <c r="E328" s="28">
        <v>3.4</v>
      </c>
      <c r="F328" s="28">
        <v>4.5999999999999996</v>
      </c>
      <c r="G328" s="312"/>
      <c r="H328" s="65">
        <v>32</v>
      </c>
      <c r="I328" s="56" t="s">
        <v>416</v>
      </c>
      <c r="J328" s="131" t="s">
        <v>42</v>
      </c>
      <c r="K328" s="207">
        <v>30</v>
      </c>
      <c r="L328" s="207">
        <v>15</v>
      </c>
      <c r="M328" s="851"/>
      <c r="N328" s="891"/>
      <c r="O328" s="857"/>
      <c r="P328" s="854"/>
      <c r="Q328" s="57" t="s">
        <v>67</v>
      </c>
      <c r="R328" s="539">
        <v>0</v>
      </c>
      <c r="S328" s="539"/>
      <c r="T328" s="539"/>
      <c r="U328" s="539">
        <v>0</v>
      </c>
      <c r="V328" s="539"/>
      <c r="W328" s="539"/>
      <c r="X328" s="539">
        <v>0</v>
      </c>
      <c r="Y328" s="539"/>
      <c r="Z328" s="539"/>
      <c r="AA328" s="539">
        <v>0</v>
      </c>
      <c r="AB328" s="539"/>
      <c r="AC328" s="539"/>
      <c r="AD328" s="539">
        <v>0</v>
      </c>
      <c r="AE328" s="539"/>
      <c r="AF328" s="539"/>
      <c r="AG328" s="539">
        <v>0</v>
      </c>
      <c r="AH328" s="539"/>
      <c r="AI328" s="539"/>
      <c r="AJ328" s="539">
        <v>0</v>
      </c>
      <c r="AK328" s="539"/>
      <c r="AL328" s="539"/>
      <c r="AM328" s="539"/>
      <c r="AN328" s="539"/>
      <c r="AO328" s="539"/>
      <c r="AP328" s="539"/>
      <c r="AQ328" s="539"/>
      <c r="AR328" s="539"/>
      <c r="AS328" s="539">
        <v>0</v>
      </c>
      <c r="AT328" s="539"/>
      <c r="AU328" s="539"/>
      <c r="AV328" s="539">
        <v>0</v>
      </c>
      <c r="AW328" s="539"/>
      <c r="AX328" s="539"/>
      <c r="AY328" s="539"/>
      <c r="AZ328" s="539"/>
      <c r="BA328" s="539"/>
      <c r="BB328" s="539"/>
      <c r="BC328" s="539"/>
      <c r="BD328" s="539"/>
      <c r="BE328" s="539">
        <v>0</v>
      </c>
      <c r="BF328" s="539"/>
      <c r="BG328" s="539"/>
      <c r="BH328" s="539">
        <v>0</v>
      </c>
      <c r="BI328" s="539"/>
      <c r="BJ328" s="539"/>
      <c r="BK328" s="540">
        <f>106000000+34000000</f>
        <v>140000000</v>
      </c>
      <c r="BL328" s="540">
        <v>66320000</v>
      </c>
      <c r="BM328" s="540">
        <v>7000000</v>
      </c>
      <c r="BN328" s="540"/>
      <c r="BO328" s="540"/>
      <c r="BP328" s="540"/>
      <c r="BQ328" s="539">
        <v>0</v>
      </c>
      <c r="BR328" s="541"/>
      <c r="BS328" s="541"/>
      <c r="BT328" s="541"/>
      <c r="BU328" s="541"/>
      <c r="BV328" s="541"/>
      <c r="BW328" s="541">
        <v>0</v>
      </c>
      <c r="BX328" s="541"/>
      <c r="BY328" s="541"/>
      <c r="BZ328" s="539">
        <f t="shared" si="290"/>
        <v>140000000</v>
      </c>
      <c r="CA328" s="539">
        <f t="shared" si="291"/>
        <v>66320000</v>
      </c>
      <c r="CB328" s="539">
        <f t="shared" si="292"/>
        <v>7000000</v>
      </c>
    </row>
    <row r="329" spans="1:80" s="11" customFormat="1" ht="72.75" customHeight="1" x14ac:dyDescent="0.2">
      <c r="A329" s="54"/>
      <c r="B329" s="54"/>
      <c r="C329" s="235">
        <v>7</v>
      </c>
      <c r="D329" s="71" t="s">
        <v>417</v>
      </c>
      <c r="E329" s="29">
        <v>31.7</v>
      </c>
      <c r="F329" s="29">
        <v>27</v>
      </c>
      <c r="G329" s="312"/>
      <c r="H329" s="65">
        <v>33</v>
      </c>
      <c r="I329" s="56" t="s">
        <v>418</v>
      </c>
      <c r="J329" s="131" t="s">
        <v>42</v>
      </c>
      <c r="K329" s="207">
        <v>400</v>
      </c>
      <c r="L329" s="207">
        <v>119</v>
      </c>
      <c r="M329" s="851"/>
      <c r="N329" s="891"/>
      <c r="O329" s="857"/>
      <c r="P329" s="854"/>
      <c r="Q329" s="57" t="s">
        <v>67</v>
      </c>
      <c r="R329" s="612">
        <v>0</v>
      </c>
      <c r="S329" s="612"/>
      <c r="T329" s="612"/>
      <c r="U329" s="539">
        <v>0</v>
      </c>
      <c r="V329" s="539"/>
      <c r="W329" s="539"/>
      <c r="X329" s="539">
        <v>0</v>
      </c>
      <c r="Y329" s="539"/>
      <c r="Z329" s="539"/>
      <c r="AA329" s="539">
        <v>0</v>
      </c>
      <c r="AB329" s="539"/>
      <c r="AC329" s="539"/>
      <c r="AD329" s="539">
        <v>0</v>
      </c>
      <c r="AE329" s="539"/>
      <c r="AF329" s="539"/>
      <c r="AG329" s="539">
        <v>0</v>
      </c>
      <c r="AH329" s="539"/>
      <c r="AI329" s="539"/>
      <c r="AJ329" s="539">
        <v>0</v>
      </c>
      <c r="AK329" s="539"/>
      <c r="AL329" s="539"/>
      <c r="AM329" s="539"/>
      <c r="AN329" s="539"/>
      <c r="AO329" s="539"/>
      <c r="AP329" s="539"/>
      <c r="AQ329" s="539"/>
      <c r="AR329" s="539"/>
      <c r="AS329" s="539">
        <v>0</v>
      </c>
      <c r="AT329" s="539"/>
      <c r="AU329" s="539"/>
      <c r="AV329" s="539">
        <v>0</v>
      </c>
      <c r="AW329" s="539"/>
      <c r="AX329" s="539"/>
      <c r="AY329" s="539"/>
      <c r="AZ329" s="539"/>
      <c r="BA329" s="539"/>
      <c r="BB329" s="539"/>
      <c r="BC329" s="539"/>
      <c r="BD329" s="539"/>
      <c r="BE329" s="539">
        <v>0</v>
      </c>
      <c r="BF329" s="539"/>
      <c r="BG329" s="539"/>
      <c r="BH329" s="539">
        <v>0</v>
      </c>
      <c r="BI329" s="539"/>
      <c r="BJ329" s="539"/>
      <c r="BK329" s="540">
        <f>16000000+12000000</f>
        <v>28000000</v>
      </c>
      <c r="BL329" s="540">
        <v>23280000</v>
      </c>
      <c r="BM329" s="540">
        <v>6000000</v>
      </c>
      <c r="BN329" s="540"/>
      <c r="BO329" s="540"/>
      <c r="BP329" s="540"/>
      <c r="BQ329" s="539">
        <v>0</v>
      </c>
      <c r="BR329" s="541"/>
      <c r="BS329" s="541"/>
      <c r="BT329" s="541"/>
      <c r="BU329" s="541"/>
      <c r="BV329" s="541"/>
      <c r="BW329" s="541">
        <v>0</v>
      </c>
      <c r="BX329" s="541"/>
      <c r="BY329" s="541"/>
      <c r="BZ329" s="539">
        <f t="shared" si="290"/>
        <v>28000000</v>
      </c>
      <c r="CA329" s="539">
        <f t="shared" si="291"/>
        <v>23280000</v>
      </c>
      <c r="CB329" s="539">
        <f t="shared" si="292"/>
        <v>6000000</v>
      </c>
    </row>
    <row r="330" spans="1:80" s="11" customFormat="1" ht="105" x14ac:dyDescent="0.2">
      <c r="A330" s="54"/>
      <c r="B330" s="54"/>
      <c r="C330" s="508"/>
      <c r="D330" s="516"/>
      <c r="E330" s="508"/>
      <c r="F330" s="508"/>
      <c r="G330" s="313"/>
      <c r="H330" s="65">
        <v>34</v>
      </c>
      <c r="I330" s="56" t="s">
        <v>419</v>
      </c>
      <c r="J330" s="131" t="s">
        <v>42</v>
      </c>
      <c r="K330" s="207">
        <v>600</v>
      </c>
      <c r="L330" s="207">
        <v>139</v>
      </c>
      <c r="M330" s="852"/>
      <c r="N330" s="892"/>
      <c r="O330" s="858"/>
      <c r="P330" s="855"/>
      <c r="Q330" s="57" t="s">
        <v>67</v>
      </c>
      <c r="R330" s="539">
        <v>0</v>
      </c>
      <c r="S330" s="539"/>
      <c r="T330" s="539"/>
      <c r="U330" s="539">
        <v>0</v>
      </c>
      <c r="V330" s="539"/>
      <c r="W330" s="539"/>
      <c r="X330" s="539">
        <v>0</v>
      </c>
      <c r="Y330" s="539"/>
      <c r="Z330" s="539"/>
      <c r="AA330" s="539">
        <v>0</v>
      </c>
      <c r="AB330" s="539"/>
      <c r="AC330" s="539"/>
      <c r="AD330" s="539">
        <v>0</v>
      </c>
      <c r="AE330" s="539"/>
      <c r="AF330" s="539"/>
      <c r="AG330" s="539">
        <v>0</v>
      </c>
      <c r="AH330" s="539"/>
      <c r="AI330" s="539"/>
      <c r="AJ330" s="539">
        <v>0</v>
      </c>
      <c r="AK330" s="539"/>
      <c r="AL330" s="539"/>
      <c r="AM330" s="539"/>
      <c r="AN330" s="539"/>
      <c r="AO330" s="539"/>
      <c r="AP330" s="539"/>
      <c r="AQ330" s="539"/>
      <c r="AR330" s="539"/>
      <c r="AS330" s="539">
        <v>0</v>
      </c>
      <c r="AT330" s="539"/>
      <c r="AU330" s="539"/>
      <c r="AV330" s="539">
        <v>0</v>
      </c>
      <c r="AW330" s="539"/>
      <c r="AX330" s="539"/>
      <c r="AY330" s="539"/>
      <c r="AZ330" s="539"/>
      <c r="BA330" s="539"/>
      <c r="BB330" s="539"/>
      <c r="BC330" s="539"/>
      <c r="BD330" s="539"/>
      <c r="BE330" s="539">
        <v>0</v>
      </c>
      <c r="BF330" s="539"/>
      <c r="BG330" s="539"/>
      <c r="BH330" s="539">
        <v>0</v>
      </c>
      <c r="BI330" s="539"/>
      <c r="BJ330" s="539"/>
      <c r="BK330" s="540">
        <f>17000000+11000000</f>
        <v>28000000</v>
      </c>
      <c r="BL330" s="540">
        <v>26620000</v>
      </c>
      <c r="BM330" s="540">
        <v>7000000</v>
      </c>
      <c r="BN330" s="540"/>
      <c r="BO330" s="540"/>
      <c r="BP330" s="540"/>
      <c r="BQ330" s="539">
        <v>0</v>
      </c>
      <c r="BR330" s="541"/>
      <c r="BS330" s="541"/>
      <c r="BT330" s="541"/>
      <c r="BU330" s="541"/>
      <c r="BV330" s="541"/>
      <c r="BW330" s="541">
        <v>0</v>
      </c>
      <c r="BX330" s="541"/>
      <c r="BY330" s="541"/>
      <c r="BZ330" s="539">
        <f t="shared" si="290"/>
        <v>28000000</v>
      </c>
      <c r="CA330" s="539">
        <f t="shared" si="291"/>
        <v>26620000</v>
      </c>
      <c r="CB330" s="539">
        <f t="shared" si="292"/>
        <v>7000000</v>
      </c>
    </row>
    <row r="331" spans="1:80" s="11" customFormat="1" ht="26.25" customHeight="1" x14ac:dyDescent="0.2">
      <c r="A331" s="54"/>
      <c r="B331" s="54"/>
      <c r="C331" s="139"/>
      <c r="D331" s="139"/>
      <c r="E331" s="139"/>
      <c r="F331" s="139"/>
      <c r="G331" s="234"/>
      <c r="H331" s="239"/>
      <c r="I331" s="234"/>
      <c r="J331" s="234"/>
      <c r="K331" s="827"/>
      <c r="L331" s="234"/>
      <c r="M331" s="234"/>
      <c r="N331" s="234"/>
      <c r="O331" s="239"/>
      <c r="P331" s="234"/>
      <c r="Q331" s="239"/>
      <c r="R331" s="548">
        <f t="shared" ref="R331:BY331" si="293">SUM(R327:R330)</f>
        <v>0</v>
      </c>
      <c r="S331" s="548">
        <f t="shared" si="293"/>
        <v>0</v>
      </c>
      <c r="T331" s="548">
        <f t="shared" si="293"/>
        <v>0</v>
      </c>
      <c r="U331" s="548">
        <f t="shared" si="293"/>
        <v>0</v>
      </c>
      <c r="V331" s="548">
        <f t="shared" si="293"/>
        <v>0</v>
      </c>
      <c r="W331" s="548">
        <f t="shared" si="293"/>
        <v>0</v>
      </c>
      <c r="X331" s="548">
        <f t="shared" si="293"/>
        <v>0</v>
      </c>
      <c r="Y331" s="548">
        <f t="shared" si="293"/>
        <v>0</v>
      </c>
      <c r="Z331" s="548">
        <f t="shared" si="293"/>
        <v>0</v>
      </c>
      <c r="AA331" s="548">
        <f t="shared" si="293"/>
        <v>0</v>
      </c>
      <c r="AB331" s="548">
        <f t="shared" si="293"/>
        <v>0</v>
      </c>
      <c r="AC331" s="548">
        <f t="shared" si="293"/>
        <v>0</v>
      </c>
      <c r="AD331" s="548">
        <f t="shared" si="293"/>
        <v>0</v>
      </c>
      <c r="AE331" s="548">
        <f t="shared" si="293"/>
        <v>0</v>
      </c>
      <c r="AF331" s="548">
        <f t="shared" si="293"/>
        <v>0</v>
      </c>
      <c r="AG331" s="548">
        <f t="shared" si="293"/>
        <v>0</v>
      </c>
      <c r="AH331" s="548">
        <f t="shared" si="293"/>
        <v>0</v>
      </c>
      <c r="AI331" s="548">
        <f t="shared" si="293"/>
        <v>0</v>
      </c>
      <c r="AJ331" s="548">
        <f t="shared" si="293"/>
        <v>0</v>
      </c>
      <c r="AK331" s="548">
        <f t="shared" si="293"/>
        <v>0</v>
      </c>
      <c r="AL331" s="548">
        <f t="shared" si="293"/>
        <v>0</v>
      </c>
      <c r="AM331" s="548">
        <f t="shared" si="293"/>
        <v>0</v>
      </c>
      <c r="AN331" s="548">
        <f t="shared" si="293"/>
        <v>0</v>
      </c>
      <c r="AO331" s="548">
        <f t="shared" si="293"/>
        <v>0</v>
      </c>
      <c r="AP331" s="548">
        <f t="shared" si="293"/>
        <v>0</v>
      </c>
      <c r="AQ331" s="548">
        <f t="shared" si="293"/>
        <v>0</v>
      </c>
      <c r="AR331" s="548">
        <f t="shared" si="293"/>
        <v>0</v>
      </c>
      <c r="AS331" s="548">
        <f t="shared" si="293"/>
        <v>0</v>
      </c>
      <c r="AT331" s="548">
        <f t="shared" si="293"/>
        <v>0</v>
      </c>
      <c r="AU331" s="548">
        <f t="shared" si="293"/>
        <v>0</v>
      </c>
      <c r="AV331" s="548">
        <f t="shared" si="293"/>
        <v>0</v>
      </c>
      <c r="AW331" s="548">
        <f t="shared" si="293"/>
        <v>0</v>
      </c>
      <c r="AX331" s="548">
        <f t="shared" si="293"/>
        <v>0</v>
      </c>
      <c r="AY331" s="548">
        <f t="shared" si="293"/>
        <v>0</v>
      </c>
      <c r="AZ331" s="548">
        <f t="shared" si="293"/>
        <v>0</v>
      </c>
      <c r="BA331" s="548">
        <f t="shared" si="293"/>
        <v>0</v>
      </c>
      <c r="BB331" s="548">
        <f t="shared" si="293"/>
        <v>0</v>
      </c>
      <c r="BC331" s="548">
        <f t="shared" si="293"/>
        <v>0</v>
      </c>
      <c r="BD331" s="548">
        <f t="shared" si="293"/>
        <v>0</v>
      </c>
      <c r="BE331" s="548">
        <f t="shared" si="293"/>
        <v>0</v>
      </c>
      <c r="BF331" s="548">
        <f t="shared" si="293"/>
        <v>0</v>
      </c>
      <c r="BG331" s="548">
        <f t="shared" si="293"/>
        <v>0</v>
      </c>
      <c r="BH331" s="548">
        <f t="shared" si="293"/>
        <v>0</v>
      </c>
      <c r="BI331" s="548">
        <f t="shared" si="293"/>
        <v>0</v>
      </c>
      <c r="BJ331" s="548">
        <f t="shared" si="293"/>
        <v>0</v>
      </c>
      <c r="BK331" s="548">
        <f t="shared" si="293"/>
        <v>300000000</v>
      </c>
      <c r="BL331" s="548">
        <f t="shared" si="293"/>
        <v>192340000</v>
      </c>
      <c r="BM331" s="548">
        <f t="shared" si="293"/>
        <v>40080000</v>
      </c>
      <c r="BN331" s="548">
        <f t="shared" si="293"/>
        <v>0</v>
      </c>
      <c r="BO331" s="548">
        <f t="shared" si="293"/>
        <v>0</v>
      </c>
      <c r="BP331" s="548">
        <f t="shared" si="293"/>
        <v>0</v>
      </c>
      <c r="BQ331" s="548">
        <f t="shared" si="293"/>
        <v>0</v>
      </c>
      <c r="BR331" s="548">
        <f t="shared" si="293"/>
        <v>0</v>
      </c>
      <c r="BS331" s="548">
        <f t="shared" si="293"/>
        <v>0</v>
      </c>
      <c r="BT331" s="548">
        <f t="shared" si="293"/>
        <v>0</v>
      </c>
      <c r="BU331" s="548">
        <f t="shared" si="293"/>
        <v>0</v>
      </c>
      <c r="BV331" s="548">
        <f t="shared" si="293"/>
        <v>0</v>
      </c>
      <c r="BW331" s="548">
        <f t="shared" si="293"/>
        <v>0</v>
      </c>
      <c r="BX331" s="548">
        <f t="shared" si="293"/>
        <v>0</v>
      </c>
      <c r="BY331" s="548">
        <f t="shared" si="293"/>
        <v>0</v>
      </c>
      <c r="BZ331" s="548">
        <f t="shared" ref="BZ331" si="294">SUM(BZ327:BZ330)</f>
        <v>300000000</v>
      </c>
      <c r="CA331" s="548">
        <f t="shared" ref="CA331:CB331" si="295">SUM(CA327:CA330)</f>
        <v>192340000</v>
      </c>
      <c r="CB331" s="548">
        <f t="shared" si="295"/>
        <v>40080000</v>
      </c>
    </row>
    <row r="332" spans="1:80" s="11" customFormat="1" ht="15.75" x14ac:dyDescent="0.2">
      <c r="A332" s="54"/>
      <c r="B332" s="54"/>
      <c r="C332" s="92"/>
      <c r="D332" s="92"/>
      <c r="E332" s="92"/>
      <c r="F332" s="92"/>
      <c r="G332" s="202"/>
      <c r="H332" s="244"/>
      <c r="I332" s="202"/>
      <c r="J332" s="202"/>
      <c r="K332" s="202"/>
      <c r="L332" s="202"/>
      <c r="M332" s="202"/>
      <c r="N332" s="202"/>
      <c r="O332" s="244"/>
      <c r="P332" s="202"/>
      <c r="Q332" s="244"/>
      <c r="R332" s="543"/>
      <c r="S332" s="543"/>
      <c r="T332" s="543"/>
      <c r="U332" s="544"/>
      <c r="V332" s="544"/>
      <c r="W332" s="544"/>
      <c r="X332" s="543"/>
      <c r="Y332" s="543"/>
      <c r="Z332" s="543"/>
      <c r="AA332" s="543"/>
      <c r="AB332" s="543"/>
      <c r="AC332" s="543"/>
      <c r="AD332" s="543"/>
      <c r="AE332" s="543"/>
      <c r="AF332" s="543"/>
      <c r="AG332" s="543"/>
      <c r="AH332" s="543"/>
      <c r="AI332" s="543"/>
      <c r="AJ332" s="543"/>
      <c r="AK332" s="543"/>
      <c r="AL332" s="543"/>
      <c r="AM332" s="543"/>
      <c r="AN332" s="543"/>
      <c r="AO332" s="543"/>
      <c r="AP332" s="543"/>
      <c r="AQ332" s="543"/>
      <c r="AR332" s="543"/>
      <c r="AS332" s="543"/>
      <c r="AT332" s="543"/>
      <c r="AU332" s="543"/>
      <c r="AV332" s="543"/>
      <c r="AW332" s="543"/>
      <c r="AX332" s="543"/>
      <c r="AY332" s="543"/>
      <c r="AZ332" s="543"/>
      <c r="BA332" s="543"/>
      <c r="BB332" s="543"/>
      <c r="BC332" s="543"/>
      <c r="BD332" s="543"/>
      <c r="BE332" s="543"/>
      <c r="BF332" s="543"/>
      <c r="BG332" s="543"/>
      <c r="BH332" s="543"/>
      <c r="BI332" s="543"/>
      <c r="BJ332" s="543"/>
      <c r="BK332" s="545" t="s">
        <v>62</v>
      </c>
      <c r="BL332" s="545"/>
      <c r="BM332" s="545"/>
      <c r="BN332" s="546"/>
      <c r="BO332" s="546"/>
      <c r="BP332" s="546"/>
      <c r="BQ332" s="543"/>
      <c r="BR332" s="543"/>
      <c r="BS332" s="543"/>
      <c r="BT332" s="543"/>
      <c r="BU332" s="543"/>
      <c r="BV332" s="543"/>
      <c r="BW332" s="544"/>
      <c r="BX332" s="544"/>
      <c r="BY332" s="544"/>
      <c r="BZ332" s="543" t="s">
        <v>62</v>
      </c>
      <c r="CA332" s="543" t="s">
        <v>62</v>
      </c>
      <c r="CB332" s="543" t="s">
        <v>62</v>
      </c>
    </row>
    <row r="333" spans="1:80" s="11" customFormat="1" ht="24.75" customHeight="1" x14ac:dyDescent="0.2">
      <c r="A333" s="54"/>
      <c r="B333" s="54"/>
      <c r="C333" s="508"/>
      <c r="D333" s="508"/>
      <c r="E333" s="508"/>
      <c r="F333" s="508"/>
      <c r="G333" s="314">
        <v>7</v>
      </c>
      <c r="H333" s="170" t="s">
        <v>420</v>
      </c>
      <c r="I333" s="100"/>
      <c r="J333" s="100"/>
      <c r="K333" s="100"/>
      <c r="L333" s="100"/>
      <c r="M333" s="100"/>
      <c r="N333" s="100"/>
      <c r="O333" s="212"/>
      <c r="P333" s="100"/>
      <c r="Q333" s="100"/>
      <c r="R333" s="336"/>
      <c r="S333" s="336"/>
      <c r="T333" s="336"/>
      <c r="U333" s="336"/>
      <c r="V333" s="336"/>
      <c r="W333" s="336"/>
      <c r="X333" s="336"/>
      <c r="Y333" s="336"/>
      <c r="Z333" s="336"/>
      <c r="AA333" s="336"/>
      <c r="AB333" s="336"/>
      <c r="AC333" s="336"/>
      <c r="AD333" s="336"/>
      <c r="AE333" s="336"/>
      <c r="AF333" s="336"/>
      <c r="AG333" s="336"/>
      <c r="AH333" s="336"/>
      <c r="AI333" s="336"/>
      <c r="AJ333" s="336"/>
      <c r="AK333" s="336"/>
      <c r="AL333" s="336"/>
      <c r="AM333" s="336"/>
      <c r="AN333" s="336"/>
      <c r="AO333" s="336"/>
      <c r="AP333" s="336"/>
      <c r="AQ333" s="336"/>
      <c r="AR333" s="336"/>
      <c r="AS333" s="336"/>
      <c r="AT333" s="336"/>
      <c r="AU333" s="336"/>
      <c r="AV333" s="336"/>
      <c r="AW333" s="336"/>
      <c r="AX333" s="336"/>
      <c r="AY333" s="336"/>
      <c r="AZ333" s="336"/>
      <c r="BA333" s="336"/>
      <c r="BB333" s="336"/>
      <c r="BC333" s="336"/>
      <c r="BD333" s="336"/>
      <c r="BE333" s="336"/>
      <c r="BF333" s="336"/>
      <c r="BG333" s="336"/>
      <c r="BH333" s="336"/>
      <c r="BI333" s="336"/>
      <c r="BJ333" s="336"/>
      <c r="BK333" s="552"/>
      <c r="BL333" s="552"/>
      <c r="BM333" s="552"/>
      <c r="BN333" s="336"/>
      <c r="BO333" s="336"/>
      <c r="BP333" s="336"/>
      <c r="BQ333" s="336"/>
      <c r="BR333" s="336"/>
      <c r="BS333" s="336"/>
      <c r="BT333" s="336"/>
      <c r="BU333" s="336"/>
      <c r="BV333" s="336"/>
      <c r="BW333" s="336"/>
      <c r="BX333" s="336"/>
      <c r="BY333" s="336"/>
      <c r="BZ333" s="338"/>
      <c r="CA333" s="338"/>
      <c r="CB333" s="338"/>
    </row>
    <row r="334" spans="1:80" s="11" customFormat="1" ht="126" customHeight="1" x14ac:dyDescent="0.2">
      <c r="A334" s="54"/>
      <c r="B334" s="54"/>
      <c r="C334" s="510" t="s">
        <v>891</v>
      </c>
      <c r="D334" s="518" t="s">
        <v>390</v>
      </c>
      <c r="E334" s="510" t="s">
        <v>892</v>
      </c>
      <c r="F334" s="510" t="s">
        <v>893</v>
      </c>
      <c r="G334" s="64"/>
      <c r="H334" s="57">
        <v>35</v>
      </c>
      <c r="I334" s="56" t="s">
        <v>421</v>
      </c>
      <c r="J334" s="131">
        <v>0</v>
      </c>
      <c r="K334" s="30">
        <v>5</v>
      </c>
      <c r="L334" s="132">
        <v>2</v>
      </c>
      <c r="M334" s="850">
        <v>2017003630074</v>
      </c>
      <c r="N334" s="876" t="s">
        <v>100</v>
      </c>
      <c r="O334" s="856" t="s">
        <v>422</v>
      </c>
      <c r="P334" s="853" t="s">
        <v>423</v>
      </c>
      <c r="Q334" s="57" t="s">
        <v>51</v>
      </c>
      <c r="R334" s="539"/>
      <c r="S334" s="539"/>
      <c r="T334" s="539"/>
      <c r="U334" s="539"/>
      <c r="V334" s="539"/>
      <c r="W334" s="539"/>
      <c r="X334" s="539"/>
      <c r="Y334" s="539"/>
      <c r="Z334" s="539"/>
      <c r="AA334" s="539"/>
      <c r="AB334" s="539"/>
      <c r="AC334" s="539"/>
      <c r="AD334" s="539"/>
      <c r="AE334" s="539"/>
      <c r="AF334" s="539"/>
      <c r="AG334" s="539"/>
      <c r="AH334" s="539"/>
      <c r="AI334" s="539"/>
      <c r="AJ334" s="539"/>
      <c r="AK334" s="539"/>
      <c r="AL334" s="539"/>
      <c r="AM334" s="539"/>
      <c r="AN334" s="539"/>
      <c r="AO334" s="539"/>
      <c r="AP334" s="539"/>
      <c r="AQ334" s="539"/>
      <c r="AR334" s="539"/>
      <c r="AS334" s="539"/>
      <c r="AT334" s="539"/>
      <c r="AU334" s="539"/>
      <c r="AV334" s="539"/>
      <c r="AW334" s="539"/>
      <c r="AX334" s="539"/>
      <c r="AY334" s="539"/>
      <c r="AZ334" s="539"/>
      <c r="BA334" s="539"/>
      <c r="BB334" s="539"/>
      <c r="BC334" s="539"/>
      <c r="BD334" s="539"/>
      <c r="BE334" s="539"/>
      <c r="BF334" s="539"/>
      <c r="BG334" s="539"/>
      <c r="BH334" s="539"/>
      <c r="BI334" s="539"/>
      <c r="BJ334" s="539"/>
      <c r="BK334" s="540">
        <f>34000000+10000000</f>
        <v>44000000</v>
      </c>
      <c r="BL334" s="540">
        <v>36115000</v>
      </c>
      <c r="BM334" s="540">
        <v>9510000</v>
      </c>
      <c r="BN334" s="540"/>
      <c r="BO334" s="540"/>
      <c r="BP334" s="540"/>
      <c r="BQ334" s="539"/>
      <c r="BR334" s="541"/>
      <c r="BS334" s="541"/>
      <c r="BT334" s="541"/>
      <c r="BU334" s="541"/>
      <c r="BV334" s="541"/>
      <c r="BW334" s="541"/>
      <c r="BX334" s="541"/>
      <c r="BY334" s="541"/>
      <c r="BZ334" s="539">
        <f t="shared" ref="BZ334:BZ336" si="296">R334+U334+X334+AA334+AD334+AG334+AJ334+AM334+AP334+AS334+AV334+AY334+BB334+BE334+BH334+BK334+BN334+BQ334+BT334+BW334</f>
        <v>44000000</v>
      </c>
      <c r="CA334" s="539">
        <f t="shared" ref="CA334:CA336" si="297">S334+V334+Y334+AB334+AE334+AH334+AK334+AN334+AQ334+AT334+AW334+AZ334+BC334+BF334+BI334+BL334+BO334+BR334+BU334+BX334</f>
        <v>36115000</v>
      </c>
      <c r="CB334" s="539">
        <f t="shared" ref="CB334:CB336" si="298">T334+W334+Z334+AC334+AF334+AI334+AL334+AO334+AR334+AU334+AX334+BA334+BD334+BG334+BJ334+BM334+BP334+BS334+BV334+BY334</f>
        <v>9510000</v>
      </c>
    </row>
    <row r="335" spans="1:80" s="11" customFormat="1" ht="135" customHeight="1" x14ac:dyDescent="0.2">
      <c r="A335" s="54"/>
      <c r="B335" s="54"/>
      <c r="C335" s="55" t="s">
        <v>891</v>
      </c>
      <c r="D335" s="56" t="s">
        <v>390</v>
      </c>
      <c r="E335" s="57" t="s">
        <v>892</v>
      </c>
      <c r="F335" s="57" t="s">
        <v>893</v>
      </c>
      <c r="G335" s="139"/>
      <c r="H335" s="57">
        <v>36</v>
      </c>
      <c r="I335" s="56" t="s">
        <v>424</v>
      </c>
      <c r="J335" s="131">
        <v>0</v>
      </c>
      <c r="K335" s="132">
        <v>1</v>
      </c>
      <c r="L335" s="136">
        <v>0.26</v>
      </c>
      <c r="M335" s="851"/>
      <c r="N335" s="877"/>
      <c r="O335" s="857"/>
      <c r="P335" s="854"/>
      <c r="Q335" s="57" t="s">
        <v>67</v>
      </c>
      <c r="R335" s="539">
        <v>0</v>
      </c>
      <c r="S335" s="539"/>
      <c r="T335" s="539"/>
      <c r="U335" s="539">
        <v>0</v>
      </c>
      <c r="V335" s="539"/>
      <c r="W335" s="539"/>
      <c r="X335" s="539">
        <v>0</v>
      </c>
      <c r="Y335" s="539"/>
      <c r="Z335" s="539"/>
      <c r="AA335" s="539">
        <v>0</v>
      </c>
      <c r="AB335" s="539"/>
      <c r="AC335" s="539"/>
      <c r="AD335" s="539">
        <v>0</v>
      </c>
      <c r="AE335" s="539"/>
      <c r="AF335" s="539"/>
      <c r="AG335" s="539">
        <v>0</v>
      </c>
      <c r="AH335" s="539"/>
      <c r="AI335" s="539"/>
      <c r="AJ335" s="539">
        <v>0</v>
      </c>
      <c r="AK335" s="539"/>
      <c r="AL335" s="539"/>
      <c r="AM335" s="539"/>
      <c r="AN335" s="539"/>
      <c r="AO335" s="539"/>
      <c r="AP335" s="539"/>
      <c r="AQ335" s="539"/>
      <c r="AR335" s="539"/>
      <c r="AS335" s="539">
        <v>0</v>
      </c>
      <c r="AT335" s="539"/>
      <c r="AU335" s="539"/>
      <c r="AV335" s="539">
        <v>0</v>
      </c>
      <c r="AW335" s="539"/>
      <c r="AX335" s="539"/>
      <c r="AY335" s="539"/>
      <c r="AZ335" s="539"/>
      <c r="BA335" s="539"/>
      <c r="BB335" s="539"/>
      <c r="BC335" s="539"/>
      <c r="BD335" s="539"/>
      <c r="BE335" s="539">
        <v>0</v>
      </c>
      <c r="BF335" s="539"/>
      <c r="BG335" s="539"/>
      <c r="BH335" s="539">
        <v>0</v>
      </c>
      <c r="BI335" s="539"/>
      <c r="BJ335" s="539"/>
      <c r="BK335" s="540">
        <f>19000000+10000000</f>
        <v>29000000</v>
      </c>
      <c r="BL335" s="540">
        <v>13510000</v>
      </c>
      <c r="BM335" s="540">
        <v>0</v>
      </c>
      <c r="BN335" s="540"/>
      <c r="BO335" s="540"/>
      <c r="BP335" s="540"/>
      <c r="BQ335" s="539">
        <v>0</v>
      </c>
      <c r="BR335" s="541"/>
      <c r="BS335" s="541"/>
      <c r="BT335" s="541"/>
      <c r="BU335" s="541"/>
      <c r="BV335" s="541"/>
      <c r="BW335" s="541"/>
      <c r="BX335" s="541"/>
      <c r="BY335" s="541"/>
      <c r="BZ335" s="539">
        <f t="shared" si="296"/>
        <v>29000000</v>
      </c>
      <c r="CA335" s="539">
        <f t="shared" si="297"/>
        <v>13510000</v>
      </c>
      <c r="CB335" s="539">
        <f t="shared" si="298"/>
        <v>0</v>
      </c>
    </row>
    <row r="336" spans="1:80" s="11" customFormat="1" ht="132" customHeight="1" x14ac:dyDescent="0.2">
      <c r="A336" s="54"/>
      <c r="B336" s="54"/>
      <c r="C336" s="508" t="s">
        <v>891</v>
      </c>
      <c r="D336" s="516" t="s">
        <v>390</v>
      </c>
      <c r="E336" s="508" t="s">
        <v>892</v>
      </c>
      <c r="F336" s="508" t="s">
        <v>893</v>
      </c>
      <c r="G336" s="139"/>
      <c r="H336" s="57">
        <v>37</v>
      </c>
      <c r="I336" s="56" t="s">
        <v>425</v>
      </c>
      <c r="J336" s="131">
        <v>0</v>
      </c>
      <c r="K336" s="132">
        <v>1</v>
      </c>
      <c r="L336" s="136">
        <v>0.23</v>
      </c>
      <c r="M336" s="852"/>
      <c r="N336" s="878"/>
      <c r="O336" s="858"/>
      <c r="P336" s="855"/>
      <c r="Q336" s="57" t="s">
        <v>51</v>
      </c>
      <c r="R336" s="539"/>
      <c r="S336" s="539"/>
      <c r="T336" s="539"/>
      <c r="U336" s="539"/>
      <c r="V336" s="539"/>
      <c r="W336" s="539"/>
      <c r="X336" s="539"/>
      <c r="Y336" s="539"/>
      <c r="Z336" s="539"/>
      <c r="AA336" s="539"/>
      <c r="AB336" s="539"/>
      <c r="AC336" s="539"/>
      <c r="AD336" s="539"/>
      <c r="AE336" s="539"/>
      <c r="AF336" s="539"/>
      <c r="AG336" s="539"/>
      <c r="AH336" s="539"/>
      <c r="AI336" s="539"/>
      <c r="AJ336" s="539"/>
      <c r="AK336" s="539"/>
      <c r="AL336" s="539"/>
      <c r="AM336" s="539"/>
      <c r="AN336" s="539"/>
      <c r="AO336" s="539"/>
      <c r="AP336" s="539"/>
      <c r="AQ336" s="539"/>
      <c r="AR336" s="539"/>
      <c r="AS336" s="539"/>
      <c r="AT336" s="539"/>
      <c r="AU336" s="539"/>
      <c r="AV336" s="539"/>
      <c r="AW336" s="539"/>
      <c r="AX336" s="539"/>
      <c r="AY336" s="539"/>
      <c r="AZ336" s="539"/>
      <c r="BA336" s="539"/>
      <c r="BB336" s="539"/>
      <c r="BC336" s="539"/>
      <c r="BD336" s="539"/>
      <c r="BE336" s="539"/>
      <c r="BF336" s="539"/>
      <c r="BG336" s="539"/>
      <c r="BH336" s="539"/>
      <c r="BI336" s="539"/>
      <c r="BJ336" s="539"/>
      <c r="BK336" s="539">
        <f>15000000+37000000</f>
        <v>52000000</v>
      </c>
      <c r="BL336" s="539">
        <v>27260000</v>
      </c>
      <c r="BM336" s="539">
        <v>2430000</v>
      </c>
      <c r="BN336" s="539"/>
      <c r="BO336" s="539"/>
      <c r="BP336" s="539"/>
      <c r="BQ336" s="539"/>
      <c r="BR336" s="541"/>
      <c r="BS336" s="541"/>
      <c r="BT336" s="541"/>
      <c r="BU336" s="541"/>
      <c r="BV336" s="541"/>
      <c r="BW336" s="541"/>
      <c r="BX336" s="541"/>
      <c r="BY336" s="541"/>
      <c r="BZ336" s="539">
        <f t="shared" si="296"/>
        <v>52000000</v>
      </c>
      <c r="CA336" s="539">
        <f t="shared" si="297"/>
        <v>27260000</v>
      </c>
      <c r="CB336" s="539">
        <f t="shared" si="298"/>
        <v>2430000</v>
      </c>
    </row>
    <row r="337" spans="1:88" s="11" customFormat="1" ht="26.25" customHeight="1" x14ac:dyDescent="0.2">
      <c r="A337" s="54"/>
      <c r="B337" s="74"/>
      <c r="C337" s="510"/>
      <c r="D337" s="518"/>
      <c r="E337" s="510"/>
      <c r="F337" s="510"/>
      <c r="G337" s="77"/>
      <c r="H337" s="78"/>
      <c r="I337" s="77"/>
      <c r="J337" s="164"/>
      <c r="K337" s="315"/>
      <c r="L337" s="315"/>
      <c r="M337" s="315"/>
      <c r="N337" s="164"/>
      <c r="O337" s="78"/>
      <c r="P337" s="77"/>
      <c r="Q337" s="78"/>
      <c r="R337" s="548">
        <f t="shared" ref="R337:BY337" si="299">SUM(R334:R336)</f>
        <v>0</v>
      </c>
      <c r="S337" s="548">
        <f t="shared" si="299"/>
        <v>0</v>
      </c>
      <c r="T337" s="548">
        <f t="shared" si="299"/>
        <v>0</v>
      </c>
      <c r="U337" s="548">
        <f t="shared" si="299"/>
        <v>0</v>
      </c>
      <c r="V337" s="548">
        <f t="shared" si="299"/>
        <v>0</v>
      </c>
      <c r="W337" s="548">
        <f t="shared" si="299"/>
        <v>0</v>
      </c>
      <c r="X337" s="548">
        <f t="shared" si="299"/>
        <v>0</v>
      </c>
      <c r="Y337" s="548">
        <f t="shared" si="299"/>
        <v>0</v>
      </c>
      <c r="Z337" s="548">
        <f t="shared" si="299"/>
        <v>0</v>
      </c>
      <c r="AA337" s="548">
        <f t="shared" si="299"/>
        <v>0</v>
      </c>
      <c r="AB337" s="548">
        <f t="shared" si="299"/>
        <v>0</v>
      </c>
      <c r="AC337" s="548">
        <f t="shared" si="299"/>
        <v>0</v>
      </c>
      <c r="AD337" s="548">
        <f t="shared" si="299"/>
        <v>0</v>
      </c>
      <c r="AE337" s="548">
        <f t="shared" si="299"/>
        <v>0</v>
      </c>
      <c r="AF337" s="548">
        <f t="shared" si="299"/>
        <v>0</v>
      </c>
      <c r="AG337" s="548">
        <f t="shared" si="299"/>
        <v>0</v>
      </c>
      <c r="AH337" s="548">
        <f t="shared" si="299"/>
        <v>0</v>
      </c>
      <c r="AI337" s="548">
        <f t="shared" si="299"/>
        <v>0</v>
      </c>
      <c r="AJ337" s="548">
        <f t="shared" si="299"/>
        <v>0</v>
      </c>
      <c r="AK337" s="548">
        <f t="shared" si="299"/>
        <v>0</v>
      </c>
      <c r="AL337" s="548">
        <f t="shared" si="299"/>
        <v>0</v>
      </c>
      <c r="AM337" s="548">
        <f t="shared" si="299"/>
        <v>0</v>
      </c>
      <c r="AN337" s="548">
        <f t="shared" si="299"/>
        <v>0</v>
      </c>
      <c r="AO337" s="548">
        <f t="shared" si="299"/>
        <v>0</v>
      </c>
      <c r="AP337" s="548">
        <f t="shared" si="299"/>
        <v>0</v>
      </c>
      <c r="AQ337" s="548">
        <f t="shared" si="299"/>
        <v>0</v>
      </c>
      <c r="AR337" s="548">
        <f t="shared" si="299"/>
        <v>0</v>
      </c>
      <c r="AS337" s="548">
        <f t="shared" si="299"/>
        <v>0</v>
      </c>
      <c r="AT337" s="548">
        <f t="shared" si="299"/>
        <v>0</v>
      </c>
      <c r="AU337" s="548">
        <f t="shared" si="299"/>
        <v>0</v>
      </c>
      <c r="AV337" s="548">
        <f t="shared" si="299"/>
        <v>0</v>
      </c>
      <c r="AW337" s="548">
        <f t="shared" si="299"/>
        <v>0</v>
      </c>
      <c r="AX337" s="548">
        <f t="shared" si="299"/>
        <v>0</v>
      </c>
      <c r="AY337" s="548">
        <f t="shared" si="299"/>
        <v>0</v>
      </c>
      <c r="AZ337" s="548">
        <f t="shared" si="299"/>
        <v>0</v>
      </c>
      <c r="BA337" s="548">
        <f t="shared" si="299"/>
        <v>0</v>
      </c>
      <c r="BB337" s="548">
        <f t="shared" si="299"/>
        <v>0</v>
      </c>
      <c r="BC337" s="548">
        <f t="shared" si="299"/>
        <v>0</v>
      </c>
      <c r="BD337" s="548">
        <f t="shared" si="299"/>
        <v>0</v>
      </c>
      <c r="BE337" s="548">
        <f t="shared" si="299"/>
        <v>0</v>
      </c>
      <c r="BF337" s="548">
        <f t="shared" si="299"/>
        <v>0</v>
      </c>
      <c r="BG337" s="548">
        <f t="shared" si="299"/>
        <v>0</v>
      </c>
      <c r="BH337" s="548">
        <f t="shared" si="299"/>
        <v>0</v>
      </c>
      <c r="BI337" s="548">
        <f t="shared" si="299"/>
        <v>0</v>
      </c>
      <c r="BJ337" s="548">
        <f t="shared" si="299"/>
        <v>0</v>
      </c>
      <c r="BK337" s="548">
        <f t="shared" si="299"/>
        <v>125000000</v>
      </c>
      <c r="BL337" s="548">
        <f t="shared" si="299"/>
        <v>76885000</v>
      </c>
      <c r="BM337" s="548">
        <f t="shared" si="299"/>
        <v>11940000</v>
      </c>
      <c r="BN337" s="548">
        <f t="shared" si="299"/>
        <v>0</v>
      </c>
      <c r="BO337" s="548">
        <f t="shared" si="299"/>
        <v>0</v>
      </c>
      <c r="BP337" s="548">
        <f t="shared" si="299"/>
        <v>0</v>
      </c>
      <c r="BQ337" s="548">
        <f t="shared" si="299"/>
        <v>0</v>
      </c>
      <c r="BR337" s="548">
        <f t="shared" si="299"/>
        <v>0</v>
      </c>
      <c r="BS337" s="548">
        <f t="shared" si="299"/>
        <v>0</v>
      </c>
      <c r="BT337" s="548">
        <f t="shared" si="299"/>
        <v>0</v>
      </c>
      <c r="BU337" s="548">
        <f t="shared" si="299"/>
        <v>0</v>
      </c>
      <c r="BV337" s="548">
        <f t="shared" si="299"/>
        <v>0</v>
      </c>
      <c r="BW337" s="548">
        <f t="shared" si="299"/>
        <v>0</v>
      </c>
      <c r="BX337" s="548">
        <f t="shared" si="299"/>
        <v>0</v>
      </c>
      <c r="BY337" s="548">
        <f t="shared" si="299"/>
        <v>0</v>
      </c>
      <c r="BZ337" s="548">
        <f t="shared" ref="BZ337" si="300">SUM(BZ334:BZ336)</f>
        <v>125000000</v>
      </c>
      <c r="CA337" s="548">
        <f t="shared" ref="CA337:CB337" si="301">SUM(CA334:CA336)</f>
        <v>76885000</v>
      </c>
      <c r="CB337" s="548">
        <f t="shared" si="301"/>
        <v>11940000</v>
      </c>
    </row>
    <row r="338" spans="1:88" s="459" customFormat="1" ht="24" customHeight="1" x14ac:dyDescent="0.2">
      <c r="A338" s="74"/>
      <c r="B338" s="118"/>
      <c r="C338" s="82"/>
      <c r="D338" s="81"/>
      <c r="E338" s="82"/>
      <c r="F338" s="82" t="s">
        <v>426</v>
      </c>
      <c r="G338" s="81"/>
      <c r="H338" s="82"/>
      <c r="I338" s="81"/>
      <c r="J338" s="178"/>
      <c r="K338" s="316"/>
      <c r="L338" s="316"/>
      <c r="M338" s="316"/>
      <c r="N338" s="178"/>
      <c r="O338" s="82"/>
      <c r="P338" s="81"/>
      <c r="Q338" s="82"/>
      <c r="R338" s="554">
        <f t="shared" ref="R338:BY338" si="302">R337+R331+R324+R315</f>
        <v>0</v>
      </c>
      <c r="S338" s="554">
        <f t="shared" si="302"/>
        <v>0</v>
      </c>
      <c r="T338" s="554">
        <f t="shared" si="302"/>
        <v>0</v>
      </c>
      <c r="U338" s="554">
        <f t="shared" si="302"/>
        <v>0</v>
      </c>
      <c r="V338" s="554">
        <f t="shared" si="302"/>
        <v>0</v>
      </c>
      <c r="W338" s="554">
        <f t="shared" si="302"/>
        <v>0</v>
      </c>
      <c r="X338" s="554">
        <f t="shared" si="302"/>
        <v>0</v>
      </c>
      <c r="Y338" s="554">
        <f t="shared" si="302"/>
        <v>0</v>
      </c>
      <c r="Z338" s="554">
        <f t="shared" si="302"/>
        <v>0</v>
      </c>
      <c r="AA338" s="554">
        <f t="shared" si="302"/>
        <v>0</v>
      </c>
      <c r="AB338" s="554">
        <f t="shared" si="302"/>
        <v>0</v>
      </c>
      <c r="AC338" s="554">
        <f t="shared" si="302"/>
        <v>0</v>
      </c>
      <c r="AD338" s="554">
        <f t="shared" si="302"/>
        <v>0</v>
      </c>
      <c r="AE338" s="554">
        <f t="shared" si="302"/>
        <v>0</v>
      </c>
      <c r="AF338" s="554">
        <f t="shared" si="302"/>
        <v>0</v>
      </c>
      <c r="AG338" s="554">
        <f t="shared" si="302"/>
        <v>0</v>
      </c>
      <c r="AH338" s="554">
        <f t="shared" si="302"/>
        <v>0</v>
      </c>
      <c r="AI338" s="554">
        <f t="shared" si="302"/>
        <v>0</v>
      </c>
      <c r="AJ338" s="554">
        <f t="shared" si="302"/>
        <v>0</v>
      </c>
      <c r="AK338" s="554">
        <f t="shared" si="302"/>
        <v>0</v>
      </c>
      <c r="AL338" s="554">
        <f t="shared" si="302"/>
        <v>0</v>
      </c>
      <c r="AM338" s="554">
        <f t="shared" si="302"/>
        <v>0</v>
      </c>
      <c r="AN338" s="554">
        <f t="shared" si="302"/>
        <v>0</v>
      </c>
      <c r="AO338" s="554">
        <f t="shared" si="302"/>
        <v>0</v>
      </c>
      <c r="AP338" s="554">
        <f t="shared" si="302"/>
        <v>0</v>
      </c>
      <c r="AQ338" s="554">
        <f t="shared" si="302"/>
        <v>0</v>
      </c>
      <c r="AR338" s="554">
        <f t="shared" si="302"/>
        <v>0</v>
      </c>
      <c r="AS338" s="554">
        <f t="shared" si="302"/>
        <v>0</v>
      </c>
      <c r="AT338" s="554">
        <f t="shared" si="302"/>
        <v>0</v>
      </c>
      <c r="AU338" s="554">
        <f t="shared" si="302"/>
        <v>0</v>
      </c>
      <c r="AV338" s="554">
        <f t="shared" si="302"/>
        <v>0</v>
      </c>
      <c r="AW338" s="554">
        <f t="shared" si="302"/>
        <v>0</v>
      </c>
      <c r="AX338" s="554">
        <f t="shared" si="302"/>
        <v>0</v>
      </c>
      <c r="AY338" s="554">
        <f t="shared" si="302"/>
        <v>0</v>
      </c>
      <c r="AZ338" s="554">
        <f t="shared" si="302"/>
        <v>0</v>
      </c>
      <c r="BA338" s="554">
        <f t="shared" si="302"/>
        <v>0</v>
      </c>
      <c r="BB338" s="554">
        <f t="shared" si="302"/>
        <v>0</v>
      </c>
      <c r="BC338" s="554">
        <f t="shared" si="302"/>
        <v>0</v>
      </c>
      <c r="BD338" s="554">
        <f t="shared" si="302"/>
        <v>0</v>
      </c>
      <c r="BE338" s="554">
        <f t="shared" si="302"/>
        <v>0</v>
      </c>
      <c r="BF338" s="554">
        <f t="shared" si="302"/>
        <v>0</v>
      </c>
      <c r="BG338" s="554">
        <f t="shared" si="302"/>
        <v>0</v>
      </c>
      <c r="BH338" s="554">
        <f t="shared" si="302"/>
        <v>0</v>
      </c>
      <c r="BI338" s="554">
        <f t="shared" si="302"/>
        <v>0</v>
      </c>
      <c r="BJ338" s="554">
        <f t="shared" si="302"/>
        <v>0</v>
      </c>
      <c r="BK338" s="554">
        <f t="shared" si="302"/>
        <v>1032000000</v>
      </c>
      <c r="BL338" s="554">
        <f t="shared" si="302"/>
        <v>656110000</v>
      </c>
      <c r="BM338" s="554">
        <f t="shared" si="302"/>
        <v>171530000</v>
      </c>
      <c r="BN338" s="554">
        <f t="shared" si="302"/>
        <v>0</v>
      </c>
      <c r="BO338" s="554">
        <f t="shared" si="302"/>
        <v>0</v>
      </c>
      <c r="BP338" s="554">
        <f t="shared" si="302"/>
        <v>0</v>
      </c>
      <c r="BQ338" s="554">
        <f t="shared" si="302"/>
        <v>0</v>
      </c>
      <c r="BR338" s="554">
        <f t="shared" si="302"/>
        <v>0</v>
      </c>
      <c r="BS338" s="554">
        <f t="shared" si="302"/>
        <v>0</v>
      </c>
      <c r="BT338" s="554">
        <f t="shared" si="302"/>
        <v>1000000000</v>
      </c>
      <c r="BU338" s="554">
        <f t="shared" si="302"/>
        <v>0</v>
      </c>
      <c r="BV338" s="554">
        <f t="shared" si="302"/>
        <v>0</v>
      </c>
      <c r="BW338" s="554">
        <f t="shared" si="302"/>
        <v>0</v>
      </c>
      <c r="BX338" s="554">
        <f t="shared" si="302"/>
        <v>0</v>
      </c>
      <c r="BY338" s="554">
        <f t="shared" si="302"/>
        <v>0</v>
      </c>
      <c r="BZ338" s="554">
        <f t="shared" ref="BZ338" si="303">BZ337+BZ331+BZ324+BZ315</f>
        <v>2032000000</v>
      </c>
      <c r="CA338" s="554">
        <f t="shared" ref="CA338:CB338" si="304">CA337+CA331+CA324+CA315</f>
        <v>656110000</v>
      </c>
      <c r="CB338" s="554">
        <f t="shared" si="304"/>
        <v>171530000</v>
      </c>
    </row>
    <row r="339" spans="1:88" s="10" customFormat="1" ht="21.75" customHeight="1" x14ac:dyDescent="0.25">
      <c r="A339" s="180"/>
      <c r="B339" s="84"/>
      <c r="C339" s="85"/>
      <c r="D339" s="84"/>
      <c r="E339" s="85"/>
      <c r="F339" s="85"/>
      <c r="G339" s="84"/>
      <c r="H339" s="85"/>
      <c r="I339" s="84"/>
      <c r="J339" s="181"/>
      <c r="K339" s="317"/>
      <c r="L339" s="317"/>
      <c r="M339" s="317"/>
      <c r="N339" s="181"/>
      <c r="O339" s="85"/>
      <c r="P339" s="84"/>
      <c r="Q339" s="85"/>
      <c r="R339" s="560">
        <f t="shared" ref="R339:BY339" si="305">R338</f>
        <v>0</v>
      </c>
      <c r="S339" s="560">
        <f t="shared" si="305"/>
        <v>0</v>
      </c>
      <c r="T339" s="560">
        <f t="shared" si="305"/>
        <v>0</v>
      </c>
      <c r="U339" s="560">
        <f t="shared" si="305"/>
        <v>0</v>
      </c>
      <c r="V339" s="560">
        <f t="shared" si="305"/>
        <v>0</v>
      </c>
      <c r="W339" s="560">
        <f t="shared" si="305"/>
        <v>0</v>
      </c>
      <c r="X339" s="560">
        <f t="shared" si="305"/>
        <v>0</v>
      </c>
      <c r="Y339" s="560">
        <f t="shared" si="305"/>
        <v>0</v>
      </c>
      <c r="Z339" s="560">
        <f t="shared" si="305"/>
        <v>0</v>
      </c>
      <c r="AA339" s="560">
        <f t="shared" si="305"/>
        <v>0</v>
      </c>
      <c r="AB339" s="560">
        <f t="shared" si="305"/>
        <v>0</v>
      </c>
      <c r="AC339" s="560">
        <f t="shared" si="305"/>
        <v>0</v>
      </c>
      <c r="AD339" s="560">
        <f t="shared" si="305"/>
        <v>0</v>
      </c>
      <c r="AE339" s="560">
        <f t="shared" si="305"/>
        <v>0</v>
      </c>
      <c r="AF339" s="560">
        <f t="shared" si="305"/>
        <v>0</v>
      </c>
      <c r="AG339" s="560">
        <f t="shared" si="305"/>
        <v>0</v>
      </c>
      <c r="AH339" s="560">
        <f t="shared" si="305"/>
        <v>0</v>
      </c>
      <c r="AI339" s="560">
        <f t="shared" si="305"/>
        <v>0</v>
      </c>
      <c r="AJ339" s="560">
        <f t="shared" si="305"/>
        <v>0</v>
      </c>
      <c r="AK339" s="560">
        <f t="shared" si="305"/>
        <v>0</v>
      </c>
      <c r="AL339" s="560">
        <f t="shared" si="305"/>
        <v>0</v>
      </c>
      <c r="AM339" s="560">
        <f t="shared" si="305"/>
        <v>0</v>
      </c>
      <c r="AN339" s="560">
        <f t="shared" si="305"/>
        <v>0</v>
      </c>
      <c r="AO339" s="560">
        <f t="shared" si="305"/>
        <v>0</v>
      </c>
      <c r="AP339" s="560">
        <f t="shared" si="305"/>
        <v>0</v>
      </c>
      <c r="AQ339" s="560">
        <f t="shared" si="305"/>
        <v>0</v>
      </c>
      <c r="AR339" s="560">
        <f t="shared" si="305"/>
        <v>0</v>
      </c>
      <c r="AS339" s="560">
        <f t="shared" si="305"/>
        <v>0</v>
      </c>
      <c r="AT339" s="560">
        <f t="shared" si="305"/>
        <v>0</v>
      </c>
      <c r="AU339" s="560">
        <f t="shared" si="305"/>
        <v>0</v>
      </c>
      <c r="AV339" s="560">
        <f t="shared" si="305"/>
        <v>0</v>
      </c>
      <c r="AW339" s="560">
        <f t="shared" si="305"/>
        <v>0</v>
      </c>
      <c r="AX339" s="560">
        <f t="shared" si="305"/>
        <v>0</v>
      </c>
      <c r="AY339" s="560">
        <f t="shared" si="305"/>
        <v>0</v>
      </c>
      <c r="AZ339" s="560">
        <f t="shared" si="305"/>
        <v>0</v>
      </c>
      <c r="BA339" s="560">
        <f t="shared" si="305"/>
        <v>0</v>
      </c>
      <c r="BB339" s="560">
        <f t="shared" si="305"/>
        <v>0</v>
      </c>
      <c r="BC339" s="560">
        <f t="shared" si="305"/>
        <v>0</v>
      </c>
      <c r="BD339" s="560">
        <f t="shared" si="305"/>
        <v>0</v>
      </c>
      <c r="BE339" s="560">
        <f t="shared" si="305"/>
        <v>0</v>
      </c>
      <c r="BF339" s="560">
        <f t="shared" si="305"/>
        <v>0</v>
      </c>
      <c r="BG339" s="560">
        <f t="shared" si="305"/>
        <v>0</v>
      </c>
      <c r="BH339" s="560">
        <f t="shared" si="305"/>
        <v>0</v>
      </c>
      <c r="BI339" s="560">
        <f t="shared" si="305"/>
        <v>0</v>
      </c>
      <c r="BJ339" s="560">
        <f t="shared" si="305"/>
        <v>0</v>
      </c>
      <c r="BK339" s="560">
        <f t="shared" si="305"/>
        <v>1032000000</v>
      </c>
      <c r="BL339" s="560">
        <f t="shared" si="305"/>
        <v>656110000</v>
      </c>
      <c r="BM339" s="560">
        <f t="shared" si="305"/>
        <v>171530000</v>
      </c>
      <c r="BN339" s="560">
        <f t="shared" si="305"/>
        <v>0</v>
      </c>
      <c r="BO339" s="560">
        <f t="shared" si="305"/>
        <v>0</v>
      </c>
      <c r="BP339" s="560">
        <f t="shared" si="305"/>
        <v>0</v>
      </c>
      <c r="BQ339" s="560">
        <f t="shared" si="305"/>
        <v>0</v>
      </c>
      <c r="BR339" s="560">
        <f t="shared" si="305"/>
        <v>0</v>
      </c>
      <c r="BS339" s="560">
        <f t="shared" si="305"/>
        <v>0</v>
      </c>
      <c r="BT339" s="560">
        <f t="shared" si="305"/>
        <v>1000000000</v>
      </c>
      <c r="BU339" s="560">
        <f t="shared" si="305"/>
        <v>0</v>
      </c>
      <c r="BV339" s="560">
        <f t="shared" si="305"/>
        <v>0</v>
      </c>
      <c r="BW339" s="560">
        <f t="shared" si="305"/>
        <v>0</v>
      </c>
      <c r="BX339" s="560">
        <f t="shared" si="305"/>
        <v>0</v>
      </c>
      <c r="BY339" s="560">
        <f t="shared" si="305"/>
        <v>0</v>
      </c>
      <c r="BZ339" s="560">
        <f t="shared" ref="BZ339" si="306">BZ338</f>
        <v>2032000000</v>
      </c>
      <c r="CA339" s="560">
        <f t="shared" ref="CA339:CB339" si="307">CA338</f>
        <v>656110000</v>
      </c>
      <c r="CB339" s="560">
        <f t="shared" si="307"/>
        <v>171530000</v>
      </c>
      <c r="CC339" s="2"/>
      <c r="CD339" s="2"/>
      <c r="CE339" s="2"/>
      <c r="CF339" s="2"/>
      <c r="CG339" s="2"/>
      <c r="CH339" s="2"/>
      <c r="CI339" s="2"/>
      <c r="CJ339" s="2"/>
    </row>
    <row r="340" spans="1:88" s="2" customFormat="1" ht="20.25" x14ac:dyDescent="0.25">
      <c r="A340" s="91"/>
      <c r="B340" s="91"/>
      <c r="C340" s="92"/>
      <c r="D340" s="91"/>
      <c r="E340" s="92"/>
      <c r="F340" s="92"/>
      <c r="G340" s="91"/>
      <c r="H340" s="92"/>
      <c r="I340" s="91"/>
      <c r="J340" s="183"/>
      <c r="K340" s="318"/>
      <c r="L340" s="318"/>
      <c r="M340" s="318"/>
      <c r="N340" s="183"/>
      <c r="O340" s="499"/>
      <c r="P340" s="124"/>
      <c r="Q340" s="92"/>
      <c r="R340" s="543"/>
      <c r="S340" s="543"/>
      <c r="T340" s="543"/>
      <c r="U340" s="544"/>
      <c r="V340" s="544"/>
      <c r="W340" s="544"/>
      <c r="X340" s="543"/>
      <c r="Y340" s="543"/>
      <c r="Z340" s="543"/>
      <c r="AA340" s="543"/>
      <c r="AB340" s="543"/>
      <c r="AC340" s="543"/>
      <c r="AD340" s="543"/>
      <c r="AE340" s="543"/>
      <c r="AF340" s="543"/>
      <c r="AG340" s="543"/>
      <c r="AH340" s="543"/>
      <c r="AI340" s="543"/>
      <c r="AJ340" s="543"/>
      <c r="AK340" s="543"/>
      <c r="AL340" s="543"/>
      <c r="AM340" s="543"/>
      <c r="AN340" s="543"/>
      <c r="AO340" s="543"/>
      <c r="AP340" s="543"/>
      <c r="AQ340" s="543"/>
      <c r="AR340" s="543"/>
      <c r="AS340" s="543"/>
      <c r="AT340" s="543"/>
      <c r="AU340" s="543"/>
      <c r="AV340" s="543"/>
      <c r="AW340" s="543"/>
      <c r="AX340" s="543"/>
      <c r="AY340" s="543"/>
      <c r="AZ340" s="543"/>
      <c r="BA340" s="543"/>
      <c r="BB340" s="543"/>
      <c r="BC340" s="543"/>
      <c r="BD340" s="543"/>
      <c r="BE340" s="543"/>
      <c r="BF340" s="543"/>
      <c r="BG340" s="543"/>
      <c r="BH340" s="543"/>
      <c r="BI340" s="543"/>
      <c r="BJ340" s="543"/>
      <c r="BK340" s="545"/>
      <c r="BL340" s="545"/>
      <c r="BM340" s="545"/>
      <c r="BN340" s="543"/>
      <c r="BO340" s="543"/>
      <c r="BP340" s="543"/>
      <c r="BQ340" s="543"/>
      <c r="BR340" s="543"/>
      <c r="BS340" s="543"/>
      <c r="BT340" s="543"/>
      <c r="BU340" s="543"/>
      <c r="BV340" s="543"/>
      <c r="BW340" s="544"/>
      <c r="BX340" s="544"/>
      <c r="BY340" s="544"/>
      <c r="BZ340" s="543"/>
      <c r="CA340" s="543"/>
      <c r="CB340" s="543"/>
    </row>
    <row r="341" spans="1:88" s="2" customFormat="1" ht="20.25" x14ac:dyDescent="0.25">
      <c r="A341" s="44">
        <v>3</v>
      </c>
      <c r="B341" s="45" t="s">
        <v>427</v>
      </c>
      <c r="C341" s="46"/>
      <c r="D341" s="45"/>
      <c r="E341" s="45"/>
      <c r="F341" s="45"/>
      <c r="G341" s="45"/>
      <c r="H341" s="46"/>
      <c r="I341" s="45"/>
      <c r="J341" s="45"/>
      <c r="K341" s="160"/>
      <c r="L341" s="160"/>
      <c r="M341" s="160"/>
      <c r="N341" s="45"/>
      <c r="O341" s="46"/>
      <c r="P341" s="45"/>
      <c r="Q341" s="45"/>
      <c r="R341" s="572"/>
      <c r="S341" s="572"/>
      <c r="T341" s="572"/>
      <c r="U341" s="572"/>
      <c r="V341" s="572"/>
      <c r="W341" s="572"/>
      <c r="X341" s="572"/>
      <c r="Y341" s="572"/>
      <c r="Z341" s="572"/>
      <c r="AA341" s="572"/>
      <c r="AB341" s="572"/>
      <c r="AC341" s="572"/>
      <c r="AD341" s="572"/>
      <c r="AE341" s="572"/>
      <c r="AF341" s="572"/>
      <c r="AG341" s="572"/>
      <c r="AH341" s="572"/>
      <c r="AI341" s="572"/>
      <c r="AJ341" s="572"/>
      <c r="AK341" s="572"/>
      <c r="AL341" s="572"/>
      <c r="AM341" s="572"/>
      <c r="AN341" s="572"/>
      <c r="AO341" s="572"/>
      <c r="AP341" s="572"/>
      <c r="AQ341" s="572"/>
      <c r="AR341" s="572"/>
      <c r="AS341" s="572"/>
      <c r="AT341" s="572"/>
      <c r="AU341" s="572"/>
      <c r="AV341" s="572"/>
      <c r="AW341" s="572"/>
      <c r="AX341" s="572"/>
      <c r="AY341" s="572"/>
      <c r="AZ341" s="572"/>
      <c r="BA341" s="572"/>
      <c r="BB341" s="572"/>
      <c r="BC341" s="572"/>
      <c r="BD341" s="572"/>
      <c r="BE341" s="572"/>
      <c r="BF341" s="572"/>
      <c r="BG341" s="572"/>
      <c r="BH341" s="572"/>
      <c r="BI341" s="572"/>
      <c r="BJ341" s="572"/>
      <c r="BK341" s="573"/>
      <c r="BL341" s="573"/>
      <c r="BM341" s="573"/>
      <c r="BN341" s="572"/>
      <c r="BO341" s="572"/>
      <c r="BP341" s="572"/>
      <c r="BQ341" s="572"/>
      <c r="BR341" s="572"/>
      <c r="BS341" s="572"/>
      <c r="BT341" s="572"/>
      <c r="BU341" s="572"/>
      <c r="BV341" s="572"/>
      <c r="BW341" s="572"/>
      <c r="BX341" s="572"/>
      <c r="BY341" s="572"/>
      <c r="BZ341" s="574"/>
      <c r="CA341" s="574"/>
      <c r="CB341" s="574"/>
    </row>
    <row r="342" spans="1:88" s="2" customFormat="1" ht="20.25" x14ac:dyDescent="0.25">
      <c r="A342" s="96"/>
      <c r="B342" s="152">
        <v>11</v>
      </c>
      <c r="C342" s="51" t="s">
        <v>428</v>
      </c>
      <c r="D342" s="50"/>
      <c r="E342" s="50"/>
      <c r="F342" s="50"/>
      <c r="G342" s="50"/>
      <c r="H342" s="51"/>
      <c r="I342" s="50"/>
      <c r="J342" s="50"/>
      <c r="K342" s="112"/>
      <c r="L342" s="112"/>
      <c r="M342" s="112"/>
      <c r="N342" s="50"/>
      <c r="O342" s="51"/>
      <c r="P342" s="50"/>
      <c r="Q342" s="50"/>
      <c r="R342" s="550"/>
      <c r="S342" s="550"/>
      <c r="T342" s="550"/>
      <c r="U342" s="550"/>
      <c r="V342" s="550"/>
      <c r="W342" s="550"/>
      <c r="X342" s="550"/>
      <c r="Y342" s="550"/>
      <c r="Z342" s="550"/>
      <c r="AA342" s="550"/>
      <c r="AB342" s="550"/>
      <c r="AC342" s="550"/>
      <c r="AD342" s="550"/>
      <c r="AE342" s="550"/>
      <c r="AF342" s="550"/>
      <c r="AG342" s="550"/>
      <c r="AH342" s="550"/>
      <c r="AI342" s="550"/>
      <c r="AJ342" s="550"/>
      <c r="AK342" s="550"/>
      <c r="AL342" s="550"/>
      <c r="AM342" s="550"/>
      <c r="AN342" s="550"/>
      <c r="AO342" s="550"/>
      <c r="AP342" s="550"/>
      <c r="AQ342" s="550"/>
      <c r="AR342" s="550"/>
      <c r="AS342" s="550"/>
      <c r="AT342" s="550"/>
      <c r="AU342" s="550"/>
      <c r="AV342" s="550"/>
      <c r="AW342" s="550"/>
      <c r="AX342" s="550"/>
      <c r="AY342" s="550"/>
      <c r="AZ342" s="550"/>
      <c r="BA342" s="550"/>
      <c r="BB342" s="550"/>
      <c r="BC342" s="550"/>
      <c r="BD342" s="550"/>
      <c r="BE342" s="550"/>
      <c r="BF342" s="550"/>
      <c r="BG342" s="550"/>
      <c r="BH342" s="550"/>
      <c r="BI342" s="550"/>
      <c r="BJ342" s="550"/>
      <c r="BK342" s="551"/>
      <c r="BL342" s="551"/>
      <c r="BM342" s="551"/>
      <c r="BN342" s="550"/>
      <c r="BO342" s="550"/>
      <c r="BP342" s="550"/>
      <c r="BQ342" s="550"/>
      <c r="BR342" s="550"/>
      <c r="BS342" s="550"/>
      <c r="BT342" s="550"/>
      <c r="BU342" s="550"/>
      <c r="BV342" s="550"/>
      <c r="BW342" s="550"/>
      <c r="BX342" s="550"/>
      <c r="BY342" s="550"/>
      <c r="BZ342" s="555"/>
      <c r="CA342" s="555"/>
      <c r="CB342" s="555"/>
    </row>
    <row r="343" spans="1:88" s="2" customFormat="1" ht="20.25" x14ac:dyDescent="0.25">
      <c r="A343" s="54"/>
      <c r="B343" s="194"/>
      <c r="C343" s="508"/>
      <c r="D343" s="516"/>
      <c r="E343" s="508"/>
      <c r="F343" s="508"/>
      <c r="G343" s="274">
        <v>34</v>
      </c>
      <c r="H343" s="99" t="s">
        <v>429</v>
      </c>
      <c r="I343" s="100"/>
      <c r="J343" s="100"/>
      <c r="K343" s="114"/>
      <c r="L343" s="114"/>
      <c r="M343" s="114"/>
      <c r="N343" s="100"/>
      <c r="O343" s="212"/>
      <c r="P343" s="100"/>
      <c r="Q343" s="100"/>
      <c r="R343" s="336"/>
      <c r="S343" s="336"/>
      <c r="T343" s="336"/>
      <c r="U343" s="336"/>
      <c r="V343" s="336"/>
      <c r="W343" s="336"/>
      <c r="X343" s="336"/>
      <c r="Y343" s="336"/>
      <c r="Z343" s="336"/>
      <c r="AA343" s="336"/>
      <c r="AB343" s="336"/>
      <c r="AC343" s="336"/>
      <c r="AD343" s="336"/>
      <c r="AE343" s="336"/>
      <c r="AF343" s="336"/>
      <c r="AG343" s="336"/>
      <c r="AH343" s="336"/>
      <c r="AI343" s="336"/>
      <c r="AJ343" s="336"/>
      <c r="AK343" s="336"/>
      <c r="AL343" s="336"/>
      <c r="AM343" s="336"/>
      <c r="AN343" s="336"/>
      <c r="AO343" s="336"/>
      <c r="AP343" s="336"/>
      <c r="AQ343" s="336"/>
      <c r="AR343" s="336"/>
      <c r="AS343" s="336"/>
      <c r="AT343" s="336"/>
      <c r="AU343" s="336"/>
      <c r="AV343" s="336"/>
      <c r="AW343" s="336"/>
      <c r="AX343" s="336"/>
      <c r="AY343" s="336"/>
      <c r="AZ343" s="336"/>
      <c r="BA343" s="336"/>
      <c r="BB343" s="336"/>
      <c r="BC343" s="336"/>
      <c r="BD343" s="336"/>
      <c r="BE343" s="336"/>
      <c r="BF343" s="336"/>
      <c r="BG343" s="336"/>
      <c r="BH343" s="336"/>
      <c r="BI343" s="336"/>
      <c r="BJ343" s="336"/>
      <c r="BK343" s="552"/>
      <c r="BL343" s="552"/>
      <c r="BM343" s="552"/>
      <c r="BN343" s="336"/>
      <c r="BO343" s="336"/>
      <c r="BP343" s="336"/>
      <c r="BQ343" s="336"/>
      <c r="BR343" s="336"/>
      <c r="BS343" s="336"/>
      <c r="BT343" s="336"/>
      <c r="BU343" s="336"/>
      <c r="BV343" s="336"/>
      <c r="BW343" s="336"/>
      <c r="BX343" s="336"/>
      <c r="BY343" s="336"/>
      <c r="BZ343" s="338"/>
      <c r="CA343" s="338"/>
      <c r="CB343" s="338"/>
    </row>
    <row r="344" spans="1:88" s="11" customFormat="1" ht="55.5" customHeight="1" x14ac:dyDescent="0.2">
      <c r="A344" s="54"/>
      <c r="B344" s="256"/>
      <c r="C344" s="510">
        <v>23</v>
      </c>
      <c r="D344" s="518" t="s">
        <v>430</v>
      </c>
      <c r="E344" s="524">
        <v>0.92</v>
      </c>
      <c r="F344" s="524">
        <v>0.85</v>
      </c>
      <c r="G344" s="58"/>
      <c r="H344" s="57">
        <v>122</v>
      </c>
      <c r="I344" s="56" t="s">
        <v>431</v>
      </c>
      <c r="J344" s="131">
        <v>0</v>
      </c>
      <c r="K344" s="132">
        <v>1</v>
      </c>
      <c r="L344" s="133">
        <v>0.5</v>
      </c>
      <c r="M344" s="850">
        <v>2017003630071</v>
      </c>
      <c r="N344" s="876" t="s">
        <v>432</v>
      </c>
      <c r="O344" s="856" t="s">
        <v>433</v>
      </c>
      <c r="P344" s="853" t="s">
        <v>434</v>
      </c>
      <c r="Q344" s="320" t="s">
        <v>51</v>
      </c>
      <c r="R344" s="539">
        <v>0</v>
      </c>
      <c r="S344" s="539"/>
      <c r="T344" s="539"/>
      <c r="U344" s="539">
        <v>0</v>
      </c>
      <c r="V344" s="539"/>
      <c r="W344" s="539"/>
      <c r="X344" s="539">
        <v>0</v>
      </c>
      <c r="Y344" s="539"/>
      <c r="Z344" s="539"/>
      <c r="AA344" s="539">
        <v>0</v>
      </c>
      <c r="AB344" s="539"/>
      <c r="AC344" s="539"/>
      <c r="AD344" s="539">
        <v>0</v>
      </c>
      <c r="AE344" s="539"/>
      <c r="AF344" s="539"/>
      <c r="AG344" s="539">
        <v>0</v>
      </c>
      <c r="AH344" s="539"/>
      <c r="AI344" s="539"/>
      <c r="AJ344" s="539">
        <v>0</v>
      </c>
      <c r="AK344" s="539"/>
      <c r="AL344" s="539"/>
      <c r="AM344" s="539"/>
      <c r="AN344" s="539"/>
      <c r="AO344" s="539"/>
      <c r="AP344" s="539"/>
      <c r="AQ344" s="539"/>
      <c r="AR344" s="539"/>
      <c r="AS344" s="539">
        <v>0</v>
      </c>
      <c r="AT344" s="539"/>
      <c r="AU344" s="539"/>
      <c r="AV344" s="539">
        <v>0</v>
      </c>
      <c r="AW344" s="539"/>
      <c r="AX344" s="539"/>
      <c r="AY344" s="539"/>
      <c r="AZ344" s="539"/>
      <c r="BA344" s="539"/>
      <c r="BB344" s="539"/>
      <c r="BC344" s="539"/>
      <c r="BD344" s="539"/>
      <c r="BE344" s="539">
        <v>0</v>
      </c>
      <c r="BF344" s="539"/>
      <c r="BG344" s="539"/>
      <c r="BH344" s="539">
        <v>0</v>
      </c>
      <c r="BI344" s="539"/>
      <c r="BJ344" s="539"/>
      <c r="BK344" s="540">
        <f>6000000+20174667+70000000</f>
        <v>96174667</v>
      </c>
      <c r="BL344" s="540">
        <v>25800000</v>
      </c>
      <c r="BM344" s="540"/>
      <c r="BN344" s="540"/>
      <c r="BO344" s="540"/>
      <c r="BP344" s="540"/>
      <c r="BQ344" s="539">
        <v>0</v>
      </c>
      <c r="BR344" s="541"/>
      <c r="BS344" s="541"/>
      <c r="BT344" s="541"/>
      <c r="BU344" s="541"/>
      <c r="BV344" s="541"/>
      <c r="BW344" s="541"/>
      <c r="BX344" s="541"/>
      <c r="BY344" s="541"/>
      <c r="BZ344" s="539">
        <f t="shared" ref="BZ344:BZ348" si="308">R344+U344+X344+AA344+AD344+AG344+AJ344+AM344+AP344+AS344+AV344+AY344+BB344+BE344+BH344+BK344+BN344+BQ344+BT344+BW344</f>
        <v>96174667</v>
      </c>
      <c r="CA344" s="539">
        <f t="shared" ref="CA344:CA348" si="309">S344+V344+Y344+AB344+AE344+AH344+AK344+AN344+AQ344+AT344+AW344+AZ344+BC344+BF344+BI344+BL344+BO344+BR344+BU344+BX344</f>
        <v>25800000</v>
      </c>
      <c r="CB344" s="539">
        <f t="shared" ref="CB344:CB348" si="310">T344+W344+Z344+AC344+AF344+AI344+AL344+AO344+AR344+AU344+AX344+BA344+BD344+BG344+BJ344+BM344+BP344+BS344+BV344+BY344</f>
        <v>0</v>
      </c>
    </row>
    <row r="345" spans="1:88" s="11" customFormat="1" ht="85.5" customHeight="1" x14ac:dyDescent="0.2">
      <c r="A345" s="54"/>
      <c r="B345" s="256"/>
      <c r="C345" s="57"/>
      <c r="D345" s="56"/>
      <c r="E345" s="319"/>
      <c r="F345" s="319"/>
      <c r="G345" s="64"/>
      <c r="H345" s="57">
        <v>123</v>
      </c>
      <c r="I345" s="56" t="s">
        <v>435</v>
      </c>
      <c r="J345" s="131" t="s">
        <v>42</v>
      </c>
      <c r="K345" s="132">
        <v>4</v>
      </c>
      <c r="L345" s="133">
        <v>0.5</v>
      </c>
      <c r="M345" s="851"/>
      <c r="N345" s="877"/>
      <c r="O345" s="857"/>
      <c r="P345" s="854"/>
      <c r="Q345" s="320" t="s">
        <v>51</v>
      </c>
      <c r="R345" s="580"/>
      <c r="S345" s="580"/>
      <c r="T345" s="580"/>
      <c r="U345" s="580"/>
      <c r="V345" s="580"/>
      <c r="W345" s="580"/>
      <c r="X345" s="580"/>
      <c r="Y345" s="580"/>
      <c r="Z345" s="580"/>
      <c r="AA345" s="580"/>
      <c r="AB345" s="580"/>
      <c r="AC345" s="580"/>
      <c r="AD345" s="580"/>
      <c r="AE345" s="580"/>
      <c r="AF345" s="580"/>
      <c r="AG345" s="580"/>
      <c r="AH345" s="580"/>
      <c r="AI345" s="580"/>
      <c r="AJ345" s="580"/>
      <c r="AK345" s="580"/>
      <c r="AL345" s="580"/>
      <c r="AM345" s="580"/>
      <c r="AN345" s="580"/>
      <c r="AO345" s="580"/>
      <c r="AP345" s="580"/>
      <c r="AQ345" s="580"/>
      <c r="AR345" s="580"/>
      <c r="AS345" s="580"/>
      <c r="AT345" s="580"/>
      <c r="AU345" s="580"/>
      <c r="AV345" s="580"/>
      <c r="AW345" s="580"/>
      <c r="AX345" s="580"/>
      <c r="AY345" s="580"/>
      <c r="AZ345" s="580"/>
      <c r="BA345" s="580"/>
      <c r="BB345" s="580"/>
      <c r="BC345" s="580"/>
      <c r="BD345" s="580"/>
      <c r="BE345" s="580"/>
      <c r="BF345" s="580"/>
      <c r="BG345" s="580"/>
      <c r="BH345" s="580"/>
      <c r="BI345" s="613"/>
      <c r="BJ345" s="613"/>
      <c r="BK345" s="542">
        <v>12000000</v>
      </c>
      <c r="BL345" s="614">
        <v>9000000</v>
      </c>
      <c r="BM345" s="614"/>
      <c r="BN345" s="614"/>
      <c r="BO345" s="614"/>
      <c r="BP345" s="614"/>
      <c r="BQ345" s="580"/>
      <c r="BR345" s="613"/>
      <c r="BS345" s="613"/>
      <c r="BT345" s="613"/>
      <c r="BU345" s="613"/>
      <c r="BV345" s="613"/>
      <c r="BW345" s="613"/>
      <c r="BX345" s="613"/>
      <c r="BY345" s="613"/>
      <c r="BZ345" s="539">
        <f t="shared" si="308"/>
        <v>12000000</v>
      </c>
      <c r="CA345" s="539">
        <f t="shared" si="309"/>
        <v>9000000</v>
      </c>
      <c r="CB345" s="539">
        <f t="shared" si="310"/>
        <v>0</v>
      </c>
    </row>
    <row r="346" spans="1:88" s="11" customFormat="1" ht="77.25" customHeight="1" x14ac:dyDescent="0.2">
      <c r="A346" s="54"/>
      <c r="B346" s="256"/>
      <c r="C346" s="57"/>
      <c r="D346" s="56"/>
      <c r="E346" s="319"/>
      <c r="F346" s="319"/>
      <c r="G346" s="64"/>
      <c r="H346" s="57">
        <v>124</v>
      </c>
      <c r="I346" s="56" t="s">
        <v>436</v>
      </c>
      <c r="J346" s="131">
        <v>40</v>
      </c>
      <c r="K346" s="132">
        <v>200</v>
      </c>
      <c r="L346" s="132">
        <v>4</v>
      </c>
      <c r="M346" s="851"/>
      <c r="N346" s="877"/>
      <c r="O346" s="857"/>
      <c r="P346" s="854"/>
      <c r="Q346" s="320" t="s">
        <v>67</v>
      </c>
      <c r="R346" s="580"/>
      <c r="S346" s="580"/>
      <c r="T346" s="580"/>
      <c r="U346" s="580"/>
      <c r="V346" s="580"/>
      <c r="W346" s="580"/>
      <c r="X346" s="580"/>
      <c r="Y346" s="580"/>
      <c r="Z346" s="580"/>
      <c r="AA346" s="580"/>
      <c r="AB346" s="580"/>
      <c r="AC346" s="580"/>
      <c r="AD346" s="580"/>
      <c r="AE346" s="580"/>
      <c r="AF346" s="580"/>
      <c r="AG346" s="580"/>
      <c r="AH346" s="580"/>
      <c r="AI346" s="580"/>
      <c r="AJ346" s="580"/>
      <c r="AK346" s="580"/>
      <c r="AL346" s="580"/>
      <c r="AM346" s="580"/>
      <c r="AN346" s="580"/>
      <c r="AO346" s="580"/>
      <c r="AP346" s="580"/>
      <c r="AQ346" s="580"/>
      <c r="AR346" s="580"/>
      <c r="AS346" s="580"/>
      <c r="AT346" s="580"/>
      <c r="AU346" s="580"/>
      <c r="AV346" s="580"/>
      <c r="AW346" s="580"/>
      <c r="AX346" s="580"/>
      <c r="AY346" s="580"/>
      <c r="AZ346" s="580"/>
      <c r="BA346" s="580"/>
      <c r="BB346" s="580"/>
      <c r="BC346" s="580"/>
      <c r="BD346" s="580"/>
      <c r="BE346" s="580"/>
      <c r="BF346" s="580"/>
      <c r="BG346" s="580"/>
      <c r="BH346" s="580"/>
      <c r="BI346" s="613"/>
      <c r="BJ346" s="613"/>
      <c r="BK346" s="542">
        <f>12000000+16000000+30000000</f>
        <v>58000000</v>
      </c>
      <c r="BL346" s="614">
        <v>26710000</v>
      </c>
      <c r="BM346" s="614"/>
      <c r="BN346" s="614"/>
      <c r="BO346" s="614"/>
      <c r="BP346" s="614"/>
      <c r="BQ346" s="580"/>
      <c r="BR346" s="613"/>
      <c r="BS346" s="613"/>
      <c r="BT346" s="613"/>
      <c r="BU346" s="613"/>
      <c r="BV346" s="613"/>
      <c r="BW346" s="613"/>
      <c r="BX346" s="613"/>
      <c r="BY346" s="613"/>
      <c r="BZ346" s="539">
        <f t="shared" si="308"/>
        <v>58000000</v>
      </c>
      <c r="CA346" s="539">
        <f t="shared" si="309"/>
        <v>26710000</v>
      </c>
      <c r="CB346" s="539">
        <f t="shared" si="310"/>
        <v>0</v>
      </c>
    </row>
    <row r="347" spans="1:88" s="11" customFormat="1" ht="83.25" customHeight="1" x14ac:dyDescent="0.2">
      <c r="A347" s="54"/>
      <c r="B347" s="256"/>
      <c r="C347" s="57"/>
      <c r="D347" s="56"/>
      <c r="E347" s="319"/>
      <c r="F347" s="319"/>
      <c r="G347" s="64"/>
      <c r="H347" s="57">
        <v>126</v>
      </c>
      <c r="I347" s="56" t="s">
        <v>437</v>
      </c>
      <c r="J347" s="131" t="s">
        <v>42</v>
      </c>
      <c r="K347" s="132">
        <f>1795+1531</f>
        <v>3326</v>
      </c>
      <c r="L347" s="132">
        <v>350</v>
      </c>
      <c r="M347" s="851"/>
      <c r="N347" s="877"/>
      <c r="O347" s="857"/>
      <c r="P347" s="854"/>
      <c r="Q347" s="320" t="s">
        <v>51</v>
      </c>
      <c r="R347" s="580"/>
      <c r="S347" s="580"/>
      <c r="T347" s="580"/>
      <c r="U347" s="580"/>
      <c r="V347" s="580"/>
      <c r="W347" s="580"/>
      <c r="X347" s="580"/>
      <c r="Y347" s="580"/>
      <c r="Z347" s="580"/>
      <c r="AA347" s="580"/>
      <c r="AB347" s="580"/>
      <c r="AC347" s="580"/>
      <c r="AD347" s="580"/>
      <c r="AE347" s="580"/>
      <c r="AF347" s="580"/>
      <c r="AG347" s="580"/>
      <c r="AH347" s="580"/>
      <c r="AI347" s="580"/>
      <c r="AJ347" s="580"/>
      <c r="AK347" s="580"/>
      <c r="AL347" s="580"/>
      <c r="AM347" s="580"/>
      <c r="AN347" s="580"/>
      <c r="AO347" s="580"/>
      <c r="AP347" s="580"/>
      <c r="AQ347" s="580"/>
      <c r="AR347" s="580"/>
      <c r="AS347" s="580"/>
      <c r="AT347" s="580"/>
      <c r="AU347" s="580"/>
      <c r="AV347" s="580"/>
      <c r="AW347" s="580"/>
      <c r="AX347" s="580"/>
      <c r="AY347" s="580"/>
      <c r="AZ347" s="580"/>
      <c r="BA347" s="580"/>
      <c r="BB347" s="580"/>
      <c r="BC347" s="580"/>
      <c r="BD347" s="580"/>
      <c r="BE347" s="580"/>
      <c r="BF347" s="580"/>
      <c r="BG347" s="580"/>
      <c r="BH347" s="580"/>
      <c r="BI347" s="580"/>
      <c r="BJ347" s="580"/>
      <c r="BK347" s="540">
        <v>6000000</v>
      </c>
      <c r="BL347" s="614">
        <v>3000000</v>
      </c>
      <c r="BM347" s="614"/>
      <c r="BN347" s="614"/>
      <c r="BO347" s="614"/>
      <c r="BP347" s="614"/>
      <c r="BQ347" s="580"/>
      <c r="BR347" s="613"/>
      <c r="BS347" s="613"/>
      <c r="BT347" s="613"/>
      <c r="BU347" s="613"/>
      <c r="BV347" s="613"/>
      <c r="BW347" s="613"/>
      <c r="BX347" s="613"/>
      <c r="BY347" s="613"/>
      <c r="BZ347" s="539">
        <f t="shared" si="308"/>
        <v>6000000</v>
      </c>
      <c r="CA347" s="539">
        <f t="shared" si="309"/>
        <v>3000000</v>
      </c>
      <c r="CB347" s="539">
        <f t="shared" si="310"/>
        <v>0</v>
      </c>
    </row>
    <row r="348" spans="1:88" s="11" customFormat="1" ht="77.25" customHeight="1" x14ac:dyDescent="0.2">
      <c r="A348" s="54"/>
      <c r="B348" s="256"/>
      <c r="C348" s="508">
        <v>23</v>
      </c>
      <c r="D348" s="516" t="s">
        <v>430</v>
      </c>
      <c r="E348" s="522">
        <v>0.92</v>
      </c>
      <c r="F348" s="522">
        <v>0.85</v>
      </c>
      <c r="G348" s="139"/>
      <c r="H348" s="57">
        <v>125</v>
      </c>
      <c r="I348" s="56" t="s">
        <v>438</v>
      </c>
      <c r="J348" s="59">
        <v>1200</v>
      </c>
      <c r="K348" s="60">
        <v>761</v>
      </c>
      <c r="L348" s="60">
        <v>164</v>
      </c>
      <c r="M348" s="852"/>
      <c r="N348" s="878"/>
      <c r="O348" s="858"/>
      <c r="P348" s="855"/>
      <c r="Q348" s="27" t="s">
        <v>67</v>
      </c>
      <c r="R348" s="580"/>
      <c r="S348" s="580"/>
      <c r="T348" s="580"/>
      <c r="U348" s="580"/>
      <c r="V348" s="580"/>
      <c r="W348" s="580"/>
      <c r="X348" s="580"/>
      <c r="Y348" s="580"/>
      <c r="Z348" s="580"/>
      <c r="AA348" s="580"/>
      <c r="AB348" s="580"/>
      <c r="AC348" s="580"/>
      <c r="AD348" s="580"/>
      <c r="AE348" s="580"/>
      <c r="AF348" s="580"/>
      <c r="AG348" s="580"/>
      <c r="AH348" s="580"/>
      <c r="AI348" s="580"/>
      <c r="AJ348" s="580"/>
      <c r="AK348" s="580"/>
      <c r="AL348" s="580"/>
      <c r="AM348" s="580"/>
      <c r="AN348" s="580"/>
      <c r="AO348" s="580"/>
      <c r="AP348" s="580"/>
      <c r="AQ348" s="580"/>
      <c r="AR348" s="580"/>
      <c r="AS348" s="580"/>
      <c r="AT348" s="580"/>
      <c r="AU348" s="580"/>
      <c r="AV348" s="580"/>
      <c r="AW348" s="580"/>
      <c r="AX348" s="580"/>
      <c r="AY348" s="580"/>
      <c r="AZ348" s="580"/>
      <c r="BA348" s="580"/>
      <c r="BB348" s="580"/>
      <c r="BC348" s="580"/>
      <c r="BD348" s="580"/>
      <c r="BE348" s="580"/>
      <c r="BF348" s="580"/>
      <c r="BG348" s="580"/>
      <c r="BH348" s="580"/>
      <c r="BI348" s="613"/>
      <c r="BJ348" s="613"/>
      <c r="BK348" s="542">
        <f>10825324+17000000+9</f>
        <v>27825333</v>
      </c>
      <c r="BL348" s="614">
        <v>24410000</v>
      </c>
      <c r="BM348" s="614"/>
      <c r="BN348" s="581"/>
      <c r="BO348" s="581"/>
      <c r="BP348" s="581"/>
      <c r="BQ348" s="580"/>
      <c r="BR348" s="613"/>
      <c r="BS348" s="613"/>
      <c r="BT348" s="613"/>
      <c r="BU348" s="613"/>
      <c r="BV348" s="613"/>
      <c r="BW348" s="613"/>
      <c r="BX348" s="613"/>
      <c r="BY348" s="613"/>
      <c r="BZ348" s="539">
        <f t="shared" si="308"/>
        <v>27825333</v>
      </c>
      <c r="CA348" s="539">
        <f t="shared" si="309"/>
        <v>24410000</v>
      </c>
      <c r="CB348" s="539">
        <f t="shared" si="310"/>
        <v>0</v>
      </c>
    </row>
    <row r="349" spans="1:88" s="459" customFormat="1" ht="19.5" customHeight="1" x14ac:dyDescent="0.2">
      <c r="A349" s="54"/>
      <c r="B349" s="260"/>
      <c r="C349" s="510"/>
      <c r="D349" s="518"/>
      <c r="E349" s="510"/>
      <c r="F349" s="510"/>
      <c r="G349" s="116"/>
      <c r="H349" s="117"/>
      <c r="I349" s="116"/>
      <c r="J349" s="321"/>
      <c r="K349" s="322"/>
      <c r="L349" s="322"/>
      <c r="M349" s="322"/>
      <c r="N349" s="321"/>
      <c r="O349" s="117"/>
      <c r="P349" s="116"/>
      <c r="Q349" s="117"/>
      <c r="R349" s="593">
        <f t="shared" ref="R349:BY349" si="311">SUM(R344:R348)</f>
        <v>0</v>
      </c>
      <c r="S349" s="593">
        <f t="shared" si="311"/>
        <v>0</v>
      </c>
      <c r="T349" s="593">
        <f t="shared" si="311"/>
        <v>0</v>
      </c>
      <c r="U349" s="593">
        <f t="shared" si="311"/>
        <v>0</v>
      </c>
      <c r="V349" s="593">
        <f t="shared" si="311"/>
        <v>0</v>
      </c>
      <c r="W349" s="593">
        <f t="shared" si="311"/>
        <v>0</v>
      </c>
      <c r="X349" s="593">
        <f t="shared" si="311"/>
        <v>0</v>
      </c>
      <c r="Y349" s="593">
        <f t="shared" si="311"/>
        <v>0</v>
      </c>
      <c r="Z349" s="593">
        <f t="shared" si="311"/>
        <v>0</v>
      </c>
      <c r="AA349" s="593">
        <f t="shared" si="311"/>
        <v>0</v>
      </c>
      <c r="AB349" s="593">
        <f t="shared" si="311"/>
        <v>0</v>
      </c>
      <c r="AC349" s="593">
        <f t="shared" si="311"/>
        <v>0</v>
      </c>
      <c r="AD349" s="593">
        <f t="shared" si="311"/>
        <v>0</v>
      </c>
      <c r="AE349" s="593">
        <f t="shared" si="311"/>
        <v>0</v>
      </c>
      <c r="AF349" s="593">
        <f t="shared" si="311"/>
        <v>0</v>
      </c>
      <c r="AG349" s="593">
        <f t="shared" si="311"/>
        <v>0</v>
      </c>
      <c r="AH349" s="593">
        <f t="shared" si="311"/>
        <v>0</v>
      </c>
      <c r="AI349" s="593">
        <f t="shared" si="311"/>
        <v>0</v>
      </c>
      <c r="AJ349" s="593">
        <f t="shared" si="311"/>
        <v>0</v>
      </c>
      <c r="AK349" s="593">
        <f t="shared" si="311"/>
        <v>0</v>
      </c>
      <c r="AL349" s="593">
        <f t="shared" si="311"/>
        <v>0</v>
      </c>
      <c r="AM349" s="593">
        <f t="shared" si="311"/>
        <v>0</v>
      </c>
      <c r="AN349" s="593">
        <f t="shared" si="311"/>
        <v>0</v>
      </c>
      <c r="AO349" s="593">
        <f t="shared" si="311"/>
        <v>0</v>
      </c>
      <c r="AP349" s="593">
        <f t="shared" si="311"/>
        <v>0</v>
      </c>
      <c r="AQ349" s="593">
        <f t="shared" si="311"/>
        <v>0</v>
      </c>
      <c r="AR349" s="593">
        <f t="shared" si="311"/>
        <v>0</v>
      </c>
      <c r="AS349" s="593">
        <f t="shared" si="311"/>
        <v>0</v>
      </c>
      <c r="AT349" s="593">
        <f t="shared" si="311"/>
        <v>0</v>
      </c>
      <c r="AU349" s="593">
        <f t="shared" si="311"/>
        <v>0</v>
      </c>
      <c r="AV349" s="593">
        <f t="shared" si="311"/>
        <v>0</v>
      </c>
      <c r="AW349" s="593">
        <f t="shared" si="311"/>
        <v>0</v>
      </c>
      <c r="AX349" s="593">
        <f t="shared" si="311"/>
        <v>0</v>
      </c>
      <c r="AY349" s="593">
        <f t="shared" si="311"/>
        <v>0</v>
      </c>
      <c r="AZ349" s="593">
        <f t="shared" si="311"/>
        <v>0</v>
      </c>
      <c r="BA349" s="593">
        <f t="shared" si="311"/>
        <v>0</v>
      </c>
      <c r="BB349" s="593">
        <f t="shared" si="311"/>
        <v>0</v>
      </c>
      <c r="BC349" s="593">
        <f t="shared" si="311"/>
        <v>0</v>
      </c>
      <c r="BD349" s="593">
        <f t="shared" si="311"/>
        <v>0</v>
      </c>
      <c r="BE349" s="593">
        <f t="shared" si="311"/>
        <v>0</v>
      </c>
      <c r="BF349" s="593">
        <f t="shared" si="311"/>
        <v>0</v>
      </c>
      <c r="BG349" s="593">
        <f t="shared" si="311"/>
        <v>0</v>
      </c>
      <c r="BH349" s="593">
        <f t="shared" si="311"/>
        <v>0</v>
      </c>
      <c r="BI349" s="593">
        <f t="shared" si="311"/>
        <v>0</v>
      </c>
      <c r="BJ349" s="593">
        <f t="shared" si="311"/>
        <v>0</v>
      </c>
      <c r="BK349" s="593">
        <f t="shared" si="311"/>
        <v>200000000</v>
      </c>
      <c r="BL349" s="593">
        <f t="shared" si="311"/>
        <v>88920000</v>
      </c>
      <c r="BM349" s="593">
        <f t="shared" si="311"/>
        <v>0</v>
      </c>
      <c r="BN349" s="593">
        <f t="shared" si="311"/>
        <v>0</v>
      </c>
      <c r="BO349" s="593">
        <f t="shared" si="311"/>
        <v>0</v>
      </c>
      <c r="BP349" s="593">
        <f t="shared" si="311"/>
        <v>0</v>
      </c>
      <c r="BQ349" s="593">
        <f t="shared" si="311"/>
        <v>0</v>
      </c>
      <c r="BR349" s="593">
        <f t="shared" si="311"/>
        <v>0</v>
      </c>
      <c r="BS349" s="593">
        <f t="shared" si="311"/>
        <v>0</v>
      </c>
      <c r="BT349" s="593">
        <f t="shared" si="311"/>
        <v>0</v>
      </c>
      <c r="BU349" s="593">
        <f t="shared" si="311"/>
        <v>0</v>
      </c>
      <c r="BV349" s="593">
        <f t="shared" si="311"/>
        <v>0</v>
      </c>
      <c r="BW349" s="593">
        <f t="shared" si="311"/>
        <v>0</v>
      </c>
      <c r="BX349" s="593">
        <f t="shared" si="311"/>
        <v>0</v>
      </c>
      <c r="BY349" s="593">
        <f t="shared" si="311"/>
        <v>0</v>
      </c>
      <c r="BZ349" s="593">
        <f t="shared" ref="BZ349" si="312">SUM(BZ344:BZ348)</f>
        <v>200000000</v>
      </c>
      <c r="CA349" s="593">
        <f t="shared" ref="CA349:CB349" si="313">SUM(CA344:CA348)</f>
        <v>88920000</v>
      </c>
      <c r="CB349" s="593">
        <f t="shared" si="313"/>
        <v>0</v>
      </c>
    </row>
    <row r="350" spans="1:88" s="459" customFormat="1" ht="19.5" customHeight="1" x14ac:dyDescent="0.2">
      <c r="A350" s="74"/>
      <c r="B350" s="323"/>
      <c r="C350" s="122"/>
      <c r="D350" s="121"/>
      <c r="E350" s="122"/>
      <c r="F350" s="122"/>
      <c r="G350" s="121"/>
      <c r="H350" s="122"/>
      <c r="I350" s="121"/>
      <c r="J350" s="324"/>
      <c r="K350" s="325"/>
      <c r="L350" s="325"/>
      <c r="M350" s="325"/>
      <c r="N350" s="324"/>
      <c r="O350" s="122"/>
      <c r="P350" s="121"/>
      <c r="Q350" s="122"/>
      <c r="R350" s="615">
        <f t="shared" ref="R350:BY350" si="314">R349</f>
        <v>0</v>
      </c>
      <c r="S350" s="615">
        <f t="shared" si="314"/>
        <v>0</v>
      </c>
      <c r="T350" s="615">
        <f t="shared" si="314"/>
        <v>0</v>
      </c>
      <c r="U350" s="615">
        <f t="shared" si="314"/>
        <v>0</v>
      </c>
      <c r="V350" s="615">
        <f t="shared" si="314"/>
        <v>0</v>
      </c>
      <c r="W350" s="615">
        <f t="shared" si="314"/>
        <v>0</v>
      </c>
      <c r="X350" s="615">
        <f t="shared" si="314"/>
        <v>0</v>
      </c>
      <c r="Y350" s="615">
        <f t="shared" si="314"/>
        <v>0</v>
      </c>
      <c r="Z350" s="615">
        <f t="shared" si="314"/>
        <v>0</v>
      </c>
      <c r="AA350" s="615">
        <f t="shared" si="314"/>
        <v>0</v>
      </c>
      <c r="AB350" s="615">
        <f t="shared" si="314"/>
        <v>0</v>
      </c>
      <c r="AC350" s="615">
        <f t="shared" si="314"/>
        <v>0</v>
      </c>
      <c r="AD350" s="615">
        <f t="shared" si="314"/>
        <v>0</v>
      </c>
      <c r="AE350" s="615">
        <f t="shared" si="314"/>
        <v>0</v>
      </c>
      <c r="AF350" s="615">
        <f t="shared" si="314"/>
        <v>0</v>
      </c>
      <c r="AG350" s="615">
        <f t="shared" si="314"/>
        <v>0</v>
      </c>
      <c r="AH350" s="615">
        <f t="shared" si="314"/>
        <v>0</v>
      </c>
      <c r="AI350" s="615">
        <f t="shared" si="314"/>
        <v>0</v>
      </c>
      <c r="AJ350" s="615">
        <f t="shared" si="314"/>
        <v>0</v>
      </c>
      <c r="AK350" s="615">
        <f t="shared" si="314"/>
        <v>0</v>
      </c>
      <c r="AL350" s="615">
        <f t="shared" si="314"/>
        <v>0</v>
      </c>
      <c r="AM350" s="615">
        <f t="shared" si="314"/>
        <v>0</v>
      </c>
      <c r="AN350" s="615">
        <f t="shared" si="314"/>
        <v>0</v>
      </c>
      <c r="AO350" s="615">
        <f t="shared" si="314"/>
        <v>0</v>
      </c>
      <c r="AP350" s="615">
        <f t="shared" si="314"/>
        <v>0</v>
      </c>
      <c r="AQ350" s="615">
        <f t="shared" si="314"/>
        <v>0</v>
      </c>
      <c r="AR350" s="615">
        <f t="shared" si="314"/>
        <v>0</v>
      </c>
      <c r="AS350" s="615">
        <f t="shared" si="314"/>
        <v>0</v>
      </c>
      <c r="AT350" s="615">
        <f t="shared" si="314"/>
        <v>0</v>
      </c>
      <c r="AU350" s="615">
        <f t="shared" si="314"/>
        <v>0</v>
      </c>
      <c r="AV350" s="615">
        <f t="shared" si="314"/>
        <v>0</v>
      </c>
      <c r="AW350" s="615">
        <f t="shared" si="314"/>
        <v>0</v>
      </c>
      <c r="AX350" s="615">
        <f t="shared" si="314"/>
        <v>0</v>
      </c>
      <c r="AY350" s="615">
        <f t="shared" si="314"/>
        <v>0</v>
      </c>
      <c r="AZ350" s="615">
        <f t="shared" si="314"/>
        <v>0</v>
      </c>
      <c r="BA350" s="615">
        <f t="shared" si="314"/>
        <v>0</v>
      </c>
      <c r="BB350" s="615">
        <f t="shared" si="314"/>
        <v>0</v>
      </c>
      <c r="BC350" s="615">
        <f t="shared" si="314"/>
        <v>0</v>
      </c>
      <c r="BD350" s="615">
        <f t="shared" si="314"/>
        <v>0</v>
      </c>
      <c r="BE350" s="615">
        <f t="shared" si="314"/>
        <v>0</v>
      </c>
      <c r="BF350" s="615">
        <f t="shared" si="314"/>
        <v>0</v>
      </c>
      <c r="BG350" s="615">
        <f t="shared" si="314"/>
        <v>0</v>
      </c>
      <c r="BH350" s="615">
        <f t="shared" si="314"/>
        <v>0</v>
      </c>
      <c r="BI350" s="615">
        <f t="shared" si="314"/>
        <v>0</v>
      </c>
      <c r="BJ350" s="615">
        <f t="shared" si="314"/>
        <v>0</v>
      </c>
      <c r="BK350" s="615">
        <f t="shared" si="314"/>
        <v>200000000</v>
      </c>
      <c r="BL350" s="615">
        <f t="shared" si="314"/>
        <v>88920000</v>
      </c>
      <c r="BM350" s="615">
        <f t="shared" si="314"/>
        <v>0</v>
      </c>
      <c r="BN350" s="615">
        <f t="shared" si="314"/>
        <v>0</v>
      </c>
      <c r="BO350" s="615">
        <f t="shared" si="314"/>
        <v>0</v>
      </c>
      <c r="BP350" s="615">
        <f t="shared" si="314"/>
        <v>0</v>
      </c>
      <c r="BQ350" s="615">
        <f t="shared" si="314"/>
        <v>0</v>
      </c>
      <c r="BR350" s="615">
        <f t="shared" si="314"/>
        <v>0</v>
      </c>
      <c r="BS350" s="615">
        <f t="shared" si="314"/>
        <v>0</v>
      </c>
      <c r="BT350" s="615">
        <f t="shared" si="314"/>
        <v>0</v>
      </c>
      <c r="BU350" s="615">
        <f t="shared" si="314"/>
        <v>0</v>
      </c>
      <c r="BV350" s="615">
        <f t="shared" si="314"/>
        <v>0</v>
      </c>
      <c r="BW350" s="615">
        <f t="shared" si="314"/>
        <v>0</v>
      </c>
      <c r="BX350" s="615">
        <f t="shared" si="314"/>
        <v>0</v>
      </c>
      <c r="BY350" s="615">
        <f t="shared" si="314"/>
        <v>0</v>
      </c>
      <c r="BZ350" s="615">
        <f t="shared" ref="BZ350:BZ351" si="315">BZ349</f>
        <v>200000000</v>
      </c>
      <c r="CA350" s="615">
        <f t="shared" ref="CA350:CB350" si="316">CA349</f>
        <v>88920000</v>
      </c>
      <c r="CB350" s="615">
        <f t="shared" si="316"/>
        <v>0</v>
      </c>
    </row>
    <row r="351" spans="1:88" s="459" customFormat="1" ht="19.5" customHeight="1" x14ac:dyDescent="0.2">
      <c r="A351" s="326"/>
      <c r="B351" s="225"/>
      <c r="C351" s="226"/>
      <c r="D351" s="225"/>
      <c r="E351" s="226"/>
      <c r="F351" s="226"/>
      <c r="G351" s="225"/>
      <c r="H351" s="226"/>
      <c r="I351" s="225"/>
      <c r="J351" s="327"/>
      <c r="K351" s="328"/>
      <c r="L351" s="328"/>
      <c r="M351" s="328"/>
      <c r="N351" s="327"/>
      <c r="O351" s="226"/>
      <c r="P351" s="225"/>
      <c r="Q351" s="226"/>
      <c r="R351" s="616">
        <f t="shared" ref="R351:BY351" si="317">R350</f>
        <v>0</v>
      </c>
      <c r="S351" s="616">
        <f t="shared" si="317"/>
        <v>0</v>
      </c>
      <c r="T351" s="616">
        <f t="shared" si="317"/>
        <v>0</v>
      </c>
      <c r="U351" s="616">
        <f t="shared" si="317"/>
        <v>0</v>
      </c>
      <c r="V351" s="616">
        <f t="shared" si="317"/>
        <v>0</v>
      </c>
      <c r="W351" s="616">
        <f t="shared" si="317"/>
        <v>0</v>
      </c>
      <c r="X351" s="616">
        <f t="shared" si="317"/>
        <v>0</v>
      </c>
      <c r="Y351" s="616">
        <f t="shared" si="317"/>
        <v>0</v>
      </c>
      <c r="Z351" s="616">
        <f t="shared" si="317"/>
        <v>0</v>
      </c>
      <c r="AA351" s="616">
        <f t="shared" si="317"/>
        <v>0</v>
      </c>
      <c r="AB351" s="616">
        <f t="shared" si="317"/>
        <v>0</v>
      </c>
      <c r="AC351" s="616">
        <f t="shared" si="317"/>
        <v>0</v>
      </c>
      <c r="AD351" s="616">
        <f t="shared" si="317"/>
        <v>0</v>
      </c>
      <c r="AE351" s="616">
        <f t="shared" si="317"/>
        <v>0</v>
      </c>
      <c r="AF351" s="616">
        <f t="shared" si="317"/>
        <v>0</v>
      </c>
      <c r="AG351" s="616">
        <f t="shared" si="317"/>
        <v>0</v>
      </c>
      <c r="AH351" s="616">
        <f t="shared" si="317"/>
        <v>0</v>
      </c>
      <c r="AI351" s="616">
        <f t="shared" si="317"/>
        <v>0</v>
      </c>
      <c r="AJ351" s="616">
        <f t="shared" si="317"/>
        <v>0</v>
      </c>
      <c r="AK351" s="616">
        <f t="shared" si="317"/>
        <v>0</v>
      </c>
      <c r="AL351" s="616">
        <f t="shared" si="317"/>
        <v>0</v>
      </c>
      <c r="AM351" s="616">
        <f t="shared" si="317"/>
        <v>0</v>
      </c>
      <c r="AN351" s="616">
        <f t="shared" si="317"/>
        <v>0</v>
      </c>
      <c r="AO351" s="616">
        <f t="shared" si="317"/>
        <v>0</v>
      </c>
      <c r="AP351" s="616">
        <f t="shared" si="317"/>
        <v>0</v>
      </c>
      <c r="AQ351" s="616">
        <f t="shared" si="317"/>
        <v>0</v>
      </c>
      <c r="AR351" s="616">
        <f t="shared" si="317"/>
        <v>0</v>
      </c>
      <c r="AS351" s="616">
        <f t="shared" si="317"/>
        <v>0</v>
      </c>
      <c r="AT351" s="616">
        <f t="shared" si="317"/>
        <v>0</v>
      </c>
      <c r="AU351" s="616">
        <f t="shared" si="317"/>
        <v>0</v>
      </c>
      <c r="AV351" s="616">
        <f t="shared" si="317"/>
        <v>0</v>
      </c>
      <c r="AW351" s="616">
        <f t="shared" si="317"/>
        <v>0</v>
      </c>
      <c r="AX351" s="616">
        <f t="shared" si="317"/>
        <v>0</v>
      </c>
      <c r="AY351" s="616">
        <f t="shared" si="317"/>
        <v>0</v>
      </c>
      <c r="AZ351" s="616">
        <f t="shared" si="317"/>
        <v>0</v>
      </c>
      <c r="BA351" s="616">
        <f t="shared" si="317"/>
        <v>0</v>
      </c>
      <c r="BB351" s="616">
        <f t="shared" si="317"/>
        <v>0</v>
      </c>
      <c r="BC351" s="616">
        <f t="shared" si="317"/>
        <v>0</v>
      </c>
      <c r="BD351" s="616">
        <f t="shared" si="317"/>
        <v>0</v>
      </c>
      <c r="BE351" s="616">
        <f t="shared" si="317"/>
        <v>0</v>
      </c>
      <c r="BF351" s="616">
        <f t="shared" si="317"/>
        <v>0</v>
      </c>
      <c r="BG351" s="616">
        <f t="shared" si="317"/>
        <v>0</v>
      </c>
      <c r="BH351" s="616">
        <f t="shared" si="317"/>
        <v>0</v>
      </c>
      <c r="BI351" s="616">
        <f t="shared" si="317"/>
        <v>0</v>
      </c>
      <c r="BJ351" s="616">
        <f t="shared" si="317"/>
        <v>0</v>
      </c>
      <c r="BK351" s="616">
        <f t="shared" si="317"/>
        <v>200000000</v>
      </c>
      <c r="BL351" s="616">
        <f t="shared" si="317"/>
        <v>88920000</v>
      </c>
      <c r="BM351" s="616">
        <f t="shared" si="317"/>
        <v>0</v>
      </c>
      <c r="BN351" s="616">
        <f t="shared" si="317"/>
        <v>0</v>
      </c>
      <c r="BO351" s="616">
        <f t="shared" si="317"/>
        <v>0</v>
      </c>
      <c r="BP351" s="616">
        <f t="shared" si="317"/>
        <v>0</v>
      </c>
      <c r="BQ351" s="616">
        <f t="shared" si="317"/>
        <v>0</v>
      </c>
      <c r="BR351" s="616">
        <f t="shared" si="317"/>
        <v>0</v>
      </c>
      <c r="BS351" s="616">
        <f t="shared" si="317"/>
        <v>0</v>
      </c>
      <c r="BT351" s="616">
        <f t="shared" si="317"/>
        <v>0</v>
      </c>
      <c r="BU351" s="616">
        <f t="shared" si="317"/>
        <v>0</v>
      </c>
      <c r="BV351" s="616">
        <f t="shared" si="317"/>
        <v>0</v>
      </c>
      <c r="BW351" s="616">
        <f t="shared" si="317"/>
        <v>0</v>
      </c>
      <c r="BX351" s="616">
        <f t="shared" si="317"/>
        <v>0</v>
      </c>
      <c r="BY351" s="616">
        <f t="shared" si="317"/>
        <v>0</v>
      </c>
      <c r="BZ351" s="616">
        <f t="shared" si="315"/>
        <v>200000000</v>
      </c>
      <c r="CA351" s="616">
        <f t="shared" ref="CA351:CB351" si="318">CA350</f>
        <v>88920000</v>
      </c>
      <c r="CB351" s="616">
        <f t="shared" si="318"/>
        <v>0</v>
      </c>
    </row>
    <row r="352" spans="1:88" s="459" customFormat="1" ht="19.5" customHeight="1" x14ac:dyDescent="0.2">
      <c r="A352" s="87"/>
      <c r="B352" s="87"/>
      <c r="C352" s="88"/>
      <c r="D352" s="87"/>
      <c r="E352" s="88"/>
      <c r="F352" s="88"/>
      <c r="G352" s="87"/>
      <c r="H352" s="88"/>
      <c r="I352" s="87"/>
      <c r="J352" s="89"/>
      <c r="K352" s="158"/>
      <c r="L352" s="158"/>
      <c r="M352" s="158"/>
      <c r="N352" s="89"/>
      <c r="O352" s="88"/>
      <c r="P352" s="87"/>
      <c r="Q352" s="88"/>
      <c r="R352" s="561">
        <f t="shared" ref="R352:BY352" si="319">+R351+R339+R306</f>
        <v>0</v>
      </c>
      <c r="S352" s="561">
        <f t="shared" si="319"/>
        <v>0</v>
      </c>
      <c r="T352" s="561">
        <f t="shared" si="319"/>
        <v>0</v>
      </c>
      <c r="U352" s="561">
        <f t="shared" si="319"/>
        <v>0</v>
      </c>
      <c r="V352" s="561">
        <f t="shared" si="319"/>
        <v>0</v>
      </c>
      <c r="W352" s="561">
        <f t="shared" si="319"/>
        <v>0</v>
      </c>
      <c r="X352" s="561">
        <f t="shared" si="319"/>
        <v>0</v>
      </c>
      <c r="Y352" s="561">
        <f t="shared" si="319"/>
        <v>0</v>
      </c>
      <c r="Z352" s="561">
        <f t="shared" si="319"/>
        <v>0</v>
      </c>
      <c r="AA352" s="561">
        <f t="shared" si="319"/>
        <v>0</v>
      </c>
      <c r="AB352" s="561">
        <f t="shared" si="319"/>
        <v>0</v>
      </c>
      <c r="AC352" s="561">
        <f t="shared" si="319"/>
        <v>0</v>
      </c>
      <c r="AD352" s="561">
        <f t="shared" si="319"/>
        <v>0</v>
      </c>
      <c r="AE352" s="561">
        <f t="shared" si="319"/>
        <v>0</v>
      </c>
      <c r="AF352" s="561">
        <f t="shared" si="319"/>
        <v>0</v>
      </c>
      <c r="AG352" s="561">
        <f t="shared" si="319"/>
        <v>0</v>
      </c>
      <c r="AH352" s="561">
        <f t="shared" si="319"/>
        <v>0</v>
      </c>
      <c r="AI352" s="561">
        <f t="shared" si="319"/>
        <v>0</v>
      </c>
      <c r="AJ352" s="561">
        <f t="shared" si="319"/>
        <v>0</v>
      </c>
      <c r="AK352" s="561">
        <f t="shared" si="319"/>
        <v>0</v>
      </c>
      <c r="AL352" s="561">
        <f t="shared" si="319"/>
        <v>0</v>
      </c>
      <c r="AM352" s="561">
        <f t="shared" si="319"/>
        <v>0</v>
      </c>
      <c r="AN352" s="561">
        <f t="shared" si="319"/>
        <v>0</v>
      </c>
      <c r="AO352" s="561">
        <f t="shared" si="319"/>
        <v>0</v>
      </c>
      <c r="AP352" s="561">
        <f t="shared" si="319"/>
        <v>0</v>
      </c>
      <c r="AQ352" s="561">
        <f t="shared" si="319"/>
        <v>0</v>
      </c>
      <c r="AR352" s="561">
        <f t="shared" si="319"/>
        <v>0</v>
      </c>
      <c r="AS352" s="561">
        <f t="shared" si="319"/>
        <v>0</v>
      </c>
      <c r="AT352" s="561">
        <f t="shared" si="319"/>
        <v>0</v>
      </c>
      <c r="AU352" s="561">
        <f t="shared" si="319"/>
        <v>0</v>
      </c>
      <c r="AV352" s="561">
        <f t="shared" si="319"/>
        <v>0</v>
      </c>
      <c r="AW352" s="561">
        <f t="shared" si="319"/>
        <v>0</v>
      </c>
      <c r="AX352" s="561">
        <f t="shared" si="319"/>
        <v>0</v>
      </c>
      <c r="AY352" s="561">
        <f t="shared" si="319"/>
        <v>0</v>
      </c>
      <c r="AZ352" s="561">
        <f t="shared" si="319"/>
        <v>0</v>
      </c>
      <c r="BA352" s="561">
        <f t="shared" si="319"/>
        <v>0</v>
      </c>
      <c r="BB352" s="561">
        <f t="shared" si="319"/>
        <v>0</v>
      </c>
      <c r="BC352" s="561">
        <f t="shared" si="319"/>
        <v>0</v>
      </c>
      <c r="BD352" s="561">
        <f t="shared" si="319"/>
        <v>0</v>
      </c>
      <c r="BE352" s="561">
        <f t="shared" si="319"/>
        <v>0</v>
      </c>
      <c r="BF352" s="561">
        <f t="shared" si="319"/>
        <v>0</v>
      </c>
      <c r="BG352" s="561">
        <f t="shared" si="319"/>
        <v>0</v>
      </c>
      <c r="BH352" s="561">
        <f t="shared" si="319"/>
        <v>0</v>
      </c>
      <c r="BI352" s="561">
        <f t="shared" si="319"/>
        <v>0</v>
      </c>
      <c r="BJ352" s="561">
        <f t="shared" si="319"/>
        <v>0</v>
      </c>
      <c r="BK352" s="561">
        <f t="shared" si="319"/>
        <v>2255472658</v>
      </c>
      <c r="BL352" s="561">
        <f t="shared" si="319"/>
        <v>1170402991</v>
      </c>
      <c r="BM352" s="561">
        <f t="shared" si="319"/>
        <v>258856255</v>
      </c>
      <c r="BN352" s="561">
        <f t="shared" si="319"/>
        <v>0</v>
      </c>
      <c r="BO352" s="561">
        <f t="shared" si="319"/>
        <v>0</v>
      </c>
      <c r="BP352" s="561">
        <f t="shared" si="319"/>
        <v>0</v>
      </c>
      <c r="BQ352" s="561">
        <f t="shared" si="319"/>
        <v>0</v>
      </c>
      <c r="BR352" s="561">
        <f t="shared" si="319"/>
        <v>0</v>
      </c>
      <c r="BS352" s="561">
        <f t="shared" si="319"/>
        <v>0</v>
      </c>
      <c r="BT352" s="561">
        <f t="shared" si="319"/>
        <v>1000000000</v>
      </c>
      <c r="BU352" s="561">
        <f t="shared" si="319"/>
        <v>0</v>
      </c>
      <c r="BV352" s="561">
        <f t="shared" si="319"/>
        <v>0</v>
      </c>
      <c r="BW352" s="561">
        <f t="shared" si="319"/>
        <v>0</v>
      </c>
      <c r="BX352" s="561">
        <f t="shared" si="319"/>
        <v>0</v>
      </c>
      <c r="BY352" s="561">
        <f t="shared" si="319"/>
        <v>0</v>
      </c>
      <c r="BZ352" s="561">
        <f t="shared" ref="BZ352" si="320">+BZ351+BZ339+BZ306</f>
        <v>3255472658</v>
      </c>
      <c r="CA352" s="561">
        <f t="shared" ref="CA352:CB352" si="321">+CA351+CA339+CA306</f>
        <v>1170402991</v>
      </c>
      <c r="CB352" s="561">
        <f t="shared" si="321"/>
        <v>258856255</v>
      </c>
    </row>
    <row r="353" spans="1:80" s="11" customFormat="1" x14ac:dyDescent="0.2">
      <c r="A353" s="90"/>
      <c r="B353" s="91"/>
      <c r="C353" s="92"/>
      <c r="D353" s="91"/>
      <c r="E353" s="92"/>
      <c r="F353" s="92"/>
      <c r="G353" s="91"/>
      <c r="H353" s="92"/>
      <c r="I353" s="91"/>
      <c r="J353" s="93"/>
      <c r="K353" s="104"/>
      <c r="L353" s="104"/>
      <c r="M353" s="104"/>
      <c r="N353" s="93"/>
      <c r="O353" s="500"/>
      <c r="P353" s="91"/>
      <c r="Q353" s="92"/>
      <c r="R353" s="543"/>
      <c r="S353" s="543"/>
      <c r="T353" s="543"/>
      <c r="U353" s="544"/>
      <c r="V353" s="544"/>
      <c r="W353" s="544"/>
      <c r="X353" s="543"/>
      <c r="Y353" s="543"/>
      <c r="Z353" s="543"/>
      <c r="AA353" s="543"/>
      <c r="AB353" s="543"/>
      <c r="AC353" s="543"/>
      <c r="AD353" s="543"/>
      <c r="AE353" s="543"/>
      <c r="AF353" s="543"/>
      <c r="AG353" s="543"/>
      <c r="AH353" s="543"/>
      <c r="AI353" s="543"/>
      <c r="AJ353" s="543"/>
      <c r="AK353" s="543"/>
      <c r="AL353" s="543"/>
      <c r="AM353" s="543"/>
      <c r="AN353" s="543"/>
      <c r="AO353" s="543"/>
      <c r="AP353" s="543"/>
      <c r="AQ353" s="543"/>
      <c r="AR353" s="543"/>
      <c r="AS353" s="543"/>
      <c r="AT353" s="543"/>
      <c r="AU353" s="543"/>
      <c r="AV353" s="543"/>
      <c r="AW353" s="543"/>
      <c r="AX353" s="543"/>
      <c r="AY353" s="543"/>
      <c r="AZ353" s="543"/>
      <c r="BA353" s="543"/>
      <c r="BB353" s="543"/>
      <c r="BC353" s="543"/>
      <c r="BD353" s="543"/>
      <c r="BE353" s="543"/>
      <c r="BF353" s="543"/>
      <c r="BG353" s="543"/>
      <c r="BH353" s="543"/>
      <c r="BI353" s="543"/>
      <c r="BJ353" s="543"/>
      <c r="BK353" s="545" t="s">
        <v>62</v>
      </c>
      <c r="BL353" s="545"/>
      <c r="BM353" s="545"/>
      <c r="BN353" s="543"/>
      <c r="BO353" s="543"/>
      <c r="BP353" s="543"/>
      <c r="BQ353" s="543"/>
      <c r="BR353" s="543"/>
      <c r="BS353" s="543"/>
      <c r="BT353" s="543"/>
      <c r="BU353" s="543"/>
      <c r="BV353" s="543"/>
      <c r="BW353" s="543"/>
      <c r="BX353" s="543"/>
      <c r="BY353" s="543"/>
      <c r="BZ353" s="543" t="s">
        <v>62</v>
      </c>
      <c r="CA353" s="543" t="s">
        <v>62</v>
      </c>
      <c r="CB353" s="543" t="s">
        <v>62</v>
      </c>
    </row>
    <row r="354" spans="1:80" s="459" customFormat="1" ht="15.75" x14ac:dyDescent="0.2">
      <c r="A354" s="41" t="s">
        <v>439</v>
      </c>
      <c r="B354" s="42"/>
      <c r="C354" s="43"/>
      <c r="D354" s="42"/>
      <c r="E354" s="42"/>
      <c r="F354" s="42"/>
      <c r="G354" s="42"/>
      <c r="H354" s="43"/>
      <c r="I354" s="42"/>
      <c r="J354" s="42"/>
      <c r="K354" s="159"/>
      <c r="L354" s="159"/>
      <c r="M354" s="159"/>
      <c r="N354" s="42"/>
      <c r="O354" s="43"/>
      <c r="P354" s="42"/>
      <c r="Q354" s="43"/>
      <c r="R354" s="617"/>
      <c r="S354" s="617"/>
      <c r="T354" s="617"/>
      <c r="U354" s="617"/>
      <c r="V354" s="617"/>
      <c r="W354" s="617"/>
      <c r="X354" s="617"/>
      <c r="Y354" s="617"/>
      <c r="Z354" s="617"/>
      <c r="AA354" s="617"/>
      <c r="AB354" s="617"/>
      <c r="AC354" s="617"/>
      <c r="AD354" s="617"/>
      <c r="AE354" s="617"/>
      <c r="AF354" s="617"/>
      <c r="AG354" s="617"/>
      <c r="AH354" s="617"/>
      <c r="AI354" s="617"/>
      <c r="AJ354" s="617"/>
      <c r="AK354" s="617"/>
      <c r="AL354" s="617"/>
      <c r="AM354" s="617"/>
      <c r="AN354" s="617"/>
      <c r="AO354" s="617"/>
      <c r="AP354" s="617"/>
      <c r="AQ354" s="617"/>
      <c r="AR354" s="617"/>
      <c r="AS354" s="617"/>
      <c r="AT354" s="617"/>
      <c r="AU354" s="617"/>
      <c r="AV354" s="617"/>
      <c r="AW354" s="617"/>
      <c r="AX354" s="617"/>
      <c r="AY354" s="617"/>
      <c r="AZ354" s="617"/>
      <c r="BA354" s="617"/>
      <c r="BB354" s="617"/>
      <c r="BC354" s="617"/>
      <c r="BD354" s="617"/>
      <c r="BE354" s="617"/>
      <c r="BF354" s="617"/>
      <c r="BG354" s="617"/>
      <c r="BH354" s="617"/>
      <c r="BI354" s="617"/>
      <c r="BJ354" s="617"/>
      <c r="BK354" s="618"/>
      <c r="BL354" s="618"/>
      <c r="BM354" s="618"/>
      <c r="BN354" s="619"/>
      <c r="BO354" s="619"/>
      <c r="BP354" s="619"/>
      <c r="BQ354" s="617"/>
      <c r="BR354" s="617"/>
      <c r="BS354" s="617"/>
      <c r="BT354" s="617"/>
      <c r="BU354" s="617"/>
      <c r="BV354" s="617"/>
      <c r="BW354" s="617"/>
      <c r="BX354" s="617"/>
      <c r="BY354" s="617"/>
      <c r="BZ354" s="620" t="s">
        <v>62</v>
      </c>
      <c r="CA354" s="620" t="s">
        <v>62</v>
      </c>
      <c r="CB354" s="620" t="s">
        <v>62</v>
      </c>
    </row>
    <row r="355" spans="1:80" s="459" customFormat="1" ht="15.75" x14ac:dyDescent="0.2">
      <c r="A355" s="44">
        <v>5</v>
      </c>
      <c r="B355" s="45" t="s">
        <v>38</v>
      </c>
      <c r="C355" s="46"/>
      <c r="D355" s="45"/>
      <c r="E355" s="45"/>
      <c r="F355" s="45"/>
      <c r="G355" s="45"/>
      <c r="H355" s="46"/>
      <c r="I355" s="45"/>
      <c r="J355" s="45"/>
      <c r="K355" s="160"/>
      <c r="L355" s="160"/>
      <c r="M355" s="160"/>
      <c r="N355" s="45"/>
      <c r="O355" s="46"/>
      <c r="P355" s="45"/>
      <c r="Q355" s="45"/>
      <c r="R355" s="572"/>
      <c r="S355" s="572"/>
      <c r="T355" s="572"/>
      <c r="U355" s="572"/>
      <c r="V355" s="572"/>
      <c r="W355" s="572"/>
      <c r="X355" s="572"/>
      <c r="Y355" s="572"/>
      <c r="Z355" s="572"/>
      <c r="AA355" s="572"/>
      <c r="AB355" s="572"/>
      <c r="AC355" s="572"/>
      <c r="AD355" s="572"/>
      <c r="AE355" s="572"/>
      <c r="AF355" s="572"/>
      <c r="AG355" s="572"/>
      <c r="AH355" s="572"/>
      <c r="AI355" s="572"/>
      <c r="AJ355" s="572"/>
      <c r="AK355" s="572"/>
      <c r="AL355" s="572"/>
      <c r="AM355" s="572"/>
      <c r="AN355" s="572"/>
      <c r="AO355" s="572"/>
      <c r="AP355" s="572"/>
      <c r="AQ355" s="572"/>
      <c r="AR355" s="572"/>
      <c r="AS355" s="572"/>
      <c r="AT355" s="572"/>
      <c r="AU355" s="572"/>
      <c r="AV355" s="572"/>
      <c r="AW355" s="572"/>
      <c r="AX355" s="572"/>
      <c r="AY355" s="572"/>
      <c r="AZ355" s="572"/>
      <c r="BA355" s="572"/>
      <c r="BB355" s="572"/>
      <c r="BC355" s="572"/>
      <c r="BD355" s="572"/>
      <c r="BE355" s="572"/>
      <c r="BF355" s="572"/>
      <c r="BG355" s="572"/>
      <c r="BH355" s="572"/>
      <c r="BI355" s="572"/>
      <c r="BJ355" s="572"/>
      <c r="BK355" s="573"/>
      <c r="BL355" s="573"/>
      <c r="BM355" s="573"/>
      <c r="BN355" s="572"/>
      <c r="BO355" s="572"/>
      <c r="BP355" s="572"/>
      <c r="BQ355" s="572"/>
      <c r="BR355" s="572"/>
      <c r="BS355" s="572"/>
      <c r="BT355" s="572"/>
      <c r="BU355" s="572"/>
      <c r="BV355" s="572"/>
      <c r="BW355" s="572"/>
      <c r="BX355" s="572"/>
      <c r="BY355" s="572"/>
      <c r="BZ355" s="574"/>
      <c r="CA355" s="574"/>
      <c r="CB355" s="574"/>
    </row>
    <row r="356" spans="1:80" s="2" customFormat="1" ht="20.25" x14ac:dyDescent="0.25">
      <c r="A356" s="96"/>
      <c r="B356" s="152">
        <v>26</v>
      </c>
      <c r="C356" s="51" t="s">
        <v>69</v>
      </c>
      <c r="D356" s="50"/>
      <c r="E356" s="50"/>
      <c r="F356" s="50"/>
      <c r="G356" s="50"/>
      <c r="H356" s="51"/>
      <c r="I356" s="50"/>
      <c r="J356" s="50"/>
      <c r="K356" s="112"/>
      <c r="L356" s="112"/>
      <c r="M356" s="112"/>
      <c r="N356" s="50"/>
      <c r="O356" s="51"/>
      <c r="P356" s="50"/>
      <c r="Q356" s="50"/>
      <c r="R356" s="550"/>
      <c r="S356" s="550"/>
      <c r="T356" s="550"/>
      <c r="U356" s="550"/>
      <c r="V356" s="550"/>
      <c r="W356" s="550"/>
      <c r="X356" s="550"/>
      <c r="Y356" s="550"/>
      <c r="Z356" s="550"/>
      <c r="AA356" s="550"/>
      <c r="AB356" s="550"/>
      <c r="AC356" s="550"/>
      <c r="AD356" s="550"/>
      <c r="AE356" s="550"/>
      <c r="AF356" s="550"/>
      <c r="AG356" s="550"/>
      <c r="AH356" s="550"/>
      <c r="AI356" s="550"/>
      <c r="AJ356" s="550"/>
      <c r="AK356" s="550"/>
      <c r="AL356" s="550"/>
      <c r="AM356" s="550"/>
      <c r="AN356" s="550"/>
      <c r="AO356" s="550"/>
      <c r="AP356" s="550"/>
      <c r="AQ356" s="550"/>
      <c r="AR356" s="550"/>
      <c r="AS356" s="550"/>
      <c r="AT356" s="550"/>
      <c r="AU356" s="550"/>
      <c r="AV356" s="550"/>
      <c r="AW356" s="550"/>
      <c r="AX356" s="550"/>
      <c r="AY356" s="550"/>
      <c r="AZ356" s="550"/>
      <c r="BA356" s="550"/>
      <c r="BB356" s="550"/>
      <c r="BC356" s="550"/>
      <c r="BD356" s="550"/>
      <c r="BE356" s="550"/>
      <c r="BF356" s="550"/>
      <c r="BG356" s="550"/>
      <c r="BH356" s="550"/>
      <c r="BI356" s="550"/>
      <c r="BJ356" s="550"/>
      <c r="BK356" s="551"/>
      <c r="BL356" s="551"/>
      <c r="BM356" s="551"/>
      <c r="BN356" s="550"/>
      <c r="BO356" s="550"/>
      <c r="BP356" s="550"/>
      <c r="BQ356" s="550"/>
      <c r="BR356" s="550"/>
      <c r="BS356" s="550"/>
      <c r="BT356" s="550"/>
      <c r="BU356" s="550"/>
      <c r="BV356" s="550"/>
      <c r="BW356" s="550"/>
      <c r="BX356" s="550"/>
      <c r="BY356" s="550"/>
      <c r="BZ356" s="555"/>
      <c r="CA356" s="555"/>
      <c r="CB356" s="555"/>
    </row>
    <row r="357" spans="1:80" s="2" customFormat="1" ht="20.25" x14ac:dyDescent="0.25">
      <c r="A357" s="54"/>
      <c r="B357" s="96"/>
      <c r="C357" s="508"/>
      <c r="D357" s="516"/>
      <c r="E357" s="508"/>
      <c r="F357" s="508"/>
      <c r="G357" s="274">
        <v>83</v>
      </c>
      <c r="H357" s="100" t="s">
        <v>70</v>
      </c>
      <c r="I357" s="100"/>
      <c r="J357" s="100"/>
      <c r="K357" s="114"/>
      <c r="L357" s="114"/>
      <c r="M357" s="114"/>
      <c r="N357" s="100"/>
      <c r="O357" s="212"/>
      <c r="P357" s="100"/>
      <c r="Q357" s="100"/>
      <c r="R357" s="336"/>
      <c r="S357" s="336"/>
      <c r="T357" s="336"/>
      <c r="U357" s="336"/>
      <c r="V357" s="336"/>
      <c r="W357" s="336"/>
      <c r="X357" s="336"/>
      <c r="Y357" s="336"/>
      <c r="Z357" s="336"/>
      <c r="AA357" s="336"/>
      <c r="AB357" s="336"/>
      <c r="AC357" s="336"/>
      <c r="AD357" s="336"/>
      <c r="AE357" s="336"/>
      <c r="AF357" s="336"/>
      <c r="AG357" s="336"/>
      <c r="AH357" s="336"/>
      <c r="AI357" s="336"/>
      <c r="AJ357" s="336"/>
      <c r="AK357" s="336"/>
      <c r="AL357" s="336"/>
      <c r="AM357" s="336"/>
      <c r="AN357" s="336"/>
      <c r="AO357" s="336"/>
      <c r="AP357" s="336"/>
      <c r="AQ357" s="336"/>
      <c r="AR357" s="336"/>
      <c r="AS357" s="336"/>
      <c r="AT357" s="336"/>
      <c r="AU357" s="336"/>
      <c r="AV357" s="336"/>
      <c r="AW357" s="336"/>
      <c r="AX357" s="336"/>
      <c r="AY357" s="336"/>
      <c r="AZ357" s="336"/>
      <c r="BA357" s="336"/>
      <c r="BB357" s="336"/>
      <c r="BC357" s="336"/>
      <c r="BD357" s="336"/>
      <c r="BE357" s="336"/>
      <c r="BF357" s="336"/>
      <c r="BG357" s="336"/>
      <c r="BH357" s="336"/>
      <c r="BI357" s="336"/>
      <c r="BJ357" s="336"/>
      <c r="BK357" s="552"/>
      <c r="BL357" s="552"/>
      <c r="BM357" s="552"/>
      <c r="BN357" s="336"/>
      <c r="BO357" s="336"/>
      <c r="BP357" s="336"/>
      <c r="BQ357" s="336"/>
      <c r="BR357" s="336"/>
      <c r="BS357" s="336"/>
      <c r="BT357" s="336"/>
      <c r="BU357" s="336"/>
      <c r="BV357" s="336"/>
      <c r="BW357" s="336"/>
      <c r="BX357" s="336"/>
      <c r="BY357" s="336"/>
      <c r="BZ357" s="338"/>
      <c r="CA357" s="338"/>
      <c r="CB357" s="338"/>
    </row>
    <row r="358" spans="1:80" s="11" customFormat="1" ht="94.5" customHeight="1" x14ac:dyDescent="0.2">
      <c r="A358" s="54"/>
      <c r="B358" s="54"/>
      <c r="C358" s="510">
        <v>37</v>
      </c>
      <c r="D358" s="518" t="s">
        <v>440</v>
      </c>
      <c r="E358" s="510" t="s">
        <v>441</v>
      </c>
      <c r="F358" s="510">
        <v>60</v>
      </c>
      <c r="G358" s="58"/>
      <c r="H358" s="538">
        <v>244</v>
      </c>
      <c r="I358" s="56" t="s">
        <v>442</v>
      </c>
      <c r="J358" s="59" t="s">
        <v>42</v>
      </c>
      <c r="K358" s="60">
        <v>12</v>
      </c>
      <c r="L358" s="60">
        <v>0</v>
      </c>
      <c r="M358" s="61">
        <v>201700360034</v>
      </c>
      <c r="N358" s="62" t="s">
        <v>443</v>
      </c>
      <c r="O358" s="498" t="s">
        <v>444</v>
      </c>
      <c r="P358" s="56" t="s">
        <v>445</v>
      </c>
      <c r="Q358" s="57" t="s">
        <v>67</v>
      </c>
      <c r="R358" s="539">
        <v>0</v>
      </c>
      <c r="S358" s="539"/>
      <c r="T358" s="539"/>
      <c r="U358" s="539">
        <v>0</v>
      </c>
      <c r="V358" s="539"/>
      <c r="W358" s="539"/>
      <c r="X358" s="539">
        <v>0</v>
      </c>
      <c r="Y358" s="539"/>
      <c r="Z358" s="539"/>
      <c r="AA358" s="539">
        <v>0</v>
      </c>
      <c r="AB358" s="539"/>
      <c r="AC358" s="539"/>
      <c r="AD358" s="539">
        <v>0</v>
      </c>
      <c r="AE358" s="539"/>
      <c r="AF358" s="539"/>
      <c r="AG358" s="539">
        <v>0</v>
      </c>
      <c r="AH358" s="539"/>
      <c r="AI358" s="539"/>
      <c r="AJ358" s="539">
        <v>0</v>
      </c>
      <c r="AK358" s="539"/>
      <c r="AL358" s="539"/>
      <c r="AM358" s="539"/>
      <c r="AN358" s="539"/>
      <c r="AO358" s="539"/>
      <c r="AP358" s="539"/>
      <c r="AQ358" s="539"/>
      <c r="AR358" s="539"/>
      <c r="AS358" s="539">
        <v>0</v>
      </c>
      <c r="AT358" s="539"/>
      <c r="AU358" s="539"/>
      <c r="AV358" s="539">
        <v>0</v>
      </c>
      <c r="AW358" s="539"/>
      <c r="AX358" s="539"/>
      <c r="AY358" s="539"/>
      <c r="AZ358" s="539"/>
      <c r="BA358" s="539"/>
      <c r="BB358" s="539"/>
      <c r="BC358" s="539"/>
      <c r="BD358" s="539"/>
      <c r="BE358" s="539">
        <v>0</v>
      </c>
      <c r="BF358" s="539"/>
      <c r="BG358" s="539"/>
      <c r="BH358" s="539">
        <v>0</v>
      </c>
      <c r="BI358" s="541"/>
      <c r="BJ358" s="541"/>
      <c r="BK358" s="542">
        <f>567000000+60000000</f>
        <v>627000000</v>
      </c>
      <c r="BL358" s="542">
        <v>322200000</v>
      </c>
      <c r="BM358" s="542">
        <v>70960000</v>
      </c>
      <c r="BN358" s="542"/>
      <c r="BO358" s="542"/>
      <c r="BP358" s="542"/>
      <c r="BQ358" s="539">
        <v>0</v>
      </c>
      <c r="BR358" s="541"/>
      <c r="BS358" s="541"/>
      <c r="BT358" s="541"/>
      <c r="BU358" s="541"/>
      <c r="BV358" s="541"/>
      <c r="BW358" s="541"/>
      <c r="BX358" s="541"/>
      <c r="BY358" s="541"/>
      <c r="BZ358" s="539">
        <f t="shared" ref="BZ358:BZ359" si="322">R358+U358+X358+AA358+AD358+AG358+AJ358+AM358+AP358+AS358+AV358+AY358+BB358+BE358+BH358+BK358+BN358+BQ358+BT358+BW358</f>
        <v>627000000</v>
      </c>
      <c r="CA358" s="539">
        <f t="shared" ref="CA358:CA359" si="323">S358+V358+Y358+AB358+AE358+AH358+AK358+AN358+AQ358+AT358+AW358+AZ358+BC358+BF358+BI358+BL358+BO358+BR358+BU358+BX358</f>
        <v>322200000</v>
      </c>
      <c r="CB358" s="539">
        <f t="shared" ref="CB358:CB359" si="324">T358+W358+Z358+AC358+AF358+AI358+AL358+AO358+AR358+AU358+AX358+BA358+BD358+BG358+BJ358+BM358+BP358+BS358+BV358+BY358</f>
        <v>70960000</v>
      </c>
    </row>
    <row r="359" spans="1:80" s="11" customFormat="1" ht="84.75" customHeight="1" x14ac:dyDescent="0.2">
      <c r="A359" s="54"/>
      <c r="B359" s="54"/>
      <c r="C359" s="508">
        <v>37</v>
      </c>
      <c r="D359" s="516" t="s">
        <v>446</v>
      </c>
      <c r="E359" s="508" t="s">
        <v>441</v>
      </c>
      <c r="F359" s="508">
        <v>60</v>
      </c>
      <c r="G359" s="139"/>
      <c r="H359" s="538">
        <v>245</v>
      </c>
      <c r="I359" s="56" t="s">
        <v>447</v>
      </c>
      <c r="J359" s="59" t="s">
        <v>42</v>
      </c>
      <c r="K359" s="60">
        <v>1</v>
      </c>
      <c r="L359" s="60">
        <v>0</v>
      </c>
      <c r="M359" s="61">
        <v>201700360035</v>
      </c>
      <c r="N359" s="62" t="s">
        <v>443</v>
      </c>
      <c r="O359" s="498" t="s">
        <v>448</v>
      </c>
      <c r="P359" s="56" t="s">
        <v>449</v>
      </c>
      <c r="Q359" s="57" t="s">
        <v>51</v>
      </c>
      <c r="R359" s="539">
        <v>0</v>
      </c>
      <c r="S359" s="539"/>
      <c r="T359" s="539"/>
      <c r="U359" s="539">
        <v>0</v>
      </c>
      <c r="V359" s="539"/>
      <c r="W359" s="539"/>
      <c r="X359" s="539">
        <v>0</v>
      </c>
      <c r="Y359" s="539"/>
      <c r="Z359" s="539"/>
      <c r="AA359" s="539">
        <v>0</v>
      </c>
      <c r="AB359" s="539"/>
      <c r="AC359" s="539"/>
      <c r="AD359" s="539">
        <v>0</v>
      </c>
      <c r="AE359" s="539"/>
      <c r="AF359" s="539"/>
      <c r="AG359" s="539">
        <v>0</v>
      </c>
      <c r="AH359" s="539"/>
      <c r="AI359" s="539"/>
      <c r="AJ359" s="539">
        <v>0</v>
      </c>
      <c r="AK359" s="539"/>
      <c r="AL359" s="539"/>
      <c r="AM359" s="539"/>
      <c r="AN359" s="539"/>
      <c r="AO359" s="539"/>
      <c r="AP359" s="539"/>
      <c r="AQ359" s="539"/>
      <c r="AR359" s="539"/>
      <c r="AS359" s="539">
        <v>0</v>
      </c>
      <c r="AT359" s="539"/>
      <c r="AU359" s="539"/>
      <c r="AV359" s="539">
        <v>0</v>
      </c>
      <c r="AW359" s="539"/>
      <c r="AX359" s="539"/>
      <c r="AY359" s="539"/>
      <c r="AZ359" s="539"/>
      <c r="BA359" s="539"/>
      <c r="BB359" s="539"/>
      <c r="BC359" s="539"/>
      <c r="BD359" s="539"/>
      <c r="BE359" s="539">
        <v>0</v>
      </c>
      <c r="BF359" s="539"/>
      <c r="BG359" s="539"/>
      <c r="BH359" s="539">
        <v>0</v>
      </c>
      <c r="BI359" s="541"/>
      <c r="BJ359" s="541"/>
      <c r="BK359" s="542">
        <v>60000000</v>
      </c>
      <c r="BL359" s="542"/>
      <c r="BM359" s="542"/>
      <c r="BN359" s="542"/>
      <c r="BO359" s="542"/>
      <c r="BP359" s="542"/>
      <c r="BQ359" s="539">
        <v>0</v>
      </c>
      <c r="BR359" s="541"/>
      <c r="BS359" s="541"/>
      <c r="BT359" s="541"/>
      <c r="BU359" s="541"/>
      <c r="BV359" s="541"/>
      <c r="BW359" s="541"/>
      <c r="BX359" s="541"/>
      <c r="BY359" s="541"/>
      <c r="BZ359" s="539">
        <f t="shared" si="322"/>
        <v>60000000</v>
      </c>
      <c r="CA359" s="539">
        <f t="shared" si="323"/>
        <v>0</v>
      </c>
      <c r="CB359" s="539">
        <f t="shared" si="324"/>
        <v>0</v>
      </c>
    </row>
    <row r="360" spans="1:80" s="459" customFormat="1" ht="15.75" x14ac:dyDescent="0.2">
      <c r="A360" s="54"/>
      <c r="B360" s="74"/>
      <c r="C360" s="510"/>
      <c r="D360" s="518"/>
      <c r="E360" s="510"/>
      <c r="F360" s="510"/>
      <c r="G360" s="77"/>
      <c r="H360" s="78"/>
      <c r="I360" s="77"/>
      <c r="J360" s="79"/>
      <c r="K360" s="140"/>
      <c r="L360" s="140"/>
      <c r="M360" s="140"/>
      <c r="N360" s="79"/>
      <c r="O360" s="78"/>
      <c r="P360" s="77"/>
      <c r="Q360" s="78"/>
      <c r="R360" s="548">
        <f t="shared" ref="R360:BY360" si="325">SUM(R358:R359)</f>
        <v>0</v>
      </c>
      <c r="S360" s="548">
        <f t="shared" si="325"/>
        <v>0</v>
      </c>
      <c r="T360" s="548">
        <f t="shared" si="325"/>
        <v>0</v>
      </c>
      <c r="U360" s="548">
        <f t="shared" si="325"/>
        <v>0</v>
      </c>
      <c r="V360" s="548">
        <f t="shared" si="325"/>
        <v>0</v>
      </c>
      <c r="W360" s="548">
        <f t="shared" si="325"/>
        <v>0</v>
      </c>
      <c r="X360" s="548">
        <f t="shared" si="325"/>
        <v>0</v>
      </c>
      <c r="Y360" s="548">
        <f t="shared" si="325"/>
        <v>0</v>
      </c>
      <c r="Z360" s="548">
        <f t="shared" si="325"/>
        <v>0</v>
      </c>
      <c r="AA360" s="548">
        <f t="shared" si="325"/>
        <v>0</v>
      </c>
      <c r="AB360" s="548">
        <f t="shared" si="325"/>
        <v>0</v>
      </c>
      <c r="AC360" s="548">
        <f t="shared" si="325"/>
        <v>0</v>
      </c>
      <c r="AD360" s="548">
        <f t="shared" si="325"/>
        <v>0</v>
      </c>
      <c r="AE360" s="548">
        <f t="shared" si="325"/>
        <v>0</v>
      </c>
      <c r="AF360" s="548">
        <f t="shared" si="325"/>
        <v>0</v>
      </c>
      <c r="AG360" s="548">
        <f t="shared" si="325"/>
        <v>0</v>
      </c>
      <c r="AH360" s="548">
        <f t="shared" si="325"/>
        <v>0</v>
      </c>
      <c r="AI360" s="548">
        <f t="shared" si="325"/>
        <v>0</v>
      </c>
      <c r="AJ360" s="548">
        <f t="shared" si="325"/>
        <v>0</v>
      </c>
      <c r="AK360" s="548">
        <f t="shared" si="325"/>
        <v>0</v>
      </c>
      <c r="AL360" s="548">
        <f t="shared" si="325"/>
        <v>0</v>
      </c>
      <c r="AM360" s="548">
        <f t="shared" si="325"/>
        <v>0</v>
      </c>
      <c r="AN360" s="548">
        <f t="shared" si="325"/>
        <v>0</v>
      </c>
      <c r="AO360" s="548">
        <f t="shared" si="325"/>
        <v>0</v>
      </c>
      <c r="AP360" s="548">
        <f t="shared" si="325"/>
        <v>0</v>
      </c>
      <c r="AQ360" s="548">
        <f t="shared" si="325"/>
        <v>0</v>
      </c>
      <c r="AR360" s="548">
        <f t="shared" si="325"/>
        <v>0</v>
      </c>
      <c r="AS360" s="548">
        <f t="shared" si="325"/>
        <v>0</v>
      </c>
      <c r="AT360" s="548">
        <f t="shared" si="325"/>
        <v>0</v>
      </c>
      <c r="AU360" s="548">
        <f t="shared" si="325"/>
        <v>0</v>
      </c>
      <c r="AV360" s="548">
        <f t="shared" si="325"/>
        <v>0</v>
      </c>
      <c r="AW360" s="548">
        <f t="shared" si="325"/>
        <v>0</v>
      </c>
      <c r="AX360" s="548">
        <f t="shared" si="325"/>
        <v>0</v>
      </c>
      <c r="AY360" s="548">
        <f t="shared" si="325"/>
        <v>0</v>
      </c>
      <c r="AZ360" s="548">
        <f t="shared" si="325"/>
        <v>0</v>
      </c>
      <c r="BA360" s="548">
        <f t="shared" si="325"/>
        <v>0</v>
      </c>
      <c r="BB360" s="548">
        <f t="shared" si="325"/>
        <v>0</v>
      </c>
      <c r="BC360" s="548">
        <f t="shared" si="325"/>
        <v>0</v>
      </c>
      <c r="BD360" s="548">
        <f t="shared" si="325"/>
        <v>0</v>
      </c>
      <c r="BE360" s="548">
        <f t="shared" si="325"/>
        <v>0</v>
      </c>
      <c r="BF360" s="548">
        <f t="shared" si="325"/>
        <v>0</v>
      </c>
      <c r="BG360" s="548">
        <f t="shared" si="325"/>
        <v>0</v>
      </c>
      <c r="BH360" s="548">
        <f t="shared" si="325"/>
        <v>0</v>
      </c>
      <c r="BI360" s="548">
        <f t="shared" si="325"/>
        <v>0</v>
      </c>
      <c r="BJ360" s="548">
        <f t="shared" si="325"/>
        <v>0</v>
      </c>
      <c r="BK360" s="548">
        <f t="shared" si="325"/>
        <v>687000000</v>
      </c>
      <c r="BL360" s="548">
        <f t="shared" si="325"/>
        <v>322200000</v>
      </c>
      <c r="BM360" s="548">
        <f t="shared" si="325"/>
        <v>70960000</v>
      </c>
      <c r="BN360" s="548">
        <f t="shared" si="325"/>
        <v>0</v>
      </c>
      <c r="BO360" s="548">
        <f t="shared" si="325"/>
        <v>0</v>
      </c>
      <c r="BP360" s="548">
        <f t="shared" si="325"/>
        <v>0</v>
      </c>
      <c r="BQ360" s="548">
        <f t="shared" si="325"/>
        <v>0</v>
      </c>
      <c r="BR360" s="548">
        <f t="shared" si="325"/>
        <v>0</v>
      </c>
      <c r="BS360" s="548">
        <f t="shared" si="325"/>
        <v>0</v>
      </c>
      <c r="BT360" s="548">
        <f t="shared" si="325"/>
        <v>0</v>
      </c>
      <c r="BU360" s="548">
        <f t="shared" si="325"/>
        <v>0</v>
      </c>
      <c r="BV360" s="548">
        <f t="shared" si="325"/>
        <v>0</v>
      </c>
      <c r="BW360" s="548">
        <f t="shared" si="325"/>
        <v>0</v>
      </c>
      <c r="BX360" s="548">
        <f t="shared" si="325"/>
        <v>0</v>
      </c>
      <c r="BY360" s="548">
        <f t="shared" si="325"/>
        <v>0</v>
      </c>
      <c r="BZ360" s="548">
        <f>SUM(BZ358:BZ359)</f>
        <v>687000000</v>
      </c>
      <c r="CA360" s="548">
        <f t="shared" ref="CA360:CB360" si="326">SUM(CA358:CA359)</f>
        <v>322200000</v>
      </c>
      <c r="CB360" s="548">
        <f t="shared" si="326"/>
        <v>70960000</v>
      </c>
    </row>
    <row r="361" spans="1:80" s="459" customFormat="1" ht="15.75" x14ac:dyDescent="0.2">
      <c r="A361" s="54"/>
      <c r="B361" s="118"/>
      <c r="C361" s="82"/>
      <c r="D361" s="81"/>
      <c r="E361" s="82"/>
      <c r="F361" s="82"/>
      <c r="G361" s="81"/>
      <c r="H361" s="82"/>
      <c r="I361" s="81"/>
      <c r="J361" s="83"/>
      <c r="K361" s="142"/>
      <c r="L361" s="142"/>
      <c r="M361" s="142"/>
      <c r="N361" s="83"/>
      <c r="O361" s="82"/>
      <c r="P361" s="81"/>
      <c r="Q361" s="82"/>
      <c r="R361" s="554">
        <f t="shared" ref="R361:BY361" si="327">R360</f>
        <v>0</v>
      </c>
      <c r="S361" s="554">
        <f t="shared" si="327"/>
        <v>0</v>
      </c>
      <c r="T361" s="554">
        <f t="shared" si="327"/>
        <v>0</v>
      </c>
      <c r="U361" s="554">
        <f t="shared" si="327"/>
        <v>0</v>
      </c>
      <c r="V361" s="554">
        <f t="shared" si="327"/>
        <v>0</v>
      </c>
      <c r="W361" s="554">
        <f t="shared" si="327"/>
        <v>0</v>
      </c>
      <c r="X361" s="554">
        <f t="shared" si="327"/>
        <v>0</v>
      </c>
      <c r="Y361" s="554">
        <f t="shared" si="327"/>
        <v>0</v>
      </c>
      <c r="Z361" s="554">
        <f t="shared" si="327"/>
        <v>0</v>
      </c>
      <c r="AA361" s="554">
        <f t="shared" si="327"/>
        <v>0</v>
      </c>
      <c r="AB361" s="554">
        <f t="shared" si="327"/>
        <v>0</v>
      </c>
      <c r="AC361" s="554">
        <f t="shared" si="327"/>
        <v>0</v>
      </c>
      <c r="AD361" s="554">
        <f t="shared" si="327"/>
        <v>0</v>
      </c>
      <c r="AE361" s="554">
        <f t="shared" si="327"/>
        <v>0</v>
      </c>
      <c r="AF361" s="554">
        <f t="shared" si="327"/>
        <v>0</v>
      </c>
      <c r="AG361" s="554">
        <f t="shared" si="327"/>
        <v>0</v>
      </c>
      <c r="AH361" s="554">
        <f t="shared" si="327"/>
        <v>0</v>
      </c>
      <c r="AI361" s="554">
        <f t="shared" si="327"/>
        <v>0</v>
      </c>
      <c r="AJ361" s="554">
        <f t="shared" si="327"/>
        <v>0</v>
      </c>
      <c r="AK361" s="554">
        <f t="shared" si="327"/>
        <v>0</v>
      </c>
      <c r="AL361" s="554">
        <f t="shared" si="327"/>
        <v>0</v>
      </c>
      <c r="AM361" s="554">
        <f t="shared" si="327"/>
        <v>0</v>
      </c>
      <c r="AN361" s="554">
        <f t="shared" si="327"/>
        <v>0</v>
      </c>
      <c r="AO361" s="554">
        <f t="shared" si="327"/>
        <v>0</v>
      </c>
      <c r="AP361" s="554">
        <f t="shared" si="327"/>
        <v>0</v>
      </c>
      <c r="AQ361" s="554">
        <f t="shared" si="327"/>
        <v>0</v>
      </c>
      <c r="AR361" s="554">
        <f t="shared" si="327"/>
        <v>0</v>
      </c>
      <c r="AS361" s="554">
        <f t="shared" si="327"/>
        <v>0</v>
      </c>
      <c r="AT361" s="554">
        <f t="shared" si="327"/>
        <v>0</v>
      </c>
      <c r="AU361" s="554">
        <f t="shared" si="327"/>
        <v>0</v>
      </c>
      <c r="AV361" s="554">
        <f t="shared" si="327"/>
        <v>0</v>
      </c>
      <c r="AW361" s="554">
        <f t="shared" si="327"/>
        <v>0</v>
      </c>
      <c r="AX361" s="554">
        <f t="shared" si="327"/>
        <v>0</v>
      </c>
      <c r="AY361" s="554">
        <f t="shared" si="327"/>
        <v>0</v>
      </c>
      <c r="AZ361" s="554">
        <f t="shared" si="327"/>
        <v>0</v>
      </c>
      <c r="BA361" s="554">
        <f t="shared" si="327"/>
        <v>0</v>
      </c>
      <c r="BB361" s="554">
        <f t="shared" si="327"/>
        <v>0</v>
      </c>
      <c r="BC361" s="554">
        <f t="shared" si="327"/>
        <v>0</v>
      </c>
      <c r="BD361" s="554">
        <f t="shared" si="327"/>
        <v>0</v>
      </c>
      <c r="BE361" s="554">
        <f t="shared" si="327"/>
        <v>0</v>
      </c>
      <c r="BF361" s="554">
        <f t="shared" si="327"/>
        <v>0</v>
      </c>
      <c r="BG361" s="554">
        <f t="shared" si="327"/>
        <v>0</v>
      </c>
      <c r="BH361" s="554">
        <f t="shared" si="327"/>
        <v>0</v>
      </c>
      <c r="BI361" s="554">
        <f t="shared" si="327"/>
        <v>0</v>
      </c>
      <c r="BJ361" s="554">
        <f t="shared" si="327"/>
        <v>0</v>
      </c>
      <c r="BK361" s="554">
        <f t="shared" si="327"/>
        <v>687000000</v>
      </c>
      <c r="BL361" s="554">
        <f t="shared" si="327"/>
        <v>322200000</v>
      </c>
      <c r="BM361" s="554">
        <f t="shared" si="327"/>
        <v>70960000</v>
      </c>
      <c r="BN361" s="554">
        <f t="shared" si="327"/>
        <v>0</v>
      </c>
      <c r="BO361" s="554">
        <f t="shared" si="327"/>
        <v>0</v>
      </c>
      <c r="BP361" s="554">
        <f t="shared" si="327"/>
        <v>0</v>
      </c>
      <c r="BQ361" s="554">
        <f t="shared" si="327"/>
        <v>0</v>
      </c>
      <c r="BR361" s="554">
        <f t="shared" si="327"/>
        <v>0</v>
      </c>
      <c r="BS361" s="554">
        <f t="shared" si="327"/>
        <v>0</v>
      </c>
      <c r="BT361" s="554">
        <f t="shared" si="327"/>
        <v>0</v>
      </c>
      <c r="BU361" s="554">
        <f t="shared" si="327"/>
        <v>0</v>
      </c>
      <c r="BV361" s="554">
        <f t="shared" si="327"/>
        <v>0</v>
      </c>
      <c r="BW361" s="554">
        <f t="shared" si="327"/>
        <v>0</v>
      </c>
      <c r="BX361" s="554">
        <f t="shared" si="327"/>
        <v>0</v>
      </c>
      <c r="BY361" s="554">
        <f t="shared" si="327"/>
        <v>0</v>
      </c>
      <c r="BZ361" s="554">
        <f t="shared" ref="BZ361" si="328">BZ360</f>
        <v>687000000</v>
      </c>
      <c r="CA361" s="554">
        <f t="shared" ref="CA361:CB361" si="329">CA360</f>
        <v>322200000</v>
      </c>
      <c r="CB361" s="554">
        <f t="shared" si="329"/>
        <v>70960000</v>
      </c>
    </row>
    <row r="362" spans="1:80" s="11" customFormat="1" ht="15.75" x14ac:dyDescent="0.2">
      <c r="A362" s="54"/>
      <c r="B362" s="91"/>
      <c r="C362" s="92"/>
      <c r="D362" s="91"/>
      <c r="E362" s="92"/>
      <c r="F362" s="92"/>
      <c r="G362" s="91"/>
      <c r="H362" s="92"/>
      <c r="I362" s="91"/>
      <c r="J362" s="93"/>
      <c r="K362" s="329"/>
      <c r="L362" s="329"/>
      <c r="M362" s="329"/>
      <c r="N362" s="93"/>
      <c r="O362" s="500"/>
      <c r="P362" s="91"/>
      <c r="Q362" s="92"/>
      <c r="R362" s="543"/>
      <c r="S362" s="543"/>
      <c r="T362" s="543"/>
      <c r="U362" s="543"/>
      <c r="V362" s="543"/>
      <c r="W362" s="543"/>
      <c r="X362" s="543"/>
      <c r="Y362" s="543"/>
      <c r="Z362" s="543"/>
      <c r="AA362" s="543"/>
      <c r="AB362" s="543"/>
      <c r="AC362" s="543"/>
      <c r="AD362" s="543"/>
      <c r="AE362" s="543"/>
      <c r="AF362" s="543"/>
      <c r="AG362" s="543"/>
      <c r="AH362" s="543"/>
      <c r="AI362" s="543"/>
      <c r="AJ362" s="543"/>
      <c r="AK362" s="543"/>
      <c r="AL362" s="543"/>
      <c r="AM362" s="543"/>
      <c r="AN362" s="543"/>
      <c r="AO362" s="543"/>
      <c r="AP362" s="543"/>
      <c r="AQ362" s="543"/>
      <c r="AR362" s="543"/>
      <c r="AS362" s="543"/>
      <c r="AT362" s="543"/>
      <c r="AU362" s="543"/>
      <c r="AV362" s="543"/>
      <c r="AW362" s="543"/>
      <c r="AX362" s="543"/>
      <c r="AY362" s="543"/>
      <c r="AZ362" s="543"/>
      <c r="BA362" s="543"/>
      <c r="BB362" s="543"/>
      <c r="BC362" s="543"/>
      <c r="BD362" s="543"/>
      <c r="BE362" s="543"/>
      <c r="BF362" s="543"/>
      <c r="BG362" s="543"/>
      <c r="BH362" s="543"/>
      <c r="BI362" s="543"/>
      <c r="BJ362" s="543"/>
      <c r="BK362" s="545"/>
      <c r="BL362" s="545"/>
      <c r="BM362" s="545"/>
      <c r="BN362" s="546"/>
      <c r="BO362" s="546"/>
      <c r="BP362" s="546"/>
      <c r="BQ362" s="543"/>
      <c r="BR362" s="543"/>
      <c r="BS362" s="543"/>
      <c r="BT362" s="543"/>
      <c r="BU362" s="543"/>
      <c r="BV362" s="543"/>
      <c r="BW362" s="543"/>
      <c r="BX362" s="543"/>
      <c r="BY362" s="543"/>
      <c r="BZ362" s="547"/>
      <c r="CA362" s="547"/>
      <c r="CB362" s="547"/>
    </row>
    <row r="363" spans="1:80" s="11" customFormat="1" ht="15.75" x14ac:dyDescent="0.2">
      <c r="A363" s="54"/>
      <c r="B363" s="152">
        <v>28</v>
      </c>
      <c r="C363" s="51" t="s">
        <v>39</v>
      </c>
      <c r="D363" s="50"/>
      <c r="E363" s="50"/>
      <c r="F363" s="50"/>
      <c r="G363" s="50"/>
      <c r="H363" s="51"/>
      <c r="I363" s="50"/>
      <c r="J363" s="50"/>
      <c r="K363" s="153"/>
      <c r="L363" s="153"/>
      <c r="M363" s="153"/>
      <c r="N363" s="50"/>
      <c r="O363" s="51"/>
      <c r="P363" s="50"/>
      <c r="Q363" s="50"/>
      <c r="R363" s="550"/>
      <c r="S363" s="550"/>
      <c r="T363" s="550"/>
      <c r="U363" s="550"/>
      <c r="V363" s="550"/>
      <c r="W363" s="550"/>
      <c r="X363" s="550"/>
      <c r="Y363" s="550"/>
      <c r="Z363" s="550"/>
      <c r="AA363" s="550"/>
      <c r="AB363" s="550"/>
      <c r="AC363" s="550"/>
      <c r="AD363" s="550"/>
      <c r="AE363" s="550"/>
      <c r="AF363" s="550"/>
      <c r="AG363" s="550"/>
      <c r="AH363" s="550"/>
      <c r="AI363" s="550"/>
      <c r="AJ363" s="550"/>
      <c r="AK363" s="550"/>
      <c r="AL363" s="550"/>
      <c r="AM363" s="550"/>
      <c r="AN363" s="550"/>
      <c r="AO363" s="550"/>
      <c r="AP363" s="550"/>
      <c r="AQ363" s="550"/>
      <c r="AR363" s="550"/>
      <c r="AS363" s="550"/>
      <c r="AT363" s="550"/>
      <c r="AU363" s="550"/>
      <c r="AV363" s="550"/>
      <c r="AW363" s="550"/>
      <c r="AX363" s="550"/>
      <c r="AY363" s="550"/>
      <c r="AZ363" s="550"/>
      <c r="BA363" s="550"/>
      <c r="BB363" s="550"/>
      <c r="BC363" s="550"/>
      <c r="BD363" s="550"/>
      <c r="BE363" s="550"/>
      <c r="BF363" s="550"/>
      <c r="BG363" s="550"/>
      <c r="BH363" s="550"/>
      <c r="BI363" s="550"/>
      <c r="BJ363" s="550"/>
      <c r="BK363" s="551"/>
      <c r="BL363" s="551"/>
      <c r="BM363" s="551"/>
      <c r="BN363" s="550"/>
      <c r="BO363" s="550"/>
      <c r="BP363" s="550"/>
      <c r="BQ363" s="550"/>
      <c r="BR363" s="550"/>
      <c r="BS363" s="550"/>
      <c r="BT363" s="550"/>
      <c r="BU363" s="550"/>
      <c r="BV363" s="550"/>
      <c r="BW363" s="550"/>
      <c r="BX363" s="550"/>
      <c r="BY363" s="550"/>
      <c r="BZ363" s="555"/>
      <c r="CA363" s="555"/>
      <c r="CB363" s="555"/>
    </row>
    <row r="364" spans="1:80" s="11" customFormat="1" ht="15.75" x14ac:dyDescent="0.2">
      <c r="A364" s="54"/>
      <c r="B364" s="96"/>
      <c r="C364" s="508"/>
      <c r="D364" s="516"/>
      <c r="E364" s="508"/>
      <c r="F364" s="508"/>
      <c r="G364" s="274">
        <v>89</v>
      </c>
      <c r="H364" s="100" t="s">
        <v>40</v>
      </c>
      <c r="I364" s="100"/>
      <c r="J364" s="100"/>
      <c r="K364" s="155"/>
      <c r="L364" s="155"/>
      <c r="M364" s="155"/>
      <c r="N364" s="100"/>
      <c r="O364" s="212"/>
      <c r="P364" s="100"/>
      <c r="Q364" s="100"/>
      <c r="R364" s="336"/>
      <c r="S364" s="336"/>
      <c r="T364" s="336"/>
      <c r="U364" s="336"/>
      <c r="V364" s="336"/>
      <c r="W364" s="336"/>
      <c r="X364" s="336"/>
      <c r="Y364" s="336"/>
      <c r="Z364" s="336"/>
      <c r="AA364" s="336"/>
      <c r="AB364" s="336"/>
      <c r="AC364" s="336"/>
      <c r="AD364" s="336"/>
      <c r="AE364" s="336"/>
      <c r="AF364" s="336"/>
      <c r="AG364" s="336"/>
      <c r="AH364" s="336"/>
      <c r="AI364" s="336"/>
      <c r="AJ364" s="336"/>
      <c r="AK364" s="336"/>
      <c r="AL364" s="336"/>
      <c r="AM364" s="336"/>
      <c r="AN364" s="336"/>
      <c r="AO364" s="336"/>
      <c r="AP364" s="336"/>
      <c r="AQ364" s="336"/>
      <c r="AR364" s="336"/>
      <c r="AS364" s="336"/>
      <c r="AT364" s="336"/>
      <c r="AU364" s="336"/>
      <c r="AV364" s="336"/>
      <c r="AW364" s="336"/>
      <c r="AX364" s="336"/>
      <c r="AY364" s="336"/>
      <c r="AZ364" s="336"/>
      <c r="BA364" s="336"/>
      <c r="BB364" s="336"/>
      <c r="BC364" s="336"/>
      <c r="BD364" s="336"/>
      <c r="BE364" s="336"/>
      <c r="BF364" s="336"/>
      <c r="BG364" s="336"/>
      <c r="BH364" s="336"/>
      <c r="BI364" s="336"/>
      <c r="BJ364" s="336"/>
      <c r="BK364" s="552"/>
      <c r="BL364" s="552"/>
      <c r="BM364" s="552"/>
      <c r="BN364" s="336"/>
      <c r="BO364" s="336"/>
      <c r="BP364" s="336"/>
      <c r="BQ364" s="336"/>
      <c r="BR364" s="336"/>
      <c r="BS364" s="336"/>
      <c r="BT364" s="336"/>
      <c r="BU364" s="336"/>
      <c r="BV364" s="336"/>
      <c r="BW364" s="336"/>
      <c r="BX364" s="336"/>
      <c r="BY364" s="336"/>
      <c r="BZ364" s="338"/>
      <c r="CA364" s="338"/>
      <c r="CB364" s="338"/>
    </row>
    <row r="365" spans="1:80" s="11" customFormat="1" ht="102.75" customHeight="1" x14ac:dyDescent="0.2">
      <c r="A365" s="54"/>
      <c r="B365" s="54"/>
      <c r="C365" s="508">
        <v>37</v>
      </c>
      <c r="D365" s="516" t="s">
        <v>440</v>
      </c>
      <c r="E365" s="508" t="s">
        <v>441</v>
      </c>
      <c r="F365" s="508">
        <v>60</v>
      </c>
      <c r="G365" s="56"/>
      <c r="H365" s="538">
        <v>288</v>
      </c>
      <c r="I365" s="56" t="s">
        <v>450</v>
      </c>
      <c r="J365" s="59">
        <v>1</v>
      </c>
      <c r="K365" s="60">
        <v>1</v>
      </c>
      <c r="L365" s="135">
        <v>0.09</v>
      </c>
      <c r="M365" s="61">
        <v>201700360033</v>
      </c>
      <c r="N365" s="62" t="s">
        <v>443</v>
      </c>
      <c r="O365" s="498" t="s">
        <v>451</v>
      </c>
      <c r="P365" s="56" t="s">
        <v>452</v>
      </c>
      <c r="Q365" s="57" t="s">
        <v>51</v>
      </c>
      <c r="R365" s="539"/>
      <c r="S365" s="539"/>
      <c r="T365" s="539"/>
      <c r="U365" s="539"/>
      <c r="V365" s="539"/>
      <c r="W365" s="539"/>
      <c r="X365" s="539"/>
      <c r="Y365" s="539"/>
      <c r="Z365" s="539"/>
      <c r="AA365" s="539"/>
      <c r="AB365" s="539"/>
      <c r="AC365" s="539"/>
      <c r="AD365" s="539"/>
      <c r="AE365" s="539"/>
      <c r="AF365" s="539"/>
      <c r="AG365" s="539"/>
      <c r="AH365" s="539"/>
      <c r="AI365" s="539"/>
      <c r="AJ365" s="539"/>
      <c r="AK365" s="539"/>
      <c r="AL365" s="539"/>
      <c r="AM365" s="539"/>
      <c r="AN365" s="539"/>
      <c r="AO365" s="539"/>
      <c r="AP365" s="539"/>
      <c r="AQ365" s="539"/>
      <c r="AR365" s="539"/>
      <c r="AS365" s="539"/>
      <c r="AT365" s="539"/>
      <c r="AU365" s="539"/>
      <c r="AV365" s="539"/>
      <c r="AW365" s="539"/>
      <c r="AX365" s="539"/>
      <c r="AY365" s="539"/>
      <c r="AZ365" s="539"/>
      <c r="BA365" s="539"/>
      <c r="BB365" s="539"/>
      <c r="BC365" s="539"/>
      <c r="BD365" s="539"/>
      <c r="BE365" s="539"/>
      <c r="BF365" s="539"/>
      <c r="BG365" s="539"/>
      <c r="BH365" s="539"/>
      <c r="BI365" s="539"/>
      <c r="BJ365" s="539"/>
      <c r="BK365" s="540">
        <f>617000000+200000000</f>
        <v>817000000</v>
      </c>
      <c r="BL365" s="540">
        <v>170220000</v>
      </c>
      <c r="BM365" s="540">
        <v>54640000</v>
      </c>
      <c r="BN365" s="540"/>
      <c r="BO365" s="540"/>
      <c r="BP365" s="540"/>
      <c r="BQ365" s="539"/>
      <c r="BR365" s="541"/>
      <c r="BS365" s="541"/>
      <c r="BT365" s="541"/>
      <c r="BU365" s="541"/>
      <c r="BV365" s="541"/>
      <c r="BW365" s="541"/>
      <c r="BX365" s="541"/>
      <c r="BY365" s="541"/>
      <c r="BZ365" s="539">
        <f>R365+U365+X365+AA365+AD365+AG365+AJ365+AM365+AP365+AS365+AV365+AY365+BB365+BE365+BH365+BK365+BN365+BQ365+BT365+BW365</f>
        <v>817000000</v>
      </c>
      <c r="CA365" s="539">
        <f t="shared" ref="CA365" si="330">S365+V365+Y365+AB365+AE365+AH365+AK365+AN365+AQ365+AT365+AW365+AZ365+BC365+BF365+BI365+BL365+BO365+BR365+BU365+BX365</f>
        <v>170220000</v>
      </c>
      <c r="CB365" s="539">
        <f t="shared" ref="CB365" si="331">T365+W365+Z365+AC365+AF365+AI365+AL365+AO365+AR365+AU365+AX365+BA365+BD365+BG365+BJ365+BM365+BP365+BS365+BV365+BY365</f>
        <v>54640000</v>
      </c>
    </row>
    <row r="366" spans="1:80" s="11" customFormat="1" ht="25.5" customHeight="1" x14ac:dyDescent="0.2">
      <c r="A366" s="54"/>
      <c r="B366" s="74"/>
      <c r="C366" s="510"/>
      <c r="D366" s="518"/>
      <c r="E366" s="510"/>
      <c r="F366" s="510"/>
      <c r="G366" s="77"/>
      <c r="H366" s="78"/>
      <c r="I366" s="77"/>
      <c r="J366" s="79"/>
      <c r="K366" s="140"/>
      <c r="L366" s="140"/>
      <c r="M366" s="140"/>
      <c r="N366" s="79"/>
      <c r="O366" s="78"/>
      <c r="P366" s="77"/>
      <c r="Q366" s="78"/>
      <c r="R366" s="621">
        <f t="shared" ref="R366:BY366" si="332">SUM(R365)</f>
        <v>0</v>
      </c>
      <c r="S366" s="621">
        <f t="shared" si="332"/>
        <v>0</v>
      </c>
      <c r="T366" s="621">
        <f t="shared" si="332"/>
        <v>0</v>
      </c>
      <c r="U366" s="621">
        <f t="shared" si="332"/>
        <v>0</v>
      </c>
      <c r="V366" s="621">
        <f t="shared" si="332"/>
        <v>0</v>
      </c>
      <c r="W366" s="621">
        <f t="shared" si="332"/>
        <v>0</v>
      </c>
      <c r="X366" s="621">
        <f t="shared" si="332"/>
        <v>0</v>
      </c>
      <c r="Y366" s="621">
        <f t="shared" si="332"/>
        <v>0</v>
      </c>
      <c r="Z366" s="621">
        <f t="shared" si="332"/>
        <v>0</v>
      </c>
      <c r="AA366" s="621">
        <f t="shared" si="332"/>
        <v>0</v>
      </c>
      <c r="AB366" s="621">
        <f t="shared" si="332"/>
        <v>0</v>
      </c>
      <c r="AC366" s="621">
        <f t="shared" si="332"/>
        <v>0</v>
      </c>
      <c r="AD366" s="621">
        <f t="shared" si="332"/>
        <v>0</v>
      </c>
      <c r="AE366" s="621">
        <f t="shared" si="332"/>
        <v>0</v>
      </c>
      <c r="AF366" s="621">
        <f t="shared" si="332"/>
        <v>0</v>
      </c>
      <c r="AG366" s="621">
        <f t="shared" si="332"/>
        <v>0</v>
      </c>
      <c r="AH366" s="621">
        <f t="shared" si="332"/>
        <v>0</v>
      </c>
      <c r="AI366" s="621">
        <f t="shared" si="332"/>
        <v>0</v>
      </c>
      <c r="AJ366" s="621">
        <f t="shared" si="332"/>
        <v>0</v>
      </c>
      <c r="AK366" s="621">
        <f t="shared" si="332"/>
        <v>0</v>
      </c>
      <c r="AL366" s="621">
        <f t="shared" si="332"/>
        <v>0</v>
      </c>
      <c r="AM366" s="621">
        <f t="shared" si="332"/>
        <v>0</v>
      </c>
      <c r="AN366" s="621">
        <f t="shared" si="332"/>
        <v>0</v>
      </c>
      <c r="AO366" s="621">
        <f t="shared" si="332"/>
        <v>0</v>
      </c>
      <c r="AP366" s="621">
        <f t="shared" si="332"/>
        <v>0</v>
      </c>
      <c r="AQ366" s="621">
        <f t="shared" si="332"/>
        <v>0</v>
      </c>
      <c r="AR366" s="621">
        <f t="shared" si="332"/>
        <v>0</v>
      </c>
      <c r="AS366" s="621">
        <f t="shared" si="332"/>
        <v>0</v>
      </c>
      <c r="AT366" s="621">
        <f t="shared" si="332"/>
        <v>0</v>
      </c>
      <c r="AU366" s="621">
        <f t="shared" si="332"/>
        <v>0</v>
      </c>
      <c r="AV366" s="621">
        <f t="shared" si="332"/>
        <v>0</v>
      </c>
      <c r="AW366" s="621">
        <f t="shared" si="332"/>
        <v>0</v>
      </c>
      <c r="AX366" s="621">
        <f t="shared" si="332"/>
        <v>0</v>
      </c>
      <c r="AY366" s="621">
        <f t="shared" si="332"/>
        <v>0</v>
      </c>
      <c r="AZ366" s="621">
        <f t="shared" si="332"/>
        <v>0</v>
      </c>
      <c r="BA366" s="621">
        <f t="shared" si="332"/>
        <v>0</v>
      </c>
      <c r="BB366" s="621">
        <f t="shared" si="332"/>
        <v>0</v>
      </c>
      <c r="BC366" s="621">
        <f t="shared" si="332"/>
        <v>0</v>
      </c>
      <c r="BD366" s="621">
        <f t="shared" si="332"/>
        <v>0</v>
      </c>
      <c r="BE366" s="621">
        <f t="shared" si="332"/>
        <v>0</v>
      </c>
      <c r="BF366" s="621">
        <f t="shared" si="332"/>
        <v>0</v>
      </c>
      <c r="BG366" s="621">
        <f t="shared" si="332"/>
        <v>0</v>
      </c>
      <c r="BH366" s="621">
        <f t="shared" si="332"/>
        <v>0</v>
      </c>
      <c r="BI366" s="621">
        <f t="shared" si="332"/>
        <v>0</v>
      </c>
      <c r="BJ366" s="621">
        <f t="shared" si="332"/>
        <v>0</v>
      </c>
      <c r="BK366" s="621">
        <f t="shared" si="332"/>
        <v>817000000</v>
      </c>
      <c r="BL366" s="621">
        <f t="shared" si="332"/>
        <v>170220000</v>
      </c>
      <c r="BM366" s="621">
        <f t="shared" si="332"/>
        <v>54640000</v>
      </c>
      <c r="BN366" s="621">
        <f t="shared" si="332"/>
        <v>0</v>
      </c>
      <c r="BO366" s="621">
        <f t="shared" si="332"/>
        <v>0</v>
      </c>
      <c r="BP366" s="621">
        <f t="shared" si="332"/>
        <v>0</v>
      </c>
      <c r="BQ366" s="621">
        <f t="shared" si="332"/>
        <v>0</v>
      </c>
      <c r="BR366" s="621">
        <f t="shared" si="332"/>
        <v>0</v>
      </c>
      <c r="BS366" s="621">
        <f t="shared" si="332"/>
        <v>0</v>
      </c>
      <c r="BT366" s="621">
        <f t="shared" si="332"/>
        <v>0</v>
      </c>
      <c r="BU366" s="621">
        <f t="shared" si="332"/>
        <v>0</v>
      </c>
      <c r="BV366" s="621">
        <f t="shared" si="332"/>
        <v>0</v>
      </c>
      <c r="BW366" s="621">
        <f t="shared" si="332"/>
        <v>0</v>
      </c>
      <c r="BX366" s="621">
        <f t="shared" si="332"/>
        <v>0</v>
      </c>
      <c r="BY366" s="621">
        <f t="shared" si="332"/>
        <v>0</v>
      </c>
      <c r="BZ366" s="621">
        <f>SUM(BZ365)</f>
        <v>817000000</v>
      </c>
      <c r="CA366" s="621">
        <f t="shared" ref="CA366:CB366" si="333">SUM(CA365)</f>
        <v>170220000</v>
      </c>
      <c r="CB366" s="621">
        <f t="shared" si="333"/>
        <v>54640000</v>
      </c>
    </row>
    <row r="367" spans="1:80" s="11" customFormat="1" ht="15.75" x14ac:dyDescent="0.2">
      <c r="A367" s="74"/>
      <c r="B367" s="118"/>
      <c r="C367" s="82"/>
      <c r="D367" s="81"/>
      <c r="E367" s="82"/>
      <c r="F367" s="82"/>
      <c r="G367" s="81"/>
      <c r="H367" s="82"/>
      <c r="I367" s="81"/>
      <c r="J367" s="83"/>
      <c r="K367" s="142"/>
      <c r="L367" s="142"/>
      <c r="M367" s="142"/>
      <c r="N367" s="83"/>
      <c r="O367" s="82"/>
      <c r="P367" s="81"/>
      <c r="Q367" s="82"/>
      <c r="R367" s="622">
        <f t="shared" ref="R367:BY367" si="334">R366</f>
        <v>0</v>
      </c>
      <c r="S367" s="622">
        <f t="shared" si="334"/>
        <v>0</v>
      </c>
      <c r="T367" s="622">
        <f t="shared" si="334"/>
        <v>0</v>
      </c>
      <c r="U367" s="622">
        <f t="shared" si="334"/>
        <v>0</v>
      </c>
      <c r="V367" s="622">
        <f t="shared" si="334"/>
        <v>0</v>
      </c>
      <c r="W367" s="622">
        <f t="shared" si="334"/>
        <v>0</v>
      </c>
      <c r="X367" s="622">
        <f t="shared" si="334"/>
        <v>0</v>
      </c>
      <c r="Y367" s="622">
        <f t="shared" si="334"/>
        <v>0</v>
      </c>
      <c r="Z367" s="622">
        <f t="shared" si="334"/>
        <v>0</v>
      </c>
      <c r="AA367" s="622">
        <f t="shared" si="334"/>
        <v>0</v>
      </c>
      <c r="AB367" s="622">
        <f t="shared" si="334"/>
        <v>0</v>
      </c>
      <c r="AC367" s="622">
        <f t="shared" si="334"/>
        <v>0</v>
      </c>
      <c r="AD367" s="622">
        <f t="shared" si="334"/>
        <v>0</v>
      </c>
      <c r="AE367" s="622">
        <f t="shared" si="334"/>
        <v>0</v>
      </c>
      <c r="AF367" s="622">
        <f t="shared" si="334"/>
        <v>0</v>
      </c>
      <c r="AG367" s="622">
        <f t="shared" si="334"/>
        <v>0</v>
      </c>
      <c r="AH367" s="622">
        <f t="shared" si="334"/>
        <v>0</v>
      </c>
      <c r="AI367" s="622">
        <f t="shared" si="334"/>
        <v>0</v>
      </c>
      <c r="AJ367" s="622">
        <f t="shared" si="334"/>
        <v>0</v>
      </c>
      <c r="AK367" s="622">
        <f t="shared" si="334"/>
        <v>0</v>
      </c>
      <c r="AL367" s="622">
        <f t="shared" si="334"/>
        <v>0</v>
      </c>
      <c r="AM367" s="622">
        <f t="shared" si="334"/>
        <v>0</v>
      </c>
      <c r="AN367" s="622">
        <f t="shared" si="334"/>
        <v>0</v>
      </c>
      <c r="AO367" s="622">
        <f t="shared" si="334"/>
        <v>0</v>
      </c>
      <c r="AP367" s="622">
        <f t="shared" si="334"/>
        <v>0</v>
      </c>
      <c r="AQ367" s="622">
        <f t="shared" si="334"/>
        <v>0</v>
      </c>
      <c r="AR367" s="622">
        <f t="shared" si="334"/>
        <v>0</v>
      </c>
      <c r="AS367" s="622">
        <f t="shared" si="334"/>
        <v>0</v>
      </c>
      <c r="AT367" s="622">
        <f t="shared" si="334"/>
        <v>0</v>
      </c>
      <c r="AU367" s="622">
        <f t="shared" si="334"/>
        <v>0</v>
      </c>
      <c r="AV367" s="622">
        <f t="shared" si="334"/>
        <v>0</v>
      </c>
      <c r="AW367" s="622">
        <f t="shared" si="334"/>
        <v>0</v>
      </c>
      <c r="AX367" s="622">
        <f t="shared" si="334"/>
        <v>0</v>
      </c>
      <c r="AY367" s="622">
        <f t="shared" si="334"/>
        <v>0</v>
      </c>
      <c r="AZ367" s="622">
        <f t="shared" si="334"/>
        <v>0</v>
      </c>
      <c r="BA367" s="622">
        <f t="shared" si="334"/>
        <v>0</v>
      </c>
      <c r="BB367" s="622">
        <f t="shared" si="334"/>
        <v>0</v>
      </c>
      <c r="BC367" s="622">
        <f t="shared" si="334"/>
        <v>0</v>
      </c>
      <c r="BD367" s="622">
        <f t="shared" si="334"/>
        <v>0</v>
      </c>
      <c r="BE367" s="622">
        <f t="shared" si="334"/>
        <v>0</v>
      </c>
      <c r="BF367" s="622">
        <f t="shared" si="334"/>
        <v>0</v>
      </c>
      <c r="BG367" s="622">
        <f t="shared" si="334"/>
        <v>0</v>
      </c>
      <c r="BH367" s="622">
        <f t="shared" si="334"/>
        <v>0</v>
      </c>
      <c r="BI367" s="622">
        <f t="shared" si="334"/>
        <v>0</v>
      </c>
      <c r="BJ367" s="622">
        <f t="shared" si="334"/>
        <v>0</v>
      </c>
      <c r="BK367" s="622">
        <f t="shared" si="334"/>
        <v>817000000</v>
      </c>
      <c r="BL367" s="622">
        <f t="shared" si="334"/>
        <v>170220000</v>
      </c>
      <c r="BM367" s="622">
        <f t="shared" si="334"/>
        <v>54640000</v>
      </c>
      <c r="BN367" s="622">
        <f t="shared" si="334"/>
        <v>0</v>
      </c>
      <c r="BO367" s="622">
        <f t="shared" si="334"/>
        <v>0</v>
      </c>
      <c r="BP367" s="622">
        <f t="shared" si="334"/>
        <v>0</v>
      </c>
      <c r="BQ367" s="622">
        <f t="shared" si="334"/>
        <v>0</v>
      </c>
      <c r="BR367" s="622">
        <f t="shared" si="334"/>
        <v>0</v>
      </c>
      <c r="BS367" s="622">
        <f t="shared" si="334"/>
        <v>0</v>
      </c>
      <c r="BT367" s="622">
        <f t="shared" si="334"/>
        <v>0</v>
      </c>
      <c r="BU367" s="622">
        <f t="shared" si="334"/>
        <v>0</v>
      </c>
      <c r="BV367" s="622">
        <f t="shared" si="334"/>
        <v>0</v>
      </c>
      <c r="BW367" s="622">
        <f t="shared" si="334"/>
        <v>0</v>
      </c>
      <c r="BX367" s="622">
        <f t="shared" si="334"/>
        <v>0</v>
      </c>
      <c r="BY367" s="622">
        <f t="shared" si="334"/>
        <v>0</v>
      </c>
      <c r="BZ367" s="622">
        <f>BZ366</f>
        <v>817000000</v>
      </c>
      <c r="CA367" s="622">
        <f t="shared" ref="CA367:CB367" si="335">CA366</f>
        <v>170220000</v>
      </c>
      <c r="CB367" s="622">
        <f t="shared" si="335"/>
        <v>54640000</v>
      </c>
    </row>
    <row r="368" spans="1:80" s="459" customFormat="1" x14ac:dyDescent="0.2">
      <c r="A368" s="84"/>
      <c r="B368" s="84"/>
      <c r="C368" s="85"/>
      <c r="D368" s="84"/>
      <c r="E368" s="85"/>
      <c r="F368" s="85"/>
      <c r="G368" s="84"/>
      <c r="H368" s="85"/>
      <c r="I368" s="84"/>
      <c r="J368" s="86"/>
      <c r="K368" s="143"/>
      <c r="L368" s="143"/>
      <c r="M368" s="143"/>
      <c r="N368" s="86"/>
      <c r="O368" s="85"/>
      <c r="P368" s="84"/>
      <c r="Q368" s="85"/>
      <c r="R368" s="623">
        <f t="shared" ref="R368:BY368" si="336">R367+R361</f>
        <v>0</v>
      </c>
      <c r="S368" s="623">
        <f t="shared" si="336"/>
        <v>0</v>
      </c>
      <c r="T368" s="623">
        <f t="shared" si="336"/>
        <v>0</v>
      </c>
      <c r="U368" s="623">
        <f t="shared" si="336"/>
        <v>0</v>
      </c>
      <c r="V368" s="623">
        <f t="shared" si="336"/>
        <v>0</v>
      </c>
      <c r="W368" s="623">
        <f t="shared" si="336"/>
        <v>0</v>
      </c>
      <c r="X368" s="623">
        <f t="shared" si="336"/>
        <v>0</v>
      </c>
      <c r="Y368" s="623">
        <f t="shared" si="336"/>
        <v>0</v>
      </c>
      <c r="Z368" s="623">
        <f t="shared" si="336"/>
        <v>0</v>
      </c>
      <c r="AA368" s="623">
        <f t="shared" si="336"/>
        <v>0</v>
      </c>
      <c r="AB368" s="623">
        <f t="shared" si="336"/>
        <v>0</v>
      </c>
      <c r="AC368" s="623">
        <f t="shared" si="336"/>
        <v>0</v>
      </c>
      <c r="AD368" s="623">
        <f t="shared" si="336"/>
        <v>0</v>
      </c>
      <c r="AE368" s="623">
        <f t="shared" si="336"/>
        <v>0</v>
      </c>
      <c r="AF368" s="623">
        <f t="shared" si="336"/>
        <v>0</v>
      </c>
      <c r="AG368" s="623">
        <f t="shared" si="336"/>
        <v>0</v>
      </c>
      <c r="AH368" s="623">
        <f t="shared" si="336"/>
        <v>0</v>
      </c>
      <c r="AI368" s="623">
        <f t="shared" si="336"/>
        <v>0</v>
      </c>
      <c r="AJ368" s="623">
        <f t="shared" si="336"/>
        <v>0</v>
      </c>
      <c r="AK368" s="623">
        <f t="shared" si="336"/>
        <v>0</v>
      </c>
      <c r="AL368" s="623">
        <f t="shared" si="336"/>
        <v>0</v>
      </c>
      <c r="AM368" s="623">
        <f t="shared" si="336"/>
        <v>0</v>
      </c>
      <c r="AN368" s="623">
        <f t="shared" si="336"/>
        <v>0</v>
      </c>
      <c r="AO368" s="623">
        <f t="shared" si="336"/>
        <v>0</v>
      </c>
      <c r="AP368" s="623">
        <f t="shared" si="336"/>
        <v>0</v>
      </c>
      <c r="AQ368" s="623">
        <f t="shared" si="336"/>
        <v>0</v>
      </c>
      <c r="AR368" s="623">
        <f t="shared" si="336"/>
        <v>0</v>
      </c>
      <c r="AS368" s="623">
        <f t="shared" si="336"/>
        <v>0</v>
      </c>
      <c r="AT368" s="623">
        <f t="shared" si="336"/>
        <v>0</v>
      </c>
      <c r="AU368" s="623">
        <f t="shared" si="336"/>
        <v>0</v>
      </c>
      <c r="AV368" s="623">
        <f t="shared" si="336"/>
        <v>0</v>
      </c>
      <c r="AW368" s="623">
        <f t="shared" si="336"/>
        <v>0</v>
      </c>
      <c r="AX368" s="623">
        <f t="shared" si="336"/>
        <v>0</v>
      </c>
      <c r="AY368" s="623">
        <f t="shared" si="336"/>
        <v>0</v>
      </c>
      <c r="AZ368" s="623">
        <f t="shared" si="336"/>
        <v>0</v>
      </c>
      <c r="BA368" s="623">
        <f t="shared" si="336"/>
        <v>0</v>
      </c>
      <c r="BB368" s="623">
        <f t="shared" si="336"/>
        <v>0</v>
      </c>
      <c r="BC368" s="623">
        <f t="shared" si="336"/>
        <v>0</v>
      </c>
      <c r="BD368" s="623">
        <f t="shared" si="336"/>
        <v>0</v>
      </c>
      <c r="BE368" s="623">
        <f t="shared" si="336"/>
        <v>0</v>
      </c>
      <c r="BF368" s="623">
        <f t="shared" si="336"/>
        <v>0</v>
      </c>
      <c r="BG368" s="623">
        <f t="shared" si="336"/>
        <v>0</v>
      </c>
      <c r="BH368" s="623">
        <f t="shared" si="336"/>
        <v>0</v>
      </c>
      <c r="BI368" s="623">
        <f t="shared" si="336"/>
        <v>0</v>
      </c>
      <c r="BJ368" s="623">
        <f t="shared" si="336"/>
        <v>0</v>
      </c>
      <c r="BK368" s="623">
        <f t="shared" si="336"/>
        <v>1504000000</v>
      </c>
      <c r="BL368" s="623">
        <f t="shared" si="336"/>
        <v>492420000</v>
      </c>
      <c r="BM368" s="623">
        <f t="shared" si="336"/>
        <v>125600000</v>
      </c>
      <c r="BN368" s="623">
        <f t="shared" si="336"/>
        <v>0</v>
      </c>
      <c r="BO368" s="623">
        <f t="shared" si="336"/>
        <v>0</v>
      </c>
      <c r="BP368" s="623">
        <f t="shared" si="336"/>
        <v>0</v>
      </c>
      <c r="BQ368" s="623">
        <f t="shared" si="336"/>
        <v>0</v>
      </c>
      <c r="BR368" s="623">
        <f t="shared" si="336"/>
        <v>0</v>
      </c>
      <c r="BS368" s="623">
        <f t="shared" si="336"/>
        <v>0</v>
      </c>
      <c r="BT368" s="623">
        <f t="shared" si="336"/>
        <v>0</v>
      </c>
      <c r="BU368" s="623">
        <f t="shared" si="336"/>
        <v>0</v>
      </c>
      <c r="BV368" s="623">
        <f t="shared" si="336"/>
        <v>0</v>
      </c>
      <c r="BW368" s="623">
        <f t="shared" si="336"/>
        <v>0</v>
      </c>
      <c r="BX368" s="623">
        <f t="shared" si="336"/>
        <v>0</v>
      </c>
      <c r="BY368" s="623">
        <f t="shared" si="336"/>
        <v>0</v>
      </c>
      <c r="BZ368" s="623">
        <f>BZ367+BZ361</f>
        <v>1504000000</v>
      </c>
      <c r="CA368" s="623">
        <f t="shared" ref="CA368:CB368" si="337">CA367+CA361</f>
        <v>492420000</v>
      </c>
      <c r="CB368" s="623">
        <f t="shared" si="337"/>
        <v>125600000</v>
      </c>
    </row>
    <row r="369" spans="1:80" s="459" customFormat="1" x14ac:dyDescent="0.2">
      <c r="A369" s="87"/>
      <c r="B369" s="87"/>
      <c r="C369" s="88"/>
      <c r="D369" s="87"/>
      <c r="E369" s="88"/>
      <c r="F369" s="88"/>
      <c r="G369" s="87"/>
      <c r="H369" s="88"/>
      <c r="I369" s="87"/>
      <c r="J369" s="89"/>
      <c r="K369" s="144"/>
      <c r="L369" s="144"/>
      <c r="M369" s="144"/>
      <c r="N369" s="89"/>
      <c r="O369" s="88"/>
      <c r="P369" s="87"/>
      <c r="Q369" s="88"/>
      <c r="R369" s="624">
        <f t="shared" ref="R369:BY369" si="338">R368</f>
        <v>0</v>
      </c>
      <c r="S369" s="624">
        <f t="shared" si="338"/>
        <v>0</v>
      </c>
      <c r="T369" s="624">
        <f t="shared" si="338"/>
        <v>0</v>
      </c>
      <c r="U369" s="624">
        <f t="shared" si="338"/>
        <v>0</v>
      </c>
      <c r="V369" s="624">
        <f t="shared" si="338"/>
        <v>0</v>
      </c>
      <c r="W369" s="624">
        <f t="shared" si="338"/>
        <v>0</v>
      </c>
      <c r="X369" s="624">
        <f t="shared" si="338"/>
        <v>0</v>
      </c>
      <c r="Y369" s="624">
        <f t="shared" si="338"/>
        <v>0</v>
      </c>
      <c r="Z369" s="624">
        <f t="shared" si="338"/>
        <v>0</v>
      </c>
      <c r="AA369" s="624">
        <f t="shared" si="338"/>
        <v>0</v>
      </c>
      <c r="AB369" s="624">
        <f t="shared" si="338"/>
        <v>0</v>
      </c>
      <c r="AC369" s="624">
        <f t="shared" si="338"/>
        <v>0</v>
      </c>
      <c r="AD369" s="624">
        <f t="shared" si="338"/>
        <v>0</v>
      </c>
      <c r="AE369" s="624">
        <f t="shared" si="338"/>
        <v>0</v>
      </c>
      <c r="AF369" s="624">
        <f t="shared" si="338"/>
        <v>0</v>
      </c>
      <c r="AG369" s="624">
        <f t="shared" si="338"/>
        <v>0</v>
      </c>
      <c r="AH369" s="624">
        <f t="shared" si="338"/>
        <v>0</v>
      </c>
      <c r="AI369" s="624">
        <f t="shared" si="338"/>
        <v>0</v>
      </c>
      <c r="AJ369" s="624">
        <f t="shared" si="338"/>
        <v>0</v>
      </c>
      <c r="AK369" s="624">
        <f t="shared" si="338"/>
        <v>0</v>
      </c>
      <c r="AL369" s="624">
        <f t="shared" si="338"/>
        <v>0</v>
      </c>
      <c r="AM369" s="624">
        <f t="shared" si="338"/>
        <v>0</v>
      </c>
      <c r="AN369" s="624">
        <f t="shared" si="338"/>
        <v>0</v>
      </c>
      <c r="AO369" s="624">
        <f t="shared" si="338"/>
        <v>0</v>
      </c>
      <c r="AP369" s="624">
        <f t="shared" si="338"/>
        <v>0</v>
      </c>
      <c r="AQ369" s="624">
        <f t="shared" si="338"/>
        <v>0</v>
      </c>
      <c r="AR369" s="624">
        <f t="shared" si="338"/>
        <v>0</v>
      </c>
      <c r="AS369" s="624">
        <f t="shared" si="338"/>
        <v>0</v>
      </c>
      <c r="AT369" s="624">
        <f t="shared" si="338"/>
        <v>0</v>
      </c>
      <c r="AU369" s="624">
        <f t="shared" si="338"/>
        <v>0</v>
      </c>
      <c r="AV369" s="624">
        <f t="shared" si="338"/>
        <v>0</v>
      </c>
      <c r="AW369" s="624">
        <f t="shared" si="338"/>
        <v>0</v>
      </c>
      <c r="AX369" s="624">
        <f t="shared" si="338"/>
        <v>0</v>
      </c>
      <c r="AY369" s="624">
        <f t="shared" si="338"/>
        <v>0</v>
      </c>
      <c r="AZ369" s="624">
        <f t="shared" si="338"/>
        <v>0</v>
      </c>
      <c r="BA369" s="624">
        <f t="shared" si="338"/>
        <v>0</v>
      </c>
      <c r="BB369" s="624">
        <f t="shared" si="338"/>
        <v>0</v>
      </c>
      <c r="BC369" s="624">
        <f t="shared" si="338"/>
        <v>0</v>
      </c>
      <c r="BD369" s="624">
        <f t="shared" si="338"/>
        <v>0</v>
      </c>
      <c r="BE369" s="624">
        <f t="shared" si="338"/>
        <v>0</v>
      </c>
      <c r="BF369" s="624">
        <f t="shared" si="338"/>
        <v>0</v>
      </c>
      <c r="BG369" s="624">
        <f t="shared" si="338"/>
        <v>0</v>
      </c>
      <c r="BH369" s="624">
        <f t="shared" si="338"/>
        <v>0</v>
      </c>
      <c r="BI369" s="624">
        <f t="shared" si="338"/>
        <v>0</v>
      </c>
      <c r="BJ369" s="624">
        <f t="shared" si="338"/>
        <v>0</v>
      </c>
      <c r="BK369" s="624">
        <f t="shared" si="338"/>
        <v>1504000000</v>
      </c>
      <c r="BL369" s="624">
        <f t="shared" si="338"/>
        <v>492420000</v>
      </c>
      <c r="BM369" s="624">
        <f t="shared" si="338"/>
        <v>125600000</v>
      </c>
      <c r="BN369" s="624">
        <f t="shared" si="338"/>
        <v>0</v>
      </c>
      <c r="BO369" s="624">
        <f t="shared" si="338"/>
        <v>0</v>
      </c>
      <c r="BP369" s="624">
        <f t="shared" si="338"/>
        <v>0</v>
      </c>
      <c r="BQ369" s="624">
        <f t="shared" si="338"/>
        <v>0</v>
      </c>
      <c r="BR369" s="624">
        <f t="shared" si="338"/>
        <v>0</v>
      </c>
      <c r="BS369" s="624">
        <f t="shared" si="338"/>
        <v>0</v>
      </c>
      <c r="BT369" s="624">
        <f t="shared" si="338"/>
        <v>0</v>
      </c>
      <c r="BU369" s="624">
        <f t="shared" si="338"/>
        <v>0</v>
      </c>
      <c r="BV369" s="624">
        <f t="shared" si="338"/>
        <v>0</v>
      </c>
      <c r="BW369" s="624">
        <f t="shared" si="338"/>
        <v>0</v>
      </c>
      <c r="BX369" s="624">
        <f t="shared" si="338"/>
        <v>0</v>
      </c>
      <c r="BY369" s="624">
        <f t="shared" si="338"/>
        <v>0</v>
      </c>
      <c r="BZ369" s="624">
        <f>BZ368</f>
        <v>1504000000</v>
      </c>
      <c r="CA369" s="624">
        <f t="shared" ref="CA369:CB369" si="339">CA368</f>
        <v>492420000</v>
      </c>
      <c r="CB369" s="624">
        <f t="shared" si="339"/>
        <v>125600000</v>
      </c>
    </row>
    <row r="370" spans="1:80" s="11" customFormat="1" x14ac:dyDescent="0.2">
      <c r="A370" s="90"/>
      <c r="B370" s="91"/>
      <c r="C370" s="92"/>
      <c r="D370" s="91"/>
      <c r="E370" s="92"/>
      <c r="F370" s="92"/>
      <c r="G370" s="91"/>
      <c r="H370" s="92"/>
      <c r="I370" s="91"/>
      <c r="J370" s="93"/>
      <c r="K370" s="329"/>
      <c r="L370" s="329"/>
      <c r="M370" s="329"/>
      <c r="N370" s="93"/>
      <c r="O370" s="500"/>
      <c r="P370" s="91"/>
      <c r="Q370" s="92"/>
      <c r="R370" s="543"/>
      <c r="S370" s="543"/>
      <c r="T370" s="543"/>
      <c r="U370" s="543"/>
      <c r="V370" s="543"/>
      <c r="W370" s="543"/>
      <c r="X370" s="543"/>
      <c r="Y370" s="543"/>
      <c r="Z370" s="543"/>
      <c r="AA370" s="543"/>
      <c r="AB370" s="543"/>
      <c r="AC370" s="543"/>
      <c r="AD370" s="543"/>
      <c r="AE370" s="543"/>
      <c r="AF370" s="543"/>
      <c r="AG370" s="543"/>
      <c r="AH370" s="543"/>
      <c r="AI370" s="543"/>
      <c r="AJ370" s="543"/>
      <c r="AK370" s="543"/>
      <c r="AL370" s="543"/>
      <c r="AM370" s="543"/>
      <c r="AN370" s="543"/>
      <c r="AO370" s="543"/>
      <c r="AP370" s="543"/>
      <c r="AQ370" s="543"/>
      <c r="AR370" s="543"/>
      <c r="AS370" s="543"/>
      <c r="AT370" s="543"/>
      <c r="AU370" s="543"/>
      <c r="AV370" s="543"/>
      <c r="AW370" s="543"/>
      <c r="AX370" s="543"/>
      <c r="AY370" s="544"/>
      <c r="AZ370" s="544"/>
      <c r="BA370" s="544"/>
      <c r="BB370" s="544"/>
      <c r="BC370" s="544"/>
      <c r="BD370" s="544"/>
      <c r="BE370" s="543"/>
      <c r="BF370" s="543"/>
      <c r="BG370" s="543"/>
      <c r="BH370" s="543"/>
      <c r="BI370" s="543"/>
      <c r="BJ370" s="543"/>
      <c r="BK370" s="545"/>
      <c r="BL370" s="545"/>
      <c r="BM370" s="545"/>
      <c r="BN370" s="546"/>
      <c r="BO370" s="546"/>
      <c r="BP370" s="546"/>
      <c r="BQ370" s="543"/>
      <c r="BR370" s="543"/>
      <c r="BS370" s="543"/>
      <c r="BT370" s="543"/>
      <c r="BU370" s="543"/>
      <c r="BV370" s="543"/>
      <c r="BW370" s="543"/>
      <c r="BX370" s="543"/>
      <c r="BY370" s="543"/>
      <c r="BZ370" s="543"/>
      <c r="CA370" s="543"/>
      <c r="CB370" s="543"/>
    </row>
    <row r="371" spans="1:80" s="459" customFormat="1" ht="15.75" x14ac:dyDescent="0.2">
      <c r="A371" s="41" t="s">
        <v>453</v>
      </c>
      <c r="B371" s="42"/>
      <c r="C371" s="43"/>
      <c r="D371" s="42"/>
      <c r="E371" s="42"/>
      <c r="F371" s="42"/>
      <c r="G371" s="42"/>
      <c r="H371" s="43"/>
      <c r="I371" s="42"/>
      <c r="J371" s="42"/>
      <c r="K371" s="330"/>
      <c r="L371" s="330"/>
      <c r="M371" s="330"/>
      <c r="N371" s="42"/>
      <c r="O371" s="43"/>
      <c r="P371" s="42"/>
      <c r="Q371" s="43"/>
      <c r="R371" s="617"/>
      <c r="S371" s="617"/>
      <c r="T371" s="617"/>
      <c r="U371" s="617"/>
      <c r="V371" s="617"/>
      <c r="W371" s="617"/>
      <c r="X371" s="617"/>
      <c r="Y371" s="617"/>
      <c r="Z371" s="617"/>
      <c r="AA371" s="617"/>
      <c r="AB371" s="617"/>
      <c r="AC371" s="617"/>
      <c r="AD371" s="617"/>
      <c r="AE371" s="617"/>
      <c r="AF371" s="617"/>
      <c r="AG371" s="617"/>
      <c r="AH371" s="617"/>
      <c r="AI371" s="617"/>
      <c r="AJ371" s="617"/>
      <c r="AK371" s="617"/>
      <c r="AL371" s="617"/>
      <c r="AM371" s="617"/>
      <c r="AN371" s="617"/>
      <c r="AO371" s="617"/>
      <c r="AP371" s="617"/>
      <c r="AQ371" s="617"/>
      <c r="AR371" s="617"/>
      <c r="AS371" s="617"/>
      <c r="AT371" s="617"/>
      <c r="AU371" s="617"/>
      <c r="AV371" s="617"/>
      <c r="AW371" s="617"/>
      <c r="AX371" s="617"/>
      <c r="AY371" s="617"/>
      <c r="AZ371" s="617"/>
      <c r="BA371" s="617"/>
      <c r="BB371" s="617"/>
      <c r="BC371" s="617"/>
      <c r="BD371" s="617"/>
      <c r="BE371" s="617"/>
      <c r="BF371" s="617"/>
      <c r="BG371" s="617"/>
      <c r="BH371" s="617"/>
      <c r="BI371" s="617"/>
      <c r="BJ371" s="617"/>
      <c r="BK371" s="618"/>
      <c r="BL371" s="618"/>
      <c r="BM371" s="618"/>
      <c r="BN371" s="619"/>
      <c r="BO371" s="619"/>
      <c r="BP371" s="619"/>
      <c r="BQ371" s="617"/>
      <c r="BR371" s="617"/>
      <c r="BS371" s="617"/>
      <c r="BT371" s="617"/>
      <c r="BU371" s="617"/>
      <c r="BV371" s="617"/>
      <c r="BW371" s="617"/>
      <c r="BX371" s="617"/>
      <c r="BY371" s="617"/>
      <c r="BZ371" s="617" t="s">
        <v>62</v>
      </c>
      <c r="CA371" s="617" t="s">
        <v>62</v>
      </c>
      <c r="CB371" s="617" t="s">
        <v>62</v>
      </c>
    </row>
    <row r="372" spans="1:80" s="459" customFormat="1" ht="15.75" x14ac:dyDescent="0.2">
      <c r="A372" s="44">
        <v>3</v>
      </c>
      <c r="B372" s="45" t="s">
        <v>259</v>
      </c>
      <c r="C372" s="46"/>
      <c r="D372" s="45"/>
      <c r="E372" s="45"/>
      <c r="F372" s="45"/>
      <c r="G372" s="45"/>
      <c r="H372" s="46"/>
      <c r="I372" s="45"/>
      <c r="J372" s="45"/>
      <c r="K372" s="151"/>
      <c r="L372" s="151"/>
      <c r="M372" s="151"/>
      <c r="N372" s="45"/>
      <c r="O372" s="46"/>
      <c r="P372" s="45"/>
      <c r="Q372" s="45"/>
      <c r="R372" s="572"/>
      <c r="S372" s="572"/>
      <c r="T372" s="572"/>
      <c r="U372" s="572"/>
      <c r="V372" s="572"/>
      <c r="W372" s="572"/>
      <c r="X372" s="572"/>
      <c r="Y372" s="572"/>
      <c r="Z372" s="572"/>
      <c r="AA372" s="572"/>
      <c r="AB372" s="572"/>
      <c r="AC372" s="572"/>
      <c r="AD372" s="572"/>
      <c r="AE372" s="572"/>
      <c r="AF372" s="572"/>
      <c r="AG372" s="572"/>
      <c r="AH372" s="572"/>
      <c r="AI372" s="572"/>
      <c r="AJ372" s="572"/>
      <c r="AK372" s="572"/>
      <c r="AL372" s="572"/>
      <c r="AM372" s="572"/>
      <c r="AN372" s="572"/>
      <c r="AO372" s="572"/>
      <c r="AP372" s="572"/>
      <c r="AQ372" s="572"/>
      <c r="AR372" s="572"/>
      <c r="AS372" s="572"/>
      <c r="AT372" s="572"/>
      <c r="AU372" s="572"/>
      <c r="AV372" s="572"/>
      <c r="AW372" s="572"/>
      <c r="AX372" s="572"/>
      <c r="AY372" s="572"/>
      <c r="AZ372" s="572"/>
      <c r="BA372" s="572"/>
      <c r="BB372" s="572"/>
      <c r="BC372" s="572"/>
      <c r="BD372" s="572"/>
      <c r="BE372" s="572"/>
      <c r="BF372" s="572"/>
      <c r="BG372" s="572"/>
      <c r="BH372" s="572"/>
      <c r="BI372" s="572"/>
      <c r="BJ372" s="572"/>
      <c r="BK372" s="573"/>
      <c r="BL372" s="573"/>
      <c r="BM372" s="573"/>
      <c r="BN372" s="572"/>
      <c r="BO372" s="572"/>
      <c r="BP372" s="572"/>
      <c r="BQ372" s="572"/>
      <c r="BR372" s="572"/>
      <c r="BS372" s="572"/>
      <c r="BT372" s="572"/>
      <c r="BU372" s="572"/>
      <c r="BV372" s="572"/>
      <c r="BW372" s="572"/>
      <c r="BX372" s="572"/>
      <c r="BY372" s="572"/>
      <c r="BZ372" s="572"/>
      <c r="CA372" s="572"/>
      <c r="CB372" s="572"/>
    </row>
    <row r="373" spans="1:80" s="459" customFormat="1" ht="15.75" x14ac:dyDescent="0.2">
      <c r="A373" s="96"/>
      <c r="B373" s="152">
        <v>5</v>
      </c>
      <c r="C373" s="49" t="s">
        <v>454</v>
      </c>
      <c r="D373" s="50"/>
      <c r="E373" s="50"/>
      <c r="F373" s="50"/>
      <c r="G373" s="50"/>
      <c r="H373" s="51"/>
      <c r="I373" s="50"/>
      <c r="J373" s="50"/>
      <c r="K373" s="153"/>
      <c r="L373" s="153"/>
      <c r="M373" s="153"/>
      <c r="N373" s="50"/>
      <c r="O373" s="51"/>
      <c r="P373" s="50"/>
      <c r="Q373" s="50"/>
      <c r="R373" s="550"/>
      <c r="S373" s="550"/>
      <c r="T373" s="550"/>
      <c r="U373" s="550"/>
      <c r="V373" s="550"/>
      <c r="W373" s="550"/>
      <c r="X373" s="550"/>
      <c r="Y373" s="550"/>
      <c r="Z373" s="550"/>
      <c r="AA373" s="550"/>
      <c r="AB373" s="550"/>
      <c r="AC373" s="550"/>
      <c r="AD373" s="550"/>
      <c r="AE373" s="550"/>
      <c r="AF373" s="550"/>
      <c r="AG373" s="550"/>
      <c r="AH373" s="550"/>
      <c r="AI373" s="550"/>
      <c r="AJ373" s="550"/>
      <c r="AK373" s="550"/>
      <c r="AL373" s="550"/>
      <c r="AM373" s="550"/>
      <c r="AN373" s="550"/>
      <c r="AO373" s="550"/>
      <c r="AP373" s="550"/>
      <c r="AQ373" s="550"/>
      <c r="AR373" s="550"/>
      <c r="AS373" s="550"/>
      <c r="AT373" s="550"/>
      <c r="AU373" s="550"/>
      <c r="AV373" s="550"/>
      <c r="AW373" s="550"/>
      <c r="AX373" s="550"/>
      <c r="AY373" s="550"/>
      <c r="AZ373" s="550"/>
      <c r="BA373" s="550"/>
      <c r="BB373" s="550"/>
      <c r="BC373" s="550"/>
      <c r="BD373" s="550"/>
      <c r="BE373" s="550"/>
      <c r="BF373" s="550"/>
      <c r="BG373" s="550"/>
      <c r="BH373" s="550"/>
      <c r="BI373" s="550"/>
      <c r="BJ373" s="550"/>
      <c r="BK373" s="551"/>
      <c r="BL373" s="551"/>
      <c r="BM373" s="551"/>
      <c r="BN373" s="550"/>
      <c r="BO373" s="550"/>
      <c r="BP373" s="550"/>
      <c r="BQ373" s="550"/>
      <c r="BR373" s="550"/>
      <c r="BS373" s="550"/>
      <c r="BT373" s="550"/>
      <c r="BU373" s="550"/>
      <c r="BV373" s="550"/>
      <c r="BW373" s="550"/>
      <c r="BX373" s="550"/>
      <c r="BY373" s="550"/>
      <c r="BZ373" s="550"/>
      <c r="CA373" s="550"/>
      <c r="CB373" s="550"/>
    </row>
    <row r="374" spans="1:80" s="459" customFormat="1" ht="15.75" x14ac:dyDescent="0.2">
      <c r="A374" s="54"/>
      <c r="B374" s="96"/>
      <c r="C374" s="508"/>
      <c r="D374" s="516"/>
      <c r="E374" s="508"/>
      <c r="F374" s="508"/>
      <c r="G374" s="274">
        <v>16</v>
      </c>
      <c r="H374" s="100" t="s">
        <v>455</v>
      </c>
      <c r="I374" s="100"/>
      <c r="J374" s="100"/>
      <c r="K374" s="155"/>
      <c r="L374" s="155"/>
      <c r="M374" s="155"/>
      <c r="N374" s="100"/>
      <c r="O374" s="212"/>
      <c r="P374" s="100"/>
      <c r="Q374" s="100"/>
      <c r="R374" s="336"/>
      <c r="S374" s="336"/>
      <c r="T374" s="336"/>
      <c r="U374" s="336"/>
      <c r="V374" s="336"/>
      <c r="W374" s="336"/>
      <c r="X374" s="336"/>
      <c r="Y374" s="336"/>
      <c r="Z374" s="336"/>
      <c r="AA374" s="336"/>
      <c r="AB374" s="336"/>
      <c r="AC374" s="336"/>
      <c r="AD374" s="336"/>
      <c r="AE374" s="336"/>
      <c r="AF374" s="336"/>
      <c r="AG374" s="336"/>
      <c r="AH374" s="336"/>
      <c r="AI374" s="336"/>
      <c r="AJ374" s="336"/>
      <c r="AK374" s="336"/>
      <c r="AL374" s="336"/>
      <c r="AM374" s="336"/>
      <c r="AN374" s="336"/>
      <c r="AO374" s="336"/>
      <c r="AP374" s="336"/>
      <c r="AQ374" s="336"/>
      <c r="AR374" s="336"/>
      <c r="AS374" s="336"/>
      <c r="AT374" s="336"/>
      <c r="AU374" s="336"/>
      <c r="AV374" s="336"/>
      <c r="AW374" s="336"/>
      <c r="AX374" s="336"/>
      <c r="AY374" s="336"/>
      <c r="AZ374" s="336"/>
      <c r="BA374" s="336"/>
      <c r="BB374" s="336"/>
      <c r="BC374" s="336"/>
      <c r="BD374" s="336"/>
      <c r="BE374" s="336"/>
      <c r="BF374" s="336"/>
      <c r="BG374" s="336"/>
      <c r="BH374" s="336"/>
      <c r="BI374" s="336"/>
      <c r="BJ374" s="336"/>
      <c r="BK374" s="552"/>
      <c r="BL374" s="552"/>
      <c r="BM374" s="552"/>
      <c r="BN374" s="336"/>
      <c r="BO374" s="336"/>
      <c r="BP374" s="336"/>
      <c r="BQ374" s="336"/>
      <c r="BR374" s="336"/>
      <c r="BS374" s="336"/>
      <c r="BT374" s="336"/>
      <c r="BU374" s="336"/>
      <c r="BV374" s="336"/>
      <c r="BW374" s="336"/>
      <c r="BX374" s="336"/>
      <c r="BY374" s="336"/>
      <c r="BZ374" s="336"/>
      <c r="CA374" s="336"/>
      <c r="CB374" s="336"/>
    </row>
    <row r="375" spans="1:80" s="11" customFormat="1" ht="75" customHeight="1" x14ac:dyDescent="0.2">
      <c r="A375" s="54"/>
      <c r="B375" s="54"/>
      <c r="C375" s="510">
        <v>15</v>
      </c>
      <c r="D375" s="518" t="s">
        <v>456</v>
      </c>
      <c r="E375" s="527">
        <v>0.73229999999999995</v>
      </c>
      <c r="F375" s="527">
        <v>0.78</v>
      </c>
      <c r="G375" s="58"/>
      <c r="H375" s="57">
        <v>65</v>
      </c>
      <c r="I375" s="56" t="s">
        <v>457</v>
      </c>
      <c r="J375" s="207">
        <v>1</v>
      </c>
      <c r="K375" s="132">
        <v>1</v>
      </c>
      <c r="L375" s="275">
        <v>0.25</v>
      </c>
      <c r="M375" s="850">
        <v>2017003630002</v>
      </c>
      <c r="N375" s="897" t="s">
        <v>458</v>
      </c>
      <c r="O375" s="856" t="s">
        <v>459</v>
      </c>
      <c r="P375" s="853" t="s">
        <v>460</v>
      </c>
      <c r="Q375" s="57" t="s">
        <v>51</v>
      </c>
      <c r="R375" s="539">
        <v>0</v>
      </c>
      <c r="S375" s="539"/>
      <c r="T375" s="539"/>
      <c r="U375" s="539">
        <v>0</v>
      </c>
      <c r="V375" s="539"/>
      <c r="W375" s="539"/>
      <c r="X375" s="539">
        <v>0</v>
      </c>
      <c r="Y375" s="539"/>
      <c r="Z375" s="539"/>
      <c r="AA375" s="539">
        <v>0</v>
      </c>
      <c r="AB375" s="539"/>
      <c r="AC375" s="539"/>
      <c r="AD375" s="539">
        <v>0</v>
      </c>
      <c r="AE375" s="539"/>
      <c r="AF375" s="539"/>
      <c r="AG375" s="539">
        <v>0</v>
      </c>
      <c r="AH375" s="539"/>
      <c r="AI375" s="539"/>
      <c r="AJ375" s="625">
        <f>2640000000</f>
        <v>2640000000</v>
      </c>
      <c r="AK375" s="625">
        <v>953783207</v>
      </c>
      <c r="AL375" s="625">
        <v>77435157</v>
      </c>
      <c r="AM375" s="539"/>
      <c r="AN375" s="539"/>
      <c r="AO375" s="539"/>
      <c r="AP375" s="539"/>
      <c r="AQ375" s="539"/>
      <c r="AR375" s="539"/>
      <c r="AS375" s="539">
        <v>0</v>
      </c>
      <c r="AT375" s="539"/>
      <c r="AU375" s="539"/>
      <c r="AV375" s="539">
        <v>0</v>
      </c>
      <c r="AW375" s="539"/>
      <c r="AX375" s="539"/>
      <c r="AY375" s="539"/>
      <c r="AZ375" s="539"/>
      <c r="BA375" s="539"/>
      <c r="BB375" s="539"/>
      <c r="BC375" s="539"/>
      <c r="BD375" s="539"/>
      <c r="BE375" s="539">
        <v>0</v>
      </c>
      <c r="BF375" s="539"/>
      <c r="BG375" s="539"/>
      <c r="BH375" s="539">
        <v>0</v>
      </c>
      <c r="BI375" s="626"/>
      <c r="BJ375" s="626"/>
      <c r="BK375" s="817">
        <f>1250000000+97827540+1000000000</f>
        <v>2347827540</v>
      </c>
      <c r="BL375" s="817">
        <v>748832000</v>
      </c>
      <c r="BM375" s="817">
        <v>100000000</v>
      </c>
      <c r="BN375" s="542"/>
      <c r="BO375" s="542"/>
      <c r="BP375" s="542"/>
      <c r="BQ375" s="539">
        <v>79557</v>
      </c>
      <c r="BR375" s="626"/>
      <c r="BS375" s="626"/>
      <c r="BT375" s="626"/>
      <c r="BU375" s="626"/>
      <c r="BV375" s="626"/>
      <c r="BW375" s="626"/>
      <c r="BX375" s="626"/>
      <c r="BY375" s="626"/>
      <c r="BZ375" s="539">
        <f t="shared" ref="BZ375:BZ377" si="340">R375+U375+X375+AA375+AD375+AG375+AJ375+AM375+AP375+AS375+AV375+AY375+BB375+BE375+BH375+BK375+BN375+BQ375+BT375+BW375</f>
        <v>4987907097</v>
      </c>
      <c r="CA375" s="539">
        <f t="shared" ref="CA375:CA377" si="341">S375+V375+Y375+AB375+AE375+AH375+AK375+AN375+AQ375+AT375+AW375+AZ375+BC375+BF375+BI375+BL375+BO375+BR375+BU375+BX375</f>
        <v>1702615207</v>
      </c>
      <c r="CB375" s="539">
        <f t="shared" ref="CB375:CB377" si="342">T375+W375+Z375+AC375+AF375+AI375+AL375+AO375+AR375+AU375+AX375+BA375+BD375+BG375+BJ375+BM375+BP375+BS375+BV375+BY375</f>
        <v>177435157</v>
      </c>
    </row>
    <row r="376" spans="1:80" s="11" customFormat="1" ht="66.75" customHeight="1" x14ac:dyDescent="0.2">
      <c r="A376" s="54"/>
      <c r="B376" s="54"/>
      <c r="C376" s="55">
        <v>19</v>
      </c>
      <c r="D376" s="56" t="s">
        <v>461</v>
      </c>
      <c r="E376" s="331" t="s">
        <v>925</v>
      </c>
      <c r="F376" s="331" t="s">
        <v>926</v>
      </c>
      <c r="G376" s="64"/>
      <c r="H376" s="57">
        <v>66</v>
      </c>
      <c r="I376" s="56" t="s">
        <v>462</v>
      </c>
      <c r="J376" s="207">
        <v>1</v>
      </c>
      <c r="K376" s="132">
        <v>1</v>
      </c>
      <c r="L376" s="275">
        <v>3.4000000000000002E-2</v>
      </c>
      <c r="M376" s="851"/>
      <c r="N376" s="898"/>
      <c r="O376" s="857"/>
      <c r="P376" s="854"/>
      <c r="Q376" s="57" t="s">
        <v>51</v>
      </c>
      <c r="R376" s="539"/>
      <c r="S376" s="539"/>
      <c r="T376" s="539"/>
      <c r="U376" s="539"/>
      <c r="V376" s="539"/>
      <c r="W376" s="539"/>
      <c r="X376" s="539"/>
      <c r="Y376" s="539"/>
      <c r="Z376" s="539"/>
      <c r="AA376" s="539"/>
      <c r="AB376" s="539"/>
      <c r="AC376" s="539"/>
      <c r="AD376" s="539"/>
      <c r="AE376" s="539"/>
      <c r="AF376" s="539"/>
      <c r="AG376" s="539"/>
      <c r="AH376" s="539"/>
      <c r="AI376" s="539"/>
      <c r="AJ376" s="625">
        <v>740763200</v>
      </c>
      <c r="AK376" s="625"/>
      <c r="AL376" s="625"/>
      <c r="AM376" s="539"/>
      <c r="AN376" s="539"/>
      <c r="AO376" s="539"/>
      <c r="AP376" s="539"/>
      <c r="AQ376" s="539"/>
      <c r="AR376" s="539"/>
      <c r="AS376" s="539"/>
      <c r="AT376" s="539"/>
      <c r="AU376" s="539"/>
      <c r="AV376" s="539"/>
      <c r="AW376" s="539"/>
      <c r="AX376" s="539"/>
      <c r="AY376" s="627">
        <v>35181428</v>
      </c>
      <c r="AZ376" s="627"/>
      <c r="BA376" s="627"/>
      <c r="BB376" s="539"/>
      <c r="BC376" s="539"/>
      <c r="BD376" s="539"/>
      <c r="BE376" s="541">
        <f>7780000000+622078305+643761133</f>
        <v>9045839438</v>
      </c>
      <c r="BF376" s="541"/>
      <c r="BG376" s="541"/>
      <c r="BH376" s="539"/>
      <c r="BI376" s="541"/>
      <c r="BJ376" s="541"/>
      <c r="BK376" s="628">
        <f>287000000+1977067+30000000</f>
        <v>318977067</v>
      </c>
      <c r="BL376" s="628">
        <v>225294000</v>
      </c>
      <c r="BM376" s="628">
        <v>34602000</v>
      </c>
      <c r="BN376" s="542"/>
      <c r="BO376" s="542"/>
      <c r="BP376" s="542"/>
      <c r="BQ376" s="539"/>
      <c r="BR376" s="541"/>
      <c r="BS376" s="541"/>
      <c r="BT376" s="541"/>
      <c r="BU376" s="541"/>
      <c r="BV376" s="541"/>
      <c r="BW376" s="541"/>
      <c r="BX376" s="541"/>
      <c r="BY376" s="541"/>
      <c r="BZ376" s="539">
        <f t="shared" si="340"/>
        <v>10140761133</v>
      </c>
      <c r="CA376" s="539">
        <f t="shared" si="341"/>
        <v>225294000</v>
      </c>
      <c r="CB376" s="539">
        <f t="shared" si="342"/>
        <v>34602000</v>
      </c>
    </row>
    <row r="377" spans="1:80" s="11" customFormat="1" ht="69" customHeight="1" x14ac:dyDescent="0.2">
      <c r="A377" s="54"/>
      <c r="B377" s="54"/>
      <c r="C377" s="508">
        <v>14</v>
      </c>
      <c r="D377" s="58" t="s">
        <v>463</v>
      </c>
      <c r="E377" s="525">
        <v>6.2E-2</v>
      </c>
      <c r="F377" s="525">
        <v>0.03</v>
      </c>
      <c r="G377" s="64"/>
      <c r="H377" s="57">
        <v>67</v>
      </c>
      <c r="I377" s="56" t="s">
        <v>464</v>
      </c>
      <c r="J377" s="207">
        <v>1</v>
      </c>
      <c r="K377" s="132">
        <v>1</v>
      </c>
      <c r="L377" s="275">
        <v>0.81</v>
      </c>
      <c r="M377" s="852"/>
      <c r="N377" s="899"/>
      <c r="O377" s="858"/>
      <c r="P377" s="855"/>
      <c r="Q377" s="57" t="s">
        <v>51</v>
      </c>
      <c r="R377" s="539"/>
      <c r="S377" s="539"/>
      <c r="T377" s="539"/>
      <c r="U377" s="539"/>
      <c r="V377" s="539"/>
      <c r="W377" s="539"/>
      <c r="X377" s="539"/>
      <c r="Y377" s="539"/>
      <c r="Z377" s="539"/>
      <c r="AA377" s="539"/>
      <c r="AB377" s="539"/>
      <c r="AC377" s="539"/>
      <c r="AD377" s="539"/>
      <c r="AE377" s="539"/>
      <c r="AF377" s="539"/>
      <c r="AG377" s="539"/>
      <c r="AH377" s="539"/>
      <c r="AI377" s="539"/>
      <c r="AJ377" s="625">
        <f>114133362+76666638</f>
        <v>190800000</v>
      </c>
      <c r="AK377" s="625">
        <v>149586505</v>
      </c>
      <c r="AL377" s="625">
        <v>149586505</v>
      </c>
      <c r="AM377" s="539"/>
      <c r="AN377" s="539"/>
      <c r="AO377" s="539"/>
      <c r="AP377" s="539"/>
      <c r="AQ377" s="539"/>
      <c r="AR377" s="539"/>
      <c r="AS377" s="539"/>
      <c r="AT377" s="539"/>
      <c r="AU377" s="539"/>
      <c r="AV377" s="539"/>
      <c r="AW377" s="539"/>
      <c r="AX377" s="539"/>
      <c r="AY377" s="539"/>
      <c r="AZ377" s="539"/>
      <c r="BA377" s="539"/>
      <c r="BB377" s="539"/>
      <c r="BC377" s="539"/>
      <c r="BD377" s="539"/>
      <c r="BE377" s="539"/>
      <c r="BF377" s="539"/>
      <c r="BG377" s="539"/>
      <c r="BH377" s="539"/>
      <c r="BI377" s="541"/>
      <c r="BJ377" s="541"/>
      <c r="BK377" s="628">
        <v>900000000</v>
      </c>
      <c r="BL377" s="628">
        <v>729922951</v>
      </c>
      <c r="BM377" s="628">
        <v>665426318</v>
      </c>
      <c r="BN377" s="542"/>
      <c r="BO377" s="542"/>
      <c r="BP377" s="542"/>
      <c r="BQ377" s="539"/>
      <c r="BR377" s="541"/>
      <c r="BS377" s="541"/>
      <c r="BT377" s="541"/>
      <c r="BU377" s="541"/>
      <c r="BV377" s="541"/>
      <c r="BW377" s="541"/>
      <c r="BX377" s="541"/>
      <c r="BY377" s="541"/>
      <c r="BZ377" s="539">
        <f t="shared" si="340"/>
        <v>1090800000</v>
      </c>
      <c r="CA377" s="539">
        <f t="shared" si="341"/>
        <v>879509456</v>
      </c>
      <c r="CB377" s="539">
        <f t="shared" si="342"/>
        <v>815012823</v>
      </c>
    </row>
    <row r="378" spans="1:80" s="459" customFormat="1" ht="15.75" x14ac:dyDescent="0.2">
      <c r="A378" s="54"/>
      <c r="B378" s="54"/>
      <c r="C378" s="510"/>
      <c r="D378" s="518"/>
      <c r="E378" s="510"/>
      <c r="F378" s="510"/>
      <c r="G378" s="77"/>
      <c r="H378" s="78"/>
      <c r="I378" s="77"/>
      <c r="J378" s="240"/>
      <c r="K378" s="165"/>
      <c r="L378" s="279"/>
      <c r="M378" s="165"/>
      <c r="N378" s="240"/>
      <c r="O378" s="78"/>
      <c r="P378" s="77"/>
      <c r="Q378" s="78"/>
      <c r="R378" s="629">
        <f t="shared" ref="R378:BY378" si="343">SUM(R375:R377)</f>
        <v>0</v>
      </c>
      <c r="S378" s="629">
        <f t="shared" si="343"/>
        <v>0</v>
      </c>
      <c r="T378" s="629">
        <f t="shared" si="343"/>
        <v>0</v>
      </c>
      <c r="U378" s="629">
        <f t="shared" si="343"/>
        <v>0</v>
      </c>
      <c r="V378" s="629">
        <f t="shared" si="343"/>
        <v>0</v>
      </c>
      <c r="W378" s="629">
        <f t="shared" si="343"/>
        <v>0</v>
      </c>
      <c r="X378" s="629">
        <f t="shared" si="343"/>
        <v>0</v>
      </c>
      <c r="Y378" s="629">
        <f t="shared" si="343"/>
        <v>0</v>
      </c>
      <c r="Z378" s="629">
        <f t="shared" si="343"/>
        <v>0</v>
      </c>
      <c r="AA378" s="629">
        <f t="shared" si="343"/>
        <v>0</v>
      </c>
      <c r="AB378" s="629">
        <f t="shared" si="343"/>
        <v>0</v>
      </c>
      <c r="AC378" s="629">
        <f t="shared" si="343"/>
        <v>0</v>
      </c>
      <c r="AD378" s="629">
        <f t="shared" si="343"/>
        <v>0</v>
      </c>
      <c r="AE378" s="629">
        <f t="shared" si="343"/>
        <v>0</v>
      </c>
      <c r="AF378" s="629">
        <f t="shared" si="343"/>
        <v>0</v>
      </c>
      <c r="AG378" s="629">
        <f t="shared" si="343"/>
        <v>0</v>
      </c>
      <c r="AH378" s="629">
        <f t="shared" si="343"/>
        <v>0</v>
      </c>
      <c r="AI378" s="629">
        <f t="shared" si="343"/>
        <v>0</v>
      </c>
      <c r="AJ378" s="629">
        <f t="shared" si="343"/>
        <v>3571563200</v>
      </c>
      <c r="AK378" s="629">
        <f t="shared" si="343"/>
        <v>1103369712</v>
      </c>
      <c r="AL378" s="629">
        <f t="shared" si="343"/>
        <v>227021662</v>
      </c>
      <c r="AM378" s="629">
        <f t="shared" si="343"/>
        <v>0</v>
      </c>
      <c r="AN378" s="629">
        <f t="shared" si="343"/>
        <v>0</v>
      </c>
      <c r="AO378" s="629">
        <f t="shared" si="343"/>
        <v>0</v>
      </c>
      <c r="AP378" s="629">
        <f t="shared" si="343"/>
        <v>0</v>
      </c>
      <c r="AQ378" s="629">
        <f t="shared" si="343"/>
        <v>0</v>
      </c>
      <c r="AR378" s="629">
        <f t="shared" si="343"/>
        <v>0</v>
      </c>
      <c r="AS378" s="629">
        <f t="shared" si="343"/>
        <v>0</v>
      </c>
      <c r="AT378" s="629">
        <f t="shared" si="343"/>
        <v>0</v>
      </c>
      <c r="AU378" s="629">
        <f t="shared" si="343"/>
        <v>0</v>
      </c>
      <c r="AV378" s="629">
        <f t="shared" si="343"/>
        <v>0</v>
      </c>
      <c r="AW378" s="629">
        <f t="shared" si="343"/>
        <v>0</v>
      </c>
      <c r="AX378" s="629">
        <f t="shared" si="343"/>
        <v>0</v>
      </c>
      <c r="AY378" s="629">
        <f t="shared" si="343"/>
        <v>35181428</v>
      </c>
      <c r="AZ378" s="629">
        <f t="shared" si="343"/>
        <v>0</v>
      </c>
      <c r="BA378" s="629">
        <f t="shared" si="343"/>
        <v>0</v>
      </c>
      <c r="BB378" s="629">
        <f t="shared" si="343"/>
        <v>0</v>
      </c>
      <c r="BC378" s="629">
        <f t="shared" si="343"/>
        <v>0</v>
      </c>
      <c r="BD378" s="629">
        <f t="shared" si="343"/>
        <v>0</v>
      </c>
      <c r="BE378" s="629">
        <f t="shared" si="343"/>
        <v>9045839438</v>
      </c>
      <c r="BF378" s="629">
        <f t="shared" si="343"/>
        <v>0</v>
      </c>
      <c r="BG378" s="629">
        <f t="shared" si="343"/>
        <v>0</v>
      </c>
      <c r="BH378" s="629">
        <f t="shared" si="343"/>
        <v>0</v>
      </c>
      <c r="BI378" s="629">
        <f t="shared" si="343"/>
        <v>0</v>
      </c>
      <c r="BJ378" s="629">
        <f t="shared" si="343"/>
        <v>0</v>
      </c>
      <c r="BK378" s="629">
        <f t="shared" si="343"/>
        <v>3566804607</v>
      </c>
      <c r="BL378" s="629">
        <f t="shared" si="343"/>
        <v>1704048951</v>
      </c>
      <c r="BM378" s="629">
        <f t="shared" si="343"/>
        <v>800028318</v>
      </c>
      <c r="BN378" s="629">
        <f t="shared" si="343"/>
        <v>0</v>
      </c>
      <c r="BO378" s="629">
        <f t="shared" si="343"/>
        <v>0</v>
      </c>
      <c r="BP378" s="629">
        <f t="shared" si="343"/>
        <v>0</v>
      </c>
      <c r="BQ378" s="629">
        <f t="shared" si="343"/>
        <v>79557</v>
      </c>
      <c r="BR378" s="629">
        <f t="shared" si="343"/>
        <v>0</v>
      </c>
      <c r="BS378" s="629">
        <f t="shared" si="343"/>
        <v>0</v>
      </c>
      <c r="BT378" s="629">
        <f t="shared" si="343"/>
        <v>0</v>
      </c>
      <c r="BU378" s="629">
        <f t="shared" si="343"/>
        <v>0</v>
      </c>
      <c r="BV378" s="629">
        <f t="shared" si="343"/>
        <v>0</v>
      </c>
      <c r="BW378" s="629">
        <f t="shared" si="343"/>
        <v>0</v>
      </c>
      <c r="BX378" s="629">
        <f t="shared" si="343"/>
        <v>0</v>
      </c>
      <c r="BY378" s="629">
        <f t="shared" si="343"/>
        <v>0</v>
      </c>
      <c r="BZ378" s="629">
        <f>SUM(BZ375:BZ377)</f>
        <v>16219468230</v>
      </c>
      <c r="CA378" s="629">
        <f t="shared" ref="CA378:CB378" si="344">SUM(CA375:CA377)</f>
        <v>2807418663</v>
      </c>
      <c r="CB378" s="548">
        <f t="shared" si="344"/>
        <v>1027049980</v>
      </c>
    </row>
    <row r="379" spans="1:80" s="11" customFormat="1" ht="27.75" customHeight="1" x14ac:dyDescent="0.2">
      <c r="A379" s="54"/>
      <c r="B379" s="54"/>
      <c r="C379" s="92"/>
      <c r="D379" s="91"/>
      <c r="E379" s="333"/>
      <c r="F379" s="333"/>
      <c r="G379" s="91"/>
      <c r="H379" s="92"/>
      <c r="I379" s="91"/>
      <c r="J379" s="245"/>
      <c r="K379" s="184"/>
      <c r="L379" s="341"/>
      <c r="M379" s="334"/>
      <c r="N379" s="335"/>
      <c r="O379" s="499"/>
      <c r="P379" s="124"/>
      <c r="Q379" s="92"/>
      <c r="R379" s="543"/>
      <c r="S379" s="543"/>
      <c r="T379" s="543"/>
      <c r="U379" s="544"/>
      <c r="V379" s="544"/>
      <c r="W379" s="544"/>
      <c r="X379" s="543"/>
      <c r="Y379" s="543"/>
      <c r="Z379" s="543"/>
      <c r="AA379" s="543"/>
      <c r="AB379" s="543"/>
      <c r="AC379" s="543"/>
      <c r="AD379" s="543"/>
      <c r="AE379" s="543"/>
      <c r="AF379" s="543"/>
      <c r="AG379" s="543"/>
      <c r="AH379" s="543"/>
      <c r="AI379" s="543"/>
      <c r="AJ379" s="543"/>
      <c r="AK379" s="543"/>
      <c r="AL379" s="543"/>
      <c r="AM379" s="543"/>
      <c r="AN379" s="543"/>
      <c r="AO379" s="543"/>
      <c r="AP379" s="543"/>
      <c r="AQ379" s="543"/>
      <c r="AR379" s="543"/>
      <c r="AS379" s="543"/>
      <c r="AT379" s="543"/>
      <c r="AU379" s="543"/>
      <c r="AV379" s="543"/>
      <c r="AW379" s="543"/>
      <c r="AX379" s="543"/>
      <c r="AY379" s="544"/>
      <c r="AZ379" s="544"/>
      <c r="BA379" s="544"/>
      <c r="BB379" s="544"/>
      <c r="BC379" s="544"/>
      <c r="BD379" s="544"/>
      <c r="BE379" s="543"/>
      <c r="BF379" s="543"/>
      <c r="BG379" s="543"/>
      <c r="BH379" s="543"/>
      <c r="BI379" s="570"/>
      <c r="BJ379" s="570"/>
      <c r="BK379" s="630" t="s">
        <v>62</v>
      </c>
      <c r="BL379" s="630"/>
      <c r="BM379" s="630"/>
      <c r="BN379" s="546"/>
      <c r="BO379" s="546"/>
      <c r="BP379" s="546"/>
      <c r="BQ379" s="543"/>
      <c r="BR379" s="543"/>
      <c r="BS379" s="543"/>
      <c r="BT379" s="543"/>
      <c r="BU379" s="543"/>
      <c r="BV379" s="543"/>
      <c r="BW379" s="543"/>
      <c r="BX379" s="543"/>
      <c r="BY379" s="543"/>
      <c r="BZ379" s="543"/>
      <c r="CA379" s="543"/>
      <c r="CB379" s="543"/>
    </row>
    <row r="380" spans="1:80" s="459" customFormat="1" ht="15.75" x14ac:dyDescent="0.2">
      <c r="A380" s="54"/>
      <c r="B380" s="54"/>
      <c r="C380" s="508"/>
      <c r="D380" s="516"/>
      <c r="E380" s="508"/>
      <c r="F380" s="508"/>
      <c r="G380" s="274">
        <v>17</v>
      </c>
      <c r="H380" s="100" t="s">
        <v>465</v>
      </c>
      <c r="I380" s="100"/>
      <c r="J380" s="100"/>
      <c r="K380" s="155"/>
      <c r="L380" s="278"/>
      <c r="M380" s="155"/>
      <c r="N380" s="100"/>
      <c r="O380" s="212"/>
      <c r="P380" s="100"/>
      <c r="Q380" s="100"/>
      <c r="R380" s="336"/>
      <c r="S380" s="336"/>
      <c r="T380" s="336"/>
      <c r="U380" s="336"/>
      <c r="V380" s="336"/>
      <c r="W380" s="336"/>
      <c r="X380" s="336"/>
      <c r="Y380" s="336"/>
      <c r="Z380" s="336"/>
      <c r="AA380" s="336"/>
      <c r="AB380" s="336"/>
      <c r="AC380" s="336"/>
      <c r="AD380" s="336"/>
      <c r="AE380" s="336"/>
      <c r="AF380" s="336"/>
      <c r="AG380" s="336"/>
      <c r="AH380" s="336"/>
      <c r="AI380" s="336"/>
      <c r="AJ380" s="336"/>
      <c r="AK380" s="336"/>
      <c r="AL380" s="336"/>
      <c r="AM380" s="336"/>
      <c r="AN380" s="336"/>
      <c r="AO380" s="336"/>
      <c r="AP380" s="336"/>
      <c r="AQ380" s="336"/>
      <c r="AR380" s="336"/>
      <c r="AS380" s="336"/>
      <c r="AT380" s="336"/>
      <c r="AU380" s="336"/>
      <c r="AV380" s="336"/>
      <c r="AW380" s="336"/>
      <c r="AX380" s="336"/>
      <c r="AY380" s="336"/>
      <c r="AZ380" s="336"/>
      <c r="BA380" s="336"/>
      <c r="BB380" s="336"/>
      <c r="BC380" s="336"/>
      <c r="BD380" s="336"/>
      <c r="BE380" s="336"/>
      <c r="BF380" s="336"/>
      <c r="BG380" s="336"/>
      <c r="BH380" s="336"/>
      <c r="BI380" s="336"/>
      <c r="BJ380" s="336"/>
      <c r="BK380" s="552"/>
      <c r="BL380" s="552"/>
      <c r="BM380" s="552"/>
      <c r="BN380" s="336"/>
      <c r="BO380" s="336"/>
      <c r="BP380" s="336"/>
      <c r="BQ380" s="336"/>
      <c r="BR380" s="336"/>
      <c r="BS380" s="336"/>
      <c r="BT380" s="336"/>
      <c r="BU380" s="336"/>
      <c r="BV380" s="336"/>
      <c r="BW380" s="336"/>
      <c r="BX380" s="336"/>
      <c r="BY380" s="336"/>
      <c r="BZ380" s="338"/>
      <c r="CA380" s="338"/>
      <c r="CB380" s="338"/>
    </row>
    <row r="381" spans="1:80" s="11" customFormat="1" ht="87" customHeight="1" x14ac:dyDescent="0.2">
      <c r="A381" s="54"/>
      <c r="B381" s="54"/>
      <c r="C381" s="510">
        <v>14</v>
      </c>
      <c r="D381" s="139" t="s">
        <v>463</v>
      </c>
      <c r="E381" s="527">
        <v>6.2E-2</v>
      </c>
      <c r="F381" s="527">
        <v>0.03</v>
      </c>
      <c r="G381" s="58"/>
      <c r="H381" s="57">
        <v>68</v>
      </c>
      <c r="I381" s="56" t="s">
        <v>466</v>
      </c>
      <c r="J381" s="207">
        <v>4357</v>
      </c>
      <c r="K381" s="60">
        <v>4500</v>
      </c>
      <c r="L381" s="237">
        <v>3707</v>
      </c>
      <c r="M381" s="850">
        <v>2017003630001</v>
      </c>
      <c r="N381" s="900" t="s">
        <v>458</v>
      </c>
      <c r="O381" s="856" t="s">
        <v>467</v>
      </c>
      <c r="P381" s="853" t="s">
        <v>468</v>
      </c>
      <c r="Q381" s="57" t="s">
        <v>51</v>
      </c>
      <c r="R381" s="539">
        <v>0</v>
      </c>
      <c r="S381" s="539"/>
      <c r="T381" s="539"/>
      <c r="U381" s="539">
        <v>0</v>
      </c>
      <c r="V381" s="539"/>
      <c r="W381" s="539"/>
      <c r="X381" s="539">
        <v>0</v>
      </c>
      <c r="Y381" s="539"/>
      <c r="Z381" s="539"/>
      <c r="AA381" s="539">
        <v>0</v>
      </c>
      <c r="AB381" s="539"/>
      <c r="AC381" s="539"/>
      <c r="AD381" s="539">
        <v>0</v>
      </c>
      <c r="AE381" s="539"/>
      <c r="AF381" s="539"/>
      <c r="AG381" s="539">
        <v>0</v>
      </c>
      <c r="AH381" s="539"/>
      <c r="AI381" s="539"/>
      <c r="AJ381" s="539">
        <v>0</v>
      </c>
      <c r="AK381" s="539"/>
      <c r="AL381" s="539"/>
      <c r="AM381" s="539"/>
      <c r="AN381" s="539"/>
      <c r="AO381" s="539"/>
      <c r="AP381" s="539"/>
      <c r="AQ381" s="539"/>
      <c r="AR381" s="539"/>
      <c r="AS381" s="539">
        <v>0</v>
      </c>
      <c r="AT381" s="539"/>
      <c r="AU381" s="539"/>
      <c r="AV381" s="539">
        <v>0</v>
      </c>
      <c r="AW381" s="539"/>
      <c r="AX381" s="539"/>
      <c r="AY381" s="568"/>
      <c r="AZ381" s="568"/>
      <c r="BA381" s="568"/>
      <c r="BB381" s="568"/>
      <c r="BC381" s="568"/>
      <c r="BD381" s="568"/>
      <c r="BE381" s="539">
        <v>0</v>
      </c>
      <c r="BF381" s="539"/>
      <c r="BG381" s="539"/>
      <c r="BH381" s="539">
        <v>0</v>
      </c>
      <c r="BI381" s="541"/>
      <c r="BJ381" s="541"/>
      <c r="BK381" s="628">
        <v>7200000</v>
      </c>
      <c r="BL381" s="628"/>
      <c r="BM381" s="628"/>
      <c r="BN381" s="553"/>
      <c r="BO381" s="553"/>
      <c r="BP381" s="553"/>
      <c r="BQ381" s="539">
        <v>0</v>
      </c>
      <c r="BR381" s="541"/>
      <c r="BS381" s="541"/>
      <c r="BT381" s="541"/>
      <c r="BU381" s="541"/>
      <c r="BV381" s="541"/>
      <c r="BW381" s="541">
        <v>0</v>
      </c>
      <c r="BX381" s="541"/>
      <c r="BY381" s="541"/>
      <c r="BZ381" s="539">
        <f t="shared" ref="BZ381:BZ386" si="345">R381+U381+X381+AA381+AD381+AG381+AJ381+AM381+AP381+AS381+AV381+AY381+BB381+BE381+BH381+BK381+BN381+BQ381+BT381+BW381</f>
        <v>7200000</v>
      </c>
      <c r="CA381" s="539">
        <f t="shared" ref="CA381:CA386" si="346">S381+V381+Y381+AB381+AE381+AH381+AK381+AN381+AQ381+AT381+AW381+AZ381+BC381+BF381+BI381+BL381+BO381+BR381+BU381+BX381</f>
        <v>0</v>
      </c>
      <c r="CB381" s="539">
        <f t="shared" ref="CB381:CB386" si="347">T381+W381+Z381+AC381+AF381+AI381+AL381+AO381+AR381+AU381+AX381+BA381+BD381+BG381+BJ381+BM381+BP381+BS381+BV381+BY381</f>
        <v>0</v>
      </c>
    </row>
    <row r="382" spans="1:80" s="11" customFormat="1" ht="88.5" customHeight="1" x14ac:dyDescent="0.2">
      <c r="A382" s="54"/>
      <c r="B382" s="54"/>
      <c r="C382" s="55">
        <v>15</v>
      </c>
      <c r="D382" s="56" t="s">
        <v>456</v>
      </c>
      <c r="E382" s="331">
        <v>0.73229999999999995</v>
      </c>
      <c r="F382" s="331">
        <v>0.78</v>
      </c>
      <c r="G382" s="64"/>
      <c r="H382" s="57">
        <v>69</v>
      </c>
      <c r="I382" s="56" t="s">
        <v>469</v>
      </c>
      <c r="J382" s="331" t="s">
        <v>42</v>
      </c>
      <c r="K382" s="60">
        <v>1</v>
      </c>
      <c r="L382" s="491">
        <v>0.5</v>
      </c>
      <c r="M382" s="851"/>
      <c r="N382" s="901"/>
      <c r="O382" s="857"/>
      <c r="P382" s="854"/>
      <c r="Q382" s="57" t="s">
        <v>51</v>
      </c>
      <c r="R382" s="539">
        <v>0</v>
      </c>
      <c r="S382" s="539"/>
      <c r="T382" s="539"/>
      <c r="U382" s="539">
        <v>0</v>
      </c>
      <c r="V382" s="539"/>
      <c r="W382" s="539"/>
      <c r="X382" s="539">
        <v>0</v>
      </c>
      <c r="Y382" s="539"/>
      <c r="Z382" s="539"/>
      <c r="AA382" s="539">
        <v>0</v>
      </c>
      <c r="AB382" s="539"/>
      <c r="AC382" s="539"/>
      <c r="AD382" s="539">
        <v>0</v>
      </c>
      <c r="AE382" s="539"/>
      <c r="AF382" s="539"/>
      <c r="AG382" s="539">
        <v>0</v>
      </c>
      <c r="AH382" s="539"/>
      <c r="AI382" s="539"/>
      <c r="AJ382" s="539">
        <v>0</v>
      </c>
      <c r="AK382" s="539"/>
      <c r="AL382" s="539"/>
      <c r="AM382" s="539"/>
      <c r="AN382" s="539"/>
      <c r="AO382" s="539"/>
      <c r="AP382" s="539"/>
      <c r="AQ382" s="539"/>
      <c r="AR382" s="539"/>
      <c r="AS382" s="539">
        <v>0</v>
      </c>
      <c r="AT382" s="539"/>
      <c r="AU382" s="539"/>
      <c r="AV382" s="539">
        <v>0</v>
      </c>
      <c r="AW382" s="539"/>
      <c r="AX382" s="539"/>
      <c r="AY382" s="568"/>
      <c r="AZ382" s="568"/>
      <c r="BA382" s="568"/>
      <c r="BB382" s="568"/>
      <c r="BC382" s="568"/>
      <c r="BD382" s="568"/>
      <c r="BE382" s="539">
        <v>0</v>
      </c>
      <c r="BF382" s="539"/>
      <c r="BG382" s="539"/>
      <c r="BH382" s="539">
        <v>0</v>
      </c>
      <c r="BI382" s="541"/>
      <c r="BJ382" s="541"/>
      <c r="BK382" s="628">
        <v>7200000</v>
      </c>
      <c r="BL382" s="628"/>
      <c r="BM382" s="628"/>
      <c r="BN382" s="553"/>
      <c r="BO382" s="553"/>
      <c r="BP382" s="553"/>
      <c r="BQ382" s="539">
        <v>0</v>
      </c>
      <c r="BR382" s="541"/>
      <c r="BS382" s="541"/>
      <c r="BT382" s="541"/>
      <c r="BU382" s="541"/>
      <c r="BV382" s="541"/>
      <c r="BW382" s="541">
        <v>0</v>
      </c>
      <c r="BX382" s="541"/>
      <c r="BY382" s="541"/>
      <c r="BZ382" s="539">
        <f t="shared" si="345"/>
        <v>7200000</v>
      </c>
      <c r="CA382" s="539">
        <f t="shared" si="346"/>
        <v>0</v>
      </c>
      <c r="CB382" s="539">
        <f t="shared" si="347"/>
        <v>0</v>
      </c>
    </row>
    <row r="383" spans="1:80" s="11" customFormat="1" ht="102" customHeight="1" x14ac:dyDescent="0.2">
      <c r="A383" s="54"/>
      <c r="B383" s="54"/>
      <c r="C383" s="55">
        <v>19</v>
      </c>
      <c r="D383" s="56" t="s">
        <v>461</v>
      </c>
      <c r="E383" s="331" t="s">
        <v>927</v>
      </c>
      <c r="F383" s="331" t="s">
        <v>928</v>
      </c>
      <c r="G383" s="64"/>
      <c r="H383" s="57">
        <v>70</v>
      </c>
      <c r="I383" s="56" t="s">
        <v>470</v>
      </c>
      <c r="J383" s="207">
        <v>322</v>
      </c>
      <c r="K383" s="60">
        <v>469</v>
      </c>
      <c r="L383" s="237">
        <v>584</v>
      </c>
      <c r="M383" s="851"/>
      <c r="N383" s="901"/>
      <c r="O383" s="857"/>
      <c r="P383" s="854"/>
      <c r="Q383" s="57" t="s">
        <v>67</v>
      </c>
      <c r="R383" s="539">
        <v>0</v>
      </c>
      <c r="S383" s="539"/>
      <c r="T383" s="539"/>
      <c r="U383" s="539">
        <v>0</v>
      </c>
      <c r="V383" s="539"/>
      <c r="W383" s="539"/>
      <c r="X383" s="539">
        <v>0</v>
      </c>
      <c r="Y383" s="539"/>
      <c r="Z383" s="539"/>
      <c r="AA383" s="539">
        <v>0</v>
      </c>
      <c r="AB383" s="539"/>
      <c r="AC383" s="539"/>
      <c r="AD383" s="539">
        <v>0</v>
      </c>
      <c r="AE383" s="539"/>
      <c r="AF383" s="539"/>
      <c r="AG383" s="539">
        <v>0</v>
      </c>
      <c r="AH383" s="539"/>
      <c r="AI383" s="539"/>
      <c r="AJ383" s="539">
        <v>0</v>
      </c>
      <c r="AK383" s="539"/>
      <c r="AL383" s="539"/>
      <c r="AM383" s="539"/>
      <c r="AN383" s="539"/>
      <c r="AO383" s="539"/>
      <c r="AP383" s="539"/>
      <c r="AQ383" s="539"/>
      <c r="AR383" s="539"/>
      <c r="AS383" s="539">
        <v>0</v>
      </c>
      <c r="AT383" s="539"/>
      <c r="AU383" s="539"/>
      <c r="AV383" s="539">
        <v>0</v>
      </c>
      <c r="AW383" s="539"/>
      <c r="AX383" s="539"/>
      <c r="AY383" s="539"/>
      <c r="AZ383" s="539"/>
      <c r="BA383" s="539"/>
      <c r="BB383" s="539"/>
      <c r="BC383" s="539"/>
      <c r="BD383" s="539"/>
      <c r="BE383" s="539">
        <v>0</v>
      </c>
      <c r="BF383" s="539"/>
      <c r="BG383" s="539"/>
      <c r="BH383" s="539">
        <v>0</v>
      </c>
      <c r="BI383" s="541"/>
      <c r="BJ383" s="541"/>
      <c r="BK383" s="628">
        <v>14400000</v>
      </c>
      <c r="BL383" s="628"/>
      <c r="BM383" s="628"/>
      <c r="BN383" s="553"/>
      <c r="BO383" s="553"/>
      <c r="BP383" s="553"/>
      <c r="BQ383" s="539">
        <v>0</v>
      </c>
      <c r="BR383" s="541"/>
      <c r="BS383" s="541"/>
      <c r="BT383" s="541"/>
      <c r="BU383" s="541"/>
      <c r="BV383" s="541"/>
      <c r="BW383" s="541">
        <v>0</v>
      </c>
      <c r="BX383" s="541"/>
      <c r="BY383" s="541"/>
      <c r="BZ383" s="539">
        <f t="shared" si="345"/>
        <v>14400000</v>
      </c>
      <c r="CA383" s="539">
        <f t="shared" si="346"/>
        <v>0</v>
      </c>
      <c r="CB383" s="539">
        <f t="shared" si="347"/>
        <v>0</v>
      </c>
    </row>
    <row r="384" spans="1:80" s="11" customFormat="1" ht="78" customHeight="1" x14ac:dyDescent="0.2">
      <c r="A384" s="54"/>
      <c r="B384" s="54"/>
      <c r="C384" s="55">
        <v>35</v>
      </c>
      <c r="D384" s="332" t="s">
        <v>471</v>
      </c>
      <c r="E384" s="207">
        <v>23000</v>
      </c>
      <c r="F384" s="207">
        <v>24000</v>
      </c>
      <c r="G384" s="64"/>
      <c r="H384" s="57">
        <v>71</v>
      </c>
      <c r="I384" s="56" t="s">
        <v>472</v>
      </c>
      <c r="J384" s="207">
        <v>1762</v>
      </c>
      <c r="K384" s="60">
        <v>2469</v>
      </c>
      <c r="L384" s="237">
        <v>2756</v>
      </c>
      <c r="M384" s="851"/>
      <c r="N384" s="901"/>
      <c r="O384" s="857"/>
      <c r="P384" s="854"/>
      <c r="Q384" s="57" t="s">
        <v>67</v>
      </c>
      <c r="R384" s="539">
        <v>0</v>
      </c>
      <c r="S384" s="539"/>
      <c r="T384" s="539"/>
      <c r="U384" s="539">
        <v>0</v>
      </c>
      <c r="V384" s="539"/>
      <c r="W384" s="539"/>
      <c r="X384" s="539">
        <v>0</v>
      </c>
      <c r="Y384" s="539"/>
      <c r="Z384" s="539"/>
      <c r="AA384" s="539">
        <v>0</v>
      </c>
      <c r="AB384" s="539"/>
      <c r="AC384" s="539"/>
      <c r="AD384" s="539">
        <v>0</v>
      </c>
      <c r="AE384" s="539"/>
      <c r="AF384" s="539"/>
      <c r="AG384" s="539">
        <v>0</v>
      </c>
      <c r="AH384" s="539"/>
      <c r="AI384" s="539"/>
      <c r="AJ384" s="539">
        <v>0</v>
      </c>
      <c r="AK384" s="539"/>
      <c r="AL384" s="539"/>
      <c r="AM384" s="539"/>
      <c r="AN384" s="539"/>
      <c r="AO384" s="539"/>
      <c r="AP384" s="539"/>
      <c r="AQ384" s="539"/>
      <c r="AR384" s="539"/>
      <c r="AS384" s="539">
        <v>0</v>
      </c>
      <c r="AT384" s="539"/>
      <c r="AU384" s="539"/>
      <c r="AV384" s="539">
        <v>0</v>
      </c>
      <c r="AW384" s="539"/>
      <c r="AX384" s="539"/>
      <c r="AY384" s="539"/>
      <c r="AZ384" s="539"/>
      <c r="BA384" s="539"/>
      <c r="BB384" s="539"/>
      <c r="BC384" s="539"/>
      <c r="BD384" s="539"/>
      <c r="BE384" s="539">
        <v>0</v>
      </c>
      <c r="BF384" s="539"/>
      <c r="BG384" s="539"/>
      <c r="BH384" s="539">
        <v>0</v>
      </c>
      <c r="BI384" s="541"/>
      <c r="BJ384" s="541"/>
      <c r="BK384" s="628"/>
      <c r="BL384" s="628"/>
      <c r="BM384" s="628"/>
      <c r="BN384" s="631"/>
      <c r="BO384" s="631"/>
      <c r="BP384" s="631"/>
      <c r="BQ384" s="539">
        <v>0</v>
      </c>
      <c r="BR384" s="541"/>
      <c r="BS384" s="541"/>
      <c r="BT384" s="541"/>
      <c r="BU384" s="541"/>
      <c r="BV384" s="541"/>
      <c r="BW384" s="541">
        <v>0</v>
      </c>
      <c r="BX384" s="541"/>
      <c r="BY384" s="541"/>
      <c r="BZ384" s="539">
        <f t="shared" si="345"/>
        <v>0</v>
      </c>
      <c r="CA384" s="539">
        <f t="shared" si="346"/>
        <v>0</v>
      </c>
      <c r="CB384" s="539">
        <f t="shared" si="347"/>
        <v>0</v>
      </c>
    </row>
    <row r="385" spans="1:80" s="11" customFormat="1" ht="123" customHeight="1" x14ac:dyDescent="0.2">
      <c r="A385" s="54"/>
      <c r="B385" s="54"/>
      <c r="C385" s="55"/>
      <c r="D385" s="332"/>
      <c r="E385" s="337"/>
      <c r="F385" s="337"/>
      <c r="G385" s="64"/>
      <c r="H385" s="57">
        <v>72</v>
      </c>
      <c r="I385" s="56" t="s">
        <v>473</v>
      </c>
      <c r="J385" s="207">
        <v>455</v>
      </c>
      <c r="K385" s="60">
        <v>455</v>
      </c>
      <c r="L385" s="237">
        <v>186</v>
      </c>
      <c r="M385" s="851"/>
      <c r="N385" s="901"/>
      <c r="O385" s="857"/>
      <c r="P385" s="854"/>
      <c r="Q385" s="57" t="s">
        <v>51</v>
      </c>
      <c r="R385" s="539">
        <v>0</v>
      </c>
      <c r="S385" s="539"/>
      <c r="T385" s="539"/>
      <c r="U385" s="539">
        <v>0</v>
      </c>
      <c r="V385" s="539"/>
      <c r="W385" s="539"/>
      <c r="X385" s="539">
        <v>0</v>
      </c>
      <c r="Y385" s="539"/>
      <c r="Z385" s="539"/>
      <c r="AA385" s="539">
        <v>0</v>
      </c>
      <c r="AB385" s="539"/>
      <c r="AC385" s="539"/>
      <c r="AD385" s="539">
        <v>0</v>
      </c>
      <c r="AE385" s="539"/>
      <c r="AF385" s="539"/>
      <c r="AG385" s="539">
        <v>0</v>
      </c>
      <c r="AH385" s="539"/>
      <c r="AI385" s="539"/>
      <c r="AJ385" s="539">
        <v>0</v>
      </c>
      <c r="AK385" s="539"/>
      <c r="AL385" s="539"/>
      <c r="AM385" s="539"/>
      <c r="AN385" s="539"/>
      <c r="AO385" s="539"/>
      <c r="AP385" s="539"/>
      <c r="AQ385" s="539"/>
      <c r="AR385" s="539"/>
      <c r="AS385" s="539">
        <v>0</v>
      </c>
      <c r="AT385" s="539"/>
      <c r="AU385" s="539"/>
      <c r="AV385" s="539">
        <v>0</v>
      </c>
      <c r="AW385" s="539"/>
      <c r="AX385" s="539"/>
      <c r="AY385" s="539"/>
      <c r="AZ385" s="539"/>
      <c r="BA385" s="539"/>
      <c r="BB385" s="539"/>
      <c r="BC385" s="539"/>
      <c r="BD385" s="539"/>
      <c r="BE385" s="539">
        <v>0</v>
      </c>
      <c r="BF385" s="539"/>
      <c r="BG385" s="539"/>
      <c r="BH385" s="539">
        <v>0</v>
      </c>
      <c r="BI385" s="541"/>
      <c r="BJ385" s="541"/>
      <c r="BK385" s="628">
        <v>7200000</v>
      </c>
      <c r="BL385" s="628"/>
      <c r="BM385" s="628"/>
      <c r="BN385" s="553"/>
      <c r="BO385" s="553"/>
      <c r="BP385" s="553"/>
      <c r="BQ385" s="539">
        <v>0</v>
      </c>
      <c r="BR385" s="541"/>
      <c r="BS385" s="541"/>
      <c r="BT385" s="541"/>
      <c r="BU385" s="541"/>
      <c r="BV385" s="541"/>
      <c r="BW385" s="541">
        <v>0</v>
      </c>
      <c r="BX385" s="541"/>
      <c r="BY385" s="541"/>
      <c r="BZ385" s="539">
        <f t="shared" si="345"/>
        <v>7200000</v>
      </c>
      <c r="CA385" s="539">
        <f t="shared" si="346"/>
        <v>0</v>
      </c>
      <c r="CB385" s="539">
        <f t="shared" si="347"/>
        <v>0</v>
      </c>
    </row>
    <row r="386" spans="1:80" s="11" customFormat="1" ht="97.5" customHeight="1" x14ac:dyDescent="0.2">
      <c r="A386" s="54"/>
      <c r="B386" s="54"/>
      <c r="C386" s="508"/>
      <c r="D386" s="58"/>
      <c r="E386" s="696"/>
      <c r="F386" s="525" t="s">
        <v>62</v>
      </c>
      <c r="G386" s="139"/>
      <c r="H386" s="57">
        <v>73</v>
      </c>
      <c r="I386" s="56" t="s">
        <v>474</v>
      </c>
      <c r="J386" s="207" t="s">
        <v>42</v>
      </c>
      <c r="K386" s="60">
        <v>1</v>
      </c>
      <c r="L386" s="818">
        <v>0.65</v>
      </c>
      <c r="M386" s="852"/>
      <c r="N386" s="902"/>
      <c r="O386" s="858"/>
      <c r="P386" s="855"/>
      <c r="Q386" s="57" t="s">
        <v>51</v>
      </c>
      <c r="R386" s="539">
        <v>0</v>
      </c>
      <c r="S386" s="539"/>
      <c r="T386" s="539"/>
      <c r="U386" s="539">
        <v>0</v>
      </c>
      <c r="V386" s="539"/>
      <c r="W386" s="539"/>
      <c r="X386" s="539">
        <v>0</v>
      </c>
      <c r="Y386" s="539"/>
      <c r="Z386" s="539"/>
      <c r="AA386" s="539">
        <v>0</v>
      </c>
      <c r="AB386" s="539"/>
      <c r="AC386" s="539"/>
      <c r="AD386" s="539">
        <v>0</v>
      </c>
      <c r="AE386" s="539"/>
      <c r="AF386" s="539"/>
      <c r="AG386" s="539">
        <v>0</v>
      </c>
      <c r="AH386" s="539"/>
      <c r="AI386" s="539"/>
      <c r="AJ386" s="539">
        <v>0</v>
      </c>
      <c r="AK386" s="539"/>
      <c r="AL386" s="539"/>
      <c r="AM386" s="539"/>
      <c r="AN386" s="539"/>
      <c r="AO386" s="539"/>
      <c r="AP386" s="539"/>
      <c r="AQ386" s="539"/>
      <c r="AR386" s="539"/>
      <c r="AS386" s="539">
        <v>0</v>
      </c>
      <c r="AT386" s="539"/>
      <c r="AU386" s="539"/>
      <c r="AV386" s="539">
        <v>0</v>
      </c>
      <c r="AW386" s="539"/>
      <c r="AX386" s="539"/>
      <c r="AY386" s="625">
        <v>1500000000</v>
      </c>
      <c r="AZ386" s="625">
        <v>39725000</v>
      </c>
      <c r="BA386" s="625">
        <v>8675000</v>
      </c>
      <c r="BB386" s="625"/>
      <c r="BC386" s="625"/>
      <c r="BD386" s="625"/>
      <c r="BE386" s="539">
        <v>0</v>
      </c>
      <c r="BF386" s="539"/>
      <c r="BG386" s="539"/>
      <c r="BH386" s="539">
        <v>0</v>
      </c>
      <c r="BI386" s="541"/>
      <c r="BJ386" s="541"/>
      <c r="BK386" s="628"/>
      <c r="BL386" s="628"/>
      <c r="BM386" s="628"/>
      <c r="BN386" s="553"/>
      <c r="BO386" s="553"/>
      <c r="BP386" s="553"/>
      <c r="BQ386" s="539">
        <v>0</v>
      </c>
      <c r="BR386" s="541"/>
      <c r="BS386" s="541"/>
      <c r="BT386" s="541"/>
      <c r="BU386" s="541"/>
      <c r="BV386" s="541"/>
      <c r="BW386" s="541">
        <v>0</v>
      </c>
      <c r="BX386" s="541"/>
      <c r="BY386" s="541"/>
      <c r="BZ386" s="539">
        <f t="shared" si="345"/>
        <v>1500000000</v>
      </c>
      <c r="CA386" s="539">
        <f t="shared" si="346"/>
        <v>39725000</v>
      </c>
      <c r="CB386" s="539">
        <f t="shared" si="347"/>
        <v>8675000</v>
      </c>
    </row>
    <row r="387" spans="1:80" s="459" customFormat="1" ht="15.75" x14ac:dyDescent="0.2">
      <c r="A387" s="54"/>
      <c r="B387" s="54"/>
      <c r="C387" s="510"/>
      <c r="D387" s="518"/>
      <c r="E387" s="510"/>
      <c r="F387" s="510"/>
      <c r="G387" s="77"/>
      <c r="H387" s="78"/>
      <c r="I387" s="77"/>
      <c r="J387" s="240"/>
      <c r="K387" s="165"/>
      <c r="L387" s="279"/>
      <c r="M387" s="165"/>
      <c r="N387" s="240"/>
      <c r="O387" s="78"/>
      <c r="P387" s="77"/>
      <c r="Q387" s="78"/>
      <c r="R387" s="548">
        <f t="shared" ref="R387:BY387" si="348">SUM(R381:R386)</f>
        <v>0</v>
      </c>
      <c r="S387" s="548">
        <f t="shared" si="348"/>
        <v>0</v>
      </c>
      <c r="T387" s="548">
        <f t="shared" si="348"/>
        <v>0</v>
      </c>
      <c r="U387" s="548">
        <f t="shared" si="348"/>
        <v>0</v>
      </c>
      <c r="V387" s="548">
        <f t="shared" si="348"/>
        <v>0</v>
      </c>
      <c r="W387" s="548">
        <f t="shared" si="348"/>
        <v>0</v>
      </c>
      <c r="X387" s="548">
        <f t="shared" si="348"/>
        <v>0</v>
      </c>
      <c r="Y387" s="548">
        <f t="shared" si="348"/>
        <v>0</v>
      </c>
      <c r="Z387" s="548">
        <f t="shared" si="348"/>
        <v>0</v>
      </c>
      <c r="AA387" s="548">
        <f t="shared" si="348"/>
        <v>0</v>
      </c>
      <c r="AB387" s="548">
        <f t="shared" si="348"/>
        <v>0</v>
      </c>
      <c r="AC387" s="548">
        <f t="shared" si="348"/>
        <v>0</v>
      </c>
      <c r="AD387" s="548">
        <f t="shared" si="348"/>
        <v>0</v>
      </c>
      <c r="AE387" s="548">
        <f t="shared" si="348"/>
        <v>0</v>
      </c>
      <c r="AF387" s="548">
        <f t="shared" si="348"/>
        <v>0</v>
      </c>
      <c r="AG387" s="548">
        <f t="shared" si="348"/>
        <v>0</v>
      </c>
      <c r="AH387" s="548">
        <f t="shared" si="348"/>
        <v>0</v>
      </c>
      <c r="AI387" s="548">
        <f t="shared" si="348"/>
        <v>0</v>
      </c>
      <c r="AJ387" s="548">
        <f t="shared" si="348"/>
        <v>0</v>
      </c>
      <c r="AK387" s="548">
        <f t="shared" si="348"/>
        <v>0</v>
      </c>
      <c r="AL387" s="548">
        <f t="shared" si="348"/>
        <v>0</v>
      </c>
      <c r="AM387" s="548">
        <f t="shared" si="348"/>
        <v>0</v>
      </c>
      <c r="AN387" s="548">
        <f t="shared" si="348"/>
        <v>0</v>
      </c>
      <c r="AO387" s="548">
        <f t="shared" si="348"/>
        <v>0</v>
      </c>
      <c r="AP387" s="548">
        <f t="shared" si="348"/>
        <v>0</v>
      </c>
      <c r="AQ387" s="548">
        <f t="shared" si="348"/>
        <v>0</v>
      </c>
      <c r="AR387" s="548">
        <f t="shared" si="348"/>
        <v>0</v>
      </c>
      <c r="AS387" s="548">
        <f t="shared" si="348"/>
        <v>0</v>
      </c>
      <c r="AT387" s="548">
        <f t="shared" si="348"/>
        <v>0</v>
      </c>
      <c r="AU387" s="548">
        <f t="shared" si="348"/>
        <v>0</v>
      </c>
      <c r="AV387" s="548">
        <f t="shared" si="348"/>
        <v>0</v>
      </c>
      <c r="AW387" s="548">
        <f t="shared" si="348"/>
        <v>0</v>
      </c>
      <c r="AX387" s="548">
        <f t="shared" si="348"/>
        <v>0</v>
      </c>
      <c r="AY387" s="548">
        <f t="shared" si="348"/>
        <v>1500000000</v>
      </c>
      <c r="AZ387" s="548">
        <f t="shared" si="348"/>
        <v>39725000</v>
      </c>
      <c r="BA387" s="548">
        <f t="shared" si="348"/>
        <v>8675000</v>
      </c>
      <c r="BB387" s="548">
        <f t="shared" si="348"/>
        <v>0</v>
      </c>
      <c r="BC387" s="548">
        <f t="shared" si="348"/>
        <v>0</v>
      </c>
      <c r="BD387" s="548">
        <f t="shared" si="348"/>
        <v>0</v>
      </c>
      <c r="BE387" s="548">
        <f t="shared" si="348"/>
        <v>0</v>
      </c>
      <c r="BF387" s="548">
        <f t="shared" si="348"/>
        <v>0</v>
      </c>
      <c r="BG387" s="548">
        <f t="shared" si="348"/>
        <v>0</v>
      </c>
      <c r="BH387" s="548">
        <f t="shared" si="348"/>
        <v>0</v>
      </c>
      <c r="BI387" s="548">
        <f t="shared" si="348"/>
        <v>0</v>
      </c>
      <c r="BJ387" s="548">
        <f t="shared" si="348"/>
        <v>0</v>
      </c>
      <c r="BK387" s="548">
        <f t="shared" si="348"/>
        <v>36000000</v>
      </c>
      <c r="BL387" s="548">
        <f t="shared" si="348"/>
        <v>0</v>
      </c>
      <c r="BM387" s="548">
        <f t="shared" si="348"/>
        <v>0</v>
      </c>
      <c r="BN387" s="548">
        <f t="shared" si="348"/>
        <v>0</v>
      </c>
      <c r="BO387" s="548">
        <f t="shared" si="348"/>
        <v>0</v>
      </c>
      <c r="BP387" s="548">
        <f t="shared" si="348"/>
        <v>0</v>
      </c>
      <c r="BQ387" s="548">
        <f t="shared" si="348"/>
        <v>0</v>
      </c>
      <c r="BR387" s="548">
        <f t="shared" si="348"/>
        <v>0</v>
      </c>
      <c r="BS387" s="548">
        <f t="shared" si="348"/>
        <v>0</v>
      </c>
      <c r="BT387" s="548">
        <f t="shared" si="348"/>
        <v>0</v>
      </c>
      <c r="BU387" s="548">
        <f t="shared" si="348"/>
        <v>0</v>
      </c>
      <c r="BV387" s="548">
        <f t="shared" si="348"/>
        <v>0</v>
      </c>
      <c r="BW387" s="548">
        <f t="shared" si="348"/>
        <v>0</v>
      </c>
      <c r="BX387" s="548">
        <f t="shared" si="348"/>
        <v>0</v>
      </c>
      <c r="BY387" s="548">
        <f t="shared" si="348"/>
        <v>0</v>
      </c>
      <c r="BZ387" s="548">
        <f>SUM(BZ381:BZ386)</f>
        <v>1536000000</v>
      </c>
      <c r="CA387" s="548">
        <f t="shared" ref="CA387:CB387" si="349">SUM(CA381:CA386)</f>
        <v>39725000</v>
      </c>
      <c r="CB387" s="548">
        <f t="shared" si="349"/>
        <v>8675000</v>
      </c>
    </row>
    <row r="388" spans="1:80" s="11" customFormat="1" ht="15.75" x14ac:dyDescent="0.2">
      <c r="A388" s="54"/>
      <c r="B388" s="54"/>
      <c r="C388" s="92"/>
      <c r="D388" s="91"/>
      <c r="E388" s="333"/>
      <c r="F388" s="333"/>
      <c r="G388" s="91"/>
      <c r="H388" s="92"/>
      <c r="I388" s="91"/>
      <c r="J388" s="245"/>
      <c r="K388" s="184"/>
      <c r="L388" s="280"/>
      <c r="M388" s="184"/>
      <c r="N388" s="245"/>
      <c r="O388" s="500"/>
      <c r="P388" s="91"/>
      <c r="Q388" s="92"/>
      <c r="R388" s="543"/>
      <c r="S388" s="543"/>
      <c r="T388" s="543"/>
      <c r="U388" s="544"/>
      <c r="V388" s="544"/>
      <c r="W388" s="544"/>
      <c r="X388" s="543"/>
      <c r="Y388" s="543"/>
      <c r="Z388" s="543"/>
      <c r="AA388" s="543"/>
      <c r="AB388" s="543"/>
      <c r="AC388" s="543"/>
      <c r="AD388" s="543"/>
      <c r="AE388" s="543"/>
      <c r="AF388" s="543"/>
      <c r="AG388" s="543"/>
      <c r="AH388" s="543"/>
      <c r="AI388" s="543"/>
      <c r="AJ388" s="543"/>
      <c r="AK388" s="543"/>
      <c r="AL388" s="543"/>
      <c r="AM388" s="543"/>
      <c r="AN388" s="543"/>
      <c r="AO388" s="543"/>
      <c r="AP388" s="543"/>
      <c r="AQ388" s="543"/>
      <c r="AR388" s="543"/>
      <c r="AS388" s="543"/>
      <c r="AT388" s="543"/>
      <c r="AU388" s="543"/>
      <c r="AV388" s="543"/>
      <c r="AW388" s="543"/>
      <c r="AX388" s="543"/>
      <c r="AY388" s="544" t="s">
        <v>62</v>
      </c>
      <c r="AZ388" s="544"/>
      <c r="BA388" s="544"/>
      <c r="BB388" s="544" t="s">
        <v>62</v>
      </c>
      <c r="BC388" s="544"/>
      <c r="BD388" s="544"/>
      <c r="BE388" s="543"/>
      <c r="BF388" s="543"/>
      <c r="BG388" s="543"/>
      <c r="BH388" s="543"/>
      <c r="BI388" s="570"/>
      <c r="BJ388" s="570"/>
      <c r="BK388" s="630" t="s">
        <v>62</v>
      </c>
      <c r="BL388" s="630"/>
      <c r="BM388" s="630"/>
      <c r="BN388" s="543"/>
      <c r="BO388" s="543"/>
      <c r="BP388" s="543"/>
      <c r="BQ388" s="543"/>
      <c r="BR388" s="543"/>
      <c r="BS388" s="543"/>
      <c r="BT388" s="543"/>
      <c r="BU388" s="543"/>
      <c r="BV388" s="543"/>
      <c r="BW388" s="543"/>
      <c r="BX388" s="543"/>
      <c r="BY388" s="543"/>
      <c r="BZ388" s="543"/>
      <c r="CA388" s="543"/>
      <c r="CB388" s="543"/>
    </row>
    <row r="389" spans="1:80" s="459" customFormat="1" ht="15.75" x14ac:dyDescent="0.2">
      <c r="A389" s="54"/>
      <c r="B389" s="54"/>
      <c r="C389" s="508"/>
      <c r="D389" s="516"/>
      <c r="E389" s="508"/>
      <c r="F389" s="508"/>
      <c r="G389" s="169">
        <v>18</v>
      </c>
      <c r="H389" s="211" t="s">
        <v>475</v>
      </c>
      <c r="I389" s="100"/>
      <c r="J389" s="100"/>
      <c r="K389" s="155"/>
      <c r="L389" s="278"/>
      <c r="M389" s="155"/>
      <c r="N389" s="100"/>
      <c r="O389" s="212"/>
      <c r="P389" s="100"/>
      <c r="Q389" s="100"/>
      <c r="R389" s="336"/>
      <c r="S389" s="336"/>
      <c r="T389" s="336"/>
      <c r="U389" s="336"/>
      <c r="V389" s="336"/>
      <c r="W389" s="336"/>
      <c r="X389" s="336"/>
      <c r="Y389" s="336"/>
      <c r="Z389" s="336"/>
      <c r="AA389" s="336"/>
      <c r="AB389" s="336"/>
      <c r="AC389" s="336"/>
      <c r="AD389" s="336"/>
      <c r="AE389" s="336"/>
      <c r="AF389" s="336"/>
      <c r="AG389" s="336"/>
      <c r="AH389" s="336"/>
      <c r="AI389" s="336"/>
      <c r="AJ389" s="336"/>
      <c r="AK389" s="336"/>
      <c r="AL389" s="336"/>
      <c r="AM389" s="336"/>
      <c r="AN389" s="336"/>
      <c r="AO389" s="336"/>
      <c r="AP389" s="336"/>
      <c r="AQ389" s="336"/>
      <c r="AR389" s="336"/>
      <c r="AS389" s="336"/>
      <c r="AT389" s="336"/>
      <c r="AU389" s="336"/>
      <c r="AV389" s="336"/>
      <c r="AW389" s="336"/>
      <c r="AX389" s="336"/>
      <c r="AY389" s="336">
        <v>106571580996</v>
      </c>
      <c r="AZ389" s="336"/>
      <c r="BA389" s="336"/>
      <c r="BB389" s="336"/>
      <c r="BC389" s="336"/>
      <c r="BD389" s="336"/>
      <c r="BE389" s="336"/>
      <c r="BF389" s="336"/>
      <c r="BG389" s="336"/>
      <c r="BH389" s="336"/>
      <c r="BI389" s="336"/>
      <c r="BJ389" s="336"/>
      <c r="BK389" s="552"/>
      <c r="BL389" s="552"/>
      <c r="BM389" s="552"/>
      <c r="BN389" s="336"/>
      <c r="BO389" s="336"/>
      <c r="BP389" s="336"/>
      <c r="BQ389" s="336"/>
      <c r="BR389" s="336"/>
      <c r="BS389" s="336"/>
      <c r="BT389" s="336"/>
      <c r="BU389" s="336"/>
      <c r="BV389" s="336"/>
      <c r="BW389" s="336"/>
      <c r="BX389" s="336"/>
      <c r="BY389" s="336"/>
      <c r="BZ389" s="338"/>
      <c r="CA389" s="338"/>
      <c r="CB389" s="338"/>
    </row>
    <row r="390" spans="1:80" s="11" customFormat="1" ht="129" customHeight="1" x14ac:dyDescent="0.2">
      <c r="A390" s="54"/>
      <c r="B390" s="54"/>
      <c r="C390" s="509" t="s">
        <v>476</v>
      </c>
      <c r="D390" s="517" t="s">
        <v>477</v>
      </c>
      <c r="E390" s="526" t="s">
        <v>929</v>
      </c>
      <c r="F390" s="526" t="s">
        <v>930</v>
      </c>
      <c r="G390" s="58"/>
      <c r="H390" s="57">
        <v>74</v>
      </c>
      <c r="I390" s="56" t="s">
        <v>478</v>
      </c>
      <c r="J390" s="207">
        <v>2232</v>
      </c>
      <c r="K390" s="132">
        <v>2232</v>
      </c>
      <c r="L390" s="207">
        <v>2232</v>
      </c>
      <c r="M390" s="60">
        <v>2017003630083</v>
      </c>
      <c r="N390" s="339" t="s">
        <v>458</v>
      </c>
      <c r="O390" s="498" t="s">
        <v>479</v>
      </c>
      <c r="P390" s="56" t="s">
        <v>480</v>
      </c>
      <c r="Q390" s="57" t="s">
        <v>51</v>
      </c>
      <c r="R390" s="539">
        <v>0</v>
      </c>
      <c r="S390" s="539"/>
      <c r="T390" s="539"/>
      <c r="U390" s="539">
        <v>0</v>
      </c>
      <c r="V390" s="539"/>
      <c r="W390" s="539"/>
      <c r="X390" s="539">
        <v>0</v>
      </c>
      <c r="Y390" s="539"/>
      <c r="Z390" s="539"/>
      <c r="AA390" s="539">
        <v>0</v>
      </c>
      <c r="AB390" s="539"/>
      <c r="AC390" s="539"/>
      <c r="AD390" s="539">
        <v>0</v>
      </c>
      <c r="AE390" s="539"/>
      <c r="AF390" s="539"/>
      <c r="AG390" s="539">
        <v>0</v>
      </c>
      <c r="AH390" s="539"/>
      <c r="AI390" s="539"/>
      <c r="AJ390" s="539">
        <v>0</v>
      </c>
      <c r="AK390" s="539"/>
      <c r="AL390" s="539"/>
      <c r="AM390" s="539"/>
      <c r="AN390" s="539"/>
      <c r="AO390" s="539"/>
      <c r="AP390" s="539"/>
      <c r="AQ390" s="539"/>
      <c r="AR390" s="539"/>
      <c r="AS390" s="539">
        <v>0</v>
      </c>
      <c r="AT390" s="539"/>
      <c r="AU390" s="539"/>
      <c r="AV390" s="539">
        <v>0</v>
      </c>
      <c r="AW390" s="539"/>
      <c r="AX390" s="539"/>
      <c r="AY390" s="625">
        <f>109931000000+3011938055</f>
        <v>112942938055</v>
      </c>
      <c r="AZ390" s="625">
        <f>'[5]METAS Y PROYECTOS'!$P$33+'[5]METAS Y PROYECTOS'!$P$37</f>
        <v>20978734022</v>
      </c>
      <c r="BA390" s="625">
        <f>'[5]METAS Y PROYECTOS'!$Q$33+'[5]METAS Y PROYECTOS'!$Q$37</f>
        <v>20384503152</v>
      </c>
      <c r="BB390" s="553">
        <f>19000000000+815000000+66000000+6400000000</f>
        <v>26281000000</v>
      </c>
      <c r="BC390" s="553">
        <v>4254155507</v>
      </c>
      <c r="BD390" s="553">
        <f>'[5]METAS Y PROYECTOS'!$Q$34+'[5]METAS Y PROYECTOS'!$Q$38</f>
        <v>3036703013</v>
      </c>
      <c r="BE390" s="539">
        <v>0</v>
      </c>
      <c r="BF390" s="539"/>
      <c r="BG390" s="539"/>
      <c r="BH390" s="539">
        <v>0</v>
      </c>
      <c r="BI390" s="539"/>
      <c r="BJ390" s="539"/>
      <c r="BK390" s="540">
        <v>0</v>
      </c>
      <c r="BL390" s="540"/>
      <c r="BM390" s="540"/>
      <c r="BN390" s="553"/>
      <c r="BO390" s="553"/>
      <c r="BP390" s="553"/>
      <c r="BQ390" s="539">
        <v>0</v>
      </c>
      <c r="BR390" s="541"/>
      <c r="BS390" s="541"/>
      <c r="BT390" s="541"/>
      <c r="BU390" s="541"/>
      <c r="BV390" s="541"/>
      <c r="BW390" s="541"/>
      <c r="BX390" s="541"/>
      <c r="BY390" s="541"/>
      <c r="BZ390" s="539">
        <f>R390+U390+X390+AA390+AD390+AG390+AJ390+AM390+AP390+AS390+AV390+AY390+BB390+BE390+BH390+BK390+BN390+BQ390+BT390+BW390</f>
        <v>139223938055</v>
      </c>
      <c r="CA390" s="539">
        <f t="shared" ref="CA390" si="350">S390+V390+Y390+AB390+AE390+AH390+AK390+AN390+AQ390+AT390+AW390+AZ390+BC390+BF390+BI390+BL390+BO390+BR390+BU390+BX390</f>
        <v>25232889529</v>
      </c>
      <c r="CB390" s="539">
        <f t="shared" ref="CB390" si="351">T390+W390+Z390+AC390+AF390+AI390+AL390+AO390+AR390+AU390+AX390+BA390+BD390+BG390+BJ390+BM390+BP390+BS390+BV390+BY390</f>
        <v>23421206165</v>
      </c>
    </row>
    <row r="391" spans="1:80" s="459" customFormat="1" ht="15.75" x14ac:dyDescent="0.2">
      <c r="A391" s="54"/>
      <c r="B391" s="74"/>
      <c r="C391" s="510"/>
      <c r="D391" s="518"/>
      <c r="E391" s="510"/>
      <c r="F391" s="510"/>
      <c r="G391" s="77"/>
      <c r="H391" s="78"/>
      <c r="I391" s="77"/>
      <c r="J391" s="240"/>
      <c r="K391" s="279"/>
      <c r="L391" s="279"/>
      <c r="M391" s="279"/>
      <c r="N391" s="240"/>
      <c r="O391" s="78"/>
      <c r="P391" s="78"/>
      <c r="Q391" s="78"/>
      <c r="R391" s="548">
        <f t="shared" ref="R391:BY391" si="352">SUM(R390:R390)</f>
        <v>0</v>
      </c>
      <c r="S391" s="548">
        <f t="shared" si="352"/>
        <v>0</v>
      </c>
      <c r="T391" s="548">
        <f t="shared" si="352"/>
        <v>0</v>
      </c>
      <c r="U391" s="548">
        <f t="shared" si="352"/>
        <v>0</v>
      </c>
      <c r="V391" s="548">
        <f t="shared" si="352"/>
        <v>0</v>
      </c>
      <c r="W391" s="548">
        <f t="shared" si="352"/>
        <v>0</v>
      </c>
      <c r="X391" s="548">
        <f t="shared" si="352"/>
        <v>0</v>
      </c>
      <c r="Y391" s="548">
        <f t="shared" si="352"/>
        <v>0</v>
      </c>
      <c r="Z391" s="548">
        <f t="shared" si="352"/>
        <v>0</v>
      </c>
      <c r="AA391" s="548">
        <f t="shared" si="352"/>
        <v>0</v>
      </c>
      <c r="AB391" s="548">
        <f t="shared" si="352"/>
        <v>0</v>
      </c>
      <c r="AC391" s="548">
        <f t="shared" si="352"/>
        <v>0</v>
      </c>
      <c r="AD391" s="548">
        <f t="shared" si="352"/>
        <v>0</v>
      </c>
      <c r="AE391" s="548">
        <f t="shared" si="352"/>
        <v>0</v>
      </c>
      <c r="AF391" s="548">
        <f t="shared" si="352"/>
        <v>0</v>
      </c>
      <c r="AG391" s="548">
        <f t="shared" si="352"/>
        <v>0</v>
      </c>
      <c r="AH391" s="548">
        <f t="shared" si="352"/>
        <v>0</v>
      </c>
      <c r="AI391" s="548">
        <f t="shared" si="352"/>
        <v>0</v>
      </c>
      <c r="AJ391" s="548">
        <f t="shared" si="352"/>
        <v>0</v>
      </c>
      <c r="AK391" s="548">
        <f t="shared" si="352"/>
        <v>0</v>
      </c>
      <c r="AL391" s="548">
        <f t="shared" si="352"/>
        <v>0</v>
      </c>
      <c r="AM391" s="548">
        <f t="shared" si="352"/>
        <v>0</v>
      </c>
      <c r="AN391" s="548">
        <f t="shared" si="352"/>
        <v>0</v>
      </c>
      <c r="AO391" s="548">
        <f t="shared" si="352"/>
        <v>0</v>
      </c>
      <c r="AP391" s="548">
        <f t="shared" si="352"/>
        <v>0</v>
      </c>
      <c r="AQ391" s="548">
        <f t="shared" si="352"/>
        <v>0</v>
      </c>
      <c r="AR391" s="548">
        <f t="shared" si="352"/>
        <v>0</v>
      </c>
      <c r="AS391" s="548">
        <f t="shared" si="352"/>
        <v>0</v>
      </c>
      <c r="AT391" s="548">
        <f t="shared" si="352"/>
        <v>0</v>
      </c>
      <c r="AU391" s="548">
        <f t="shared" si="352"/>
        <v>0</v>
      </c>
      <c r="AV391" s="548">
        <f t="shared" si="352"/>
        <v>0</v>
      </c>
      <c r="AW391" s="548">
        <f t="shared" si="352"/>
        <v>0</v>
      </c>
      <c r="AX391" s="548">
        <f t="shared" si="352"/>
        <v>0</v>
      </c>
      <c r="AY391" s="548">
        <f t="shared" si="352"/>
        <v>112942938055</v>
      </c>
      <c r="AZ391" s="548">
        <f t="shared" si="352"/>
        <v>20978734022</v>
      </c>
      <c r="BA391" s="548">
        <f t="shared" si="352"/>
        <v>20384503152</v>
      </c>
      <c r="BB391" s="548">
        <f t="shared" si="352"/>
        <v>26281000000</v>
      </c>
      <c r="BC391" s="548">
        <f t="shared" si="352"/>
        <v>4254155507</v>
      </c>
      <c r="BD391" s="548">
        <f t="shared" si="352"/>
        <v>3036703013</v>
      </c>
      <c r="BE391" s="548">
        <f t="shared" si="352"/>
        <v>0</v>
      </c>
      <c r="BF391" s="548">
        <f t="shared" si="352"/>
        <v>0</v>
      </c>
      <c r="BG391" s="548">
        <f t="shared" si="352"/>
        <v>0</v>
      </c>
      <c r="BH391" s="548">
        <f t="shared" si="352"/>
        <v>0</v>
      </c>
      <c r="BI391" s="548">
        <f t="shared" si="352"/>
        <v>0</v>
      </c>
      <c r="BJ391" s="548">
        <f t="shared" si="352"/>
        <v>0</v>
      </c>
      <c r="BK391" s="548">
        <f t="shared" si="352"/>
        <v>0</v>
      </c>
      <c r="BL391" s="548">
        <f t="shared" si="352"/>
        <v>0</v>
      </c>
      <c r="BM391" s="548">
        <f t="shared" si="352"/>
        <v>0</v>
      </c>
      <c r="BN391" s="548">
        <f t="shared" si="352"/>
        <v>0</v>
      </c>
      <c r="BO391" s="548">
        <f t="shared" si="352"/>
        <v>0</v>
      </c>
      <c r="BP391" s="548">
        <f t="shared" si="352"/>
        <v>0</v>
      </c>
      <c r="BQ391" s="548">
        <f t="shared" si="352"/>
        <v>0</v>
      </c>
      <c r="BR391" s="548">
        <f t="shared" si="352"/>
        <v>0</v>
      </c>
      <c r="BS391" s="548">
        <f t="shared" si="352"/>
        <v>0</v>
      </c>
      <c r="BT391" s="548">
        <f t="shared" si="352"/>
        <v>0</v>
      </c>
      <c r="BU391" s="548">
        <f t="shared" si="352"/>
        <v>0</v>
      </c>
      <c r="BV391" s="548">
        <f t="shared" si="352"/>
        <v>0</v>
      </c>
      <c r="BW391" s="548">
        <f t="shared" si="352"/>
        <v>0</v>
      </c>
      <c r="BX391" s="548">
        <f t="shared" si="352"/>
        <v>0</v>
      </c>
      <c r="BY391" s="548">
        <f t="shared" si="352"/>
        <v>0</v>
      </c>
      <c r="BZ391" s="548">
        <f t="shared" ref="BZ391" si="353">SUM(BZ390:BZ390)</f>
        <v>139223938055</v>
      </c>
      <c r="CA391" s="548">
        <f t="shared" ref="CA391:CB391" si="354">SUM(CA390:CA390)</f>
        <v>25232889529</v>
      </c>
      <c r="CB391" s="548">
        <f t="shared" si="354"/>
        <v>23421206165</v>
      </c>
    </row>
    <row r="392" spans="1:80" s="459" customFormat="1" ht="15.75" x14ac:dyDescent="0.2">
      <c r="A392" s="54"/>
      <c r="B392" s="118"/>
      <c r="C392" s="82"/>
      <c r="D392" s="81"/>
      <c r="E392" s="340"/>
      <c r="F392" s="340"/>
      <c r="G392" s="81"/>
      <c r="H392" s="82"/>
      <c r="I392" s="81"/>
      <c r="J392" s="261"/>
      <c r="K392" s="283"/>
      <c r="L392" s="283"/>
      <c r="M392" s="283"/>
      <c r="N392" s="261"/>
      <c r="O392" s="82"/>
      <c r="P392" s="81"/>
      <c r="Q392" s="82"/>
      <c r="R392" s="554">
        <f t="shared" ref="R392:BY392" si="355">R391+R387+R378</f>
        <v>0</v>
      </c>
      <c r="S392" s="554">
        <f t="shared" si="355"/>
        <v>0</v>
      </c>
      <c r="T392" s="554">
        <f t="shared" si="355"/>
        <v>0</v>
      </c>
      <c r="U392" s="554">
        <f t="shared" si="355"/>
        <v>0</v>
      </c>
      <c r="V392" s="554">
        <f t="shared" si="355"/>
        <v>0</v>
      </c>
      <c r="W392" s="554">
        <f t="shared" si="355"/>
        <v>0</v>
      </c>
      <c r="X392" s="554">
        <f t="shared" si="355"/>
        <v>0</v>
      </c>
      <c r="Y392" s="554">
        <f t="shared" si="355"/>
        <v>0</v>
      </c>
      <c r="Z392" s="554">
        <f t="shared" si="355"/>
        <v>0</v>
      </c>
      <c r="AA392" s="554">
        <f t="shared" si="355"/>
        <v>0</v>
      </c>
      <c r="AB392" s="554">
        <f t="shared" si="355"/>
        <v>0</v>
      </c>
      <c r="AC392" s="554">
        <f t="shared" si="355"/>
        <v>0</v>
      </c>
      <c r="AD392" s="554">
        <f t="shared" si="355"/>
        <v>0</v>
      </c>
      <c r="AE392" s="554">
        <f t="shared" si="355"/>
        <v>0</v>
      </c>
      <c r="AF392" s="554">
        <f t="shared" si="355"/>
        <v>0</v>
      </c>
      <c r="AG392" s="554">
        <f t="shared" si="355"/>
        <v>0</v>
      </c>
      <c r="AH392" s="554">
        <f t="shared" si="355"/>
        <v>0</v>
      </c>
      <c r="AI392" s="554">
        <f t="shared" si="355"/>
        <v>0</v>
      </c>
      <c r="AJ392" s="554">
        <f t="shared" si="355"/>
        <v>3571563200</v>
      </c>
      <c r="AK392" s="554">
        <f t="shared" si="355"/>
        <v>1103369712</v>
      </c>
      <c r="AL392" s="554">
        <f t="shared" si="355"/>
        <v>227021662</v>
      </c>
      <c r="AM392" s="554">
        <f t="shared" si="355"/>
        <v>0</v>
      </c>
      <c r="AN392" s="554">
        <f t="shared" si="355"/>
        <v>0</v>
      </c>
      <c r="AO392" s="554">
        <f t="shared" si="355"/>
        <v>0</v>
      </c>
      <c r="AP392" s="554">
        <f t="shared" si="355"/>
        <v>0</v>
      </c>
      <c r="AQ392" s="554">
        <f t="shared" si="355"/>
        <v>0</v>
      </c>
      <c r="AR392" s="554">
        <f t="shared" si="355"/>
        <v>0</v>
      </c>
      <c r="AS392" s="554">
        <f t="shared" si="355"/>
        <v>0</v>
      </c>
      <c r="AT392" s="554">
        <f t="shared" si="355"/>
        <v>0</v>
      </c>
      <c r="AU392" s="554">
        <f t="shared" si="355"/>
        <v>0</v>
      </c>
      <c r="AV392" s="554">
        <f t="shared" si="355"/>
        <v>0</v>
      </c>
      <c r="AW392" s="554">
        <f t="shared" si="355"/>
        <v>0</v>
      </c>
      <c r="AX392" s="554">
        <f t="shared" si="355"/>
        <v>0</v>
      </c>
      <c r="AY392" s="554">
        <f t="shared" si="355"/>
        <v>114478119483</v>
      </c>
      <c r="AZ392" s="554">
        <f t="shared" si="355"/>
        <v>21018459022</v>
      </c>
      <c r="BA392" s="554">
        <f t="shared" si="355"/>
        <v>20393178152</v>
      </c>
      <c r="BB392" s="554">
        <f t="shared" si="355"/>
        <v>26281000000</v>
      </c>
      <c r="BC392" s="554">
        <f t="shared" si="355"/>
        <v>4254155507</v>
      </c>
      <c r="BD392" s="554">
        <f t="shared" si="355"/>
        <v>3036703013</v>
      </c>
      <c r="BE392" s="554">
        <f t="shared" si="355"/>
        <v>9045839438</v>
      </c>
      <c r="BF392" s="554">
        <f t="shared" si="355"/>
        <v>0</v>
      </c>
      <c r="BG392" s="554">
        <f t="shared" si="355"/>
        <v>0</v>
      </c>
      <c r="BH392" s="554">
        <f t="shared" si="355"/>
        <v>0</v>
      </c>
      <c r="BI392" s="554">
        <f t="shared" si="355"/>
        <v>0</v>
      </c>
      <c r="BJ392" s="554">
        <f t="shared" si="355"/>
        <v>0</v>
      </c>
      <c r="BK392" s="554">
        <f t="shared" si="355"/>
        <v>3602804607</v>
      </c>
      <c r="BL392" s="554">
        <f t="shared" si="355"/>
        <v>1704048951</v>
      </c>
      <c r="BM392" s="554">
        <f t="shared" si="355"/>
        <v>800028318</v>
      </c>
      <c r="BN392" s="554">
        <f t="shared" si="355"/>
        <v>0</v>
      </c>
      <c r="BO392" s="554">
        <f t="shared" si="355"/>
        <v>0</v>
      </c>
      <c r="BP392" s="554">
        <f t="shared" si="355"/>
        <v>0</v>
      </c>
      <c r="BQ392" s="554">
        <f t="shared" si="355"/>
        <v>79557</v>
      </c>
      <c r="BR392" s="554">
        <f t="shared" si="355"/>
        <v>0</v>
      </c>
      <c r="BS392" s="554">
        <f t="shared" si="355"/>
        <v>0</v>
      </c>
      <c r="BT392" s="554">
        <f t="shared" si="355"/>
        <v>0</v>
      </c>
      <c r="BU392" s="554">
        <f t="shared" si="355"/>
        <v>0</v>
      </c>
      <c r="BV392" s="554">
        <f t="shared" si="355"/>
        <v>0</v>
      </c>
      <c r="BW392" s="554">
        <f t="shared" si="355"/>
        <v>0</v>
      </c>
      <c r="BX392" s="554">
        <f t="shared" si="355"/>
        <v>0</v>
      </c>
      <c r="BY392" s="554">
        <f t="shared" si="355"/>
        <v>0</v>
      </c>
      <c r="BZ392" s="554">
        <f t="shared" ref="BZ392" si="356">BZ391+BZ387+BZ378</f>
        <v>156979406285</v>
      </c>
      <c r="CA392" s="554">
        <f t="shared" ref="CA392:CB392" si="357">CA391+CA387+CA378</f>
        <v>28080033192</v>
      </c>
      <c r="CB392" s="554">
        <f t="shared" si="357"/>
        <v>24456931145</v>
      </c>
    </row>
    <row r="393" spans="1:80" s="11" customFormat="1" ht="15.75" x14ac:dyDescent="0.2">
      <c r="A393" s="54"/>
      <c r="B393" s="91"/>
      <c r="C393" s="92"/>
      <c r="D393" s="91"/>
      <c r="E393" s="333"/>
      <c r="F393" s="333"/>
      <c r="G393" s="91"/>
      <c r="H393" s="92"/>
      <c r="I393" s="91"/>
      <c r="J393" s="245"/>
      <c r="K393" s="280"/>
      <c r="L393" s="341"/>
      <c r="M393" s="341"/>
      <c r="N393" s="335"/>
      <c r="O393" s="499"/>
      <c r="P393" s="124"/>
      <c r="Q393" s="92"/>
      <c r="R393" s="543"/>
      <c r="S393" s="543"/>
      <c r="T393" s="543"/>
      <c r="U393" s="543"/>
      <c r="V393" s="543"/>
      <c r="W393" s="543"/>
      <c r="X393" s="543"/>
      <c r="Y393" s="543"/>
      <c r="Z393" s="543"/>
      <c r="AA393" s="543"/>
      <c r="AB393" s="543"/>
      <c r="AC393" s="543"/>
      <c r="AD393" s="543"/>
      <c r="AE393" s="543"/>
      <c r="AF393" s="543"/>
      <c r="AG393" s="543"/>
      <c r="AH393" s="570"/>
      <c r="AI393" s="570"/>
      <c r="AJ393" s="570"/>
      <c r="AK393" s="570"/>
      <c r="AL393" s="570"/>
      <c r="AM393" s="543"/>
      <c r="AN393" s="543"/>
      <c r="AO393" s="543"/>
      <c r="AP393" s="543"/>
      <c r="AQ393" s="543"/>
      <c r="AR393" s="543"/>
      <c r="AS393" s="543"/>
      <c r="AT393" s="543"/>
      <c r="AU393" s="543"/>
      <c r="AV393" s="543"/>
      <c r="AW393" s="543"/>
      <c r="AX393" s="543"/>
      <c r="AY393" s="544"/>
      <c r="AZ393" s="544"/>
      <c r="BA393" s="544"/>
      <c r="BB393" s="544"/>
      <c r="BC393" s="544"/>
      <c r="BD393" s="544"/>
      <c r="BE393" s="543"/>
      <c r="BF393" s="543"/>
      <c r="BG393" s="543"/>
      <c r="BH393" s="543"/>
      <c r="BI393" s="570"/>
      <c r="BJ393" s="570"/>
      <c r="BK393" s="591"/>
      <c r="BL393" s="591"/>
      <c r="BM393" s="591"/>
      <c r="BN393" s="570"/>
      <c r="BO393" s="570"/>
      <c r="BP393" s="570"/>
      <c r="BQ393" s="543"/>
      <c r="BR393" s="543"/>
      <c r="BS393" s="543"/>
      <c r="BT393" s="543"/>
      <c r="BU393" s="543"/>
      <c r="BV393" s="543"/>
      <c r="BW393" s="543"/>
      <c r="BX393" s="543"/>
      <c r="BY393" s="543"/>
      <c r="BZ393" s="543"/>
      <c r="CA393" s="543"/>
      <c r="CB393" s="543"/>
    </row>
    <row r="394" spans="1:80" s="11" customFormat="1" ht="15.75" x14ac:dyDescent="0.2">
      <c r="A394" s="54"/>
      <c r="B394" s="152">
        <v>6</v>
      </c>
      <c r="C394" s="49" t="s">
        <v>481</v>
      </c>
      <c r="D394" s="50"/>
      <c r="E394" s="50"/>
      <c r="F394" s="50"/>
      <c r="G394" s="50"/>
      <c r="H394" s="51"/>
      <c r="I394" s="50"/>
      <c r="J394" s="50"/>
      <c r="K394" s="284"/>
      <c r="L394" s="284"/>
      <c r="M394" s="284"/>
      <c r="N394" s="50"/>
      <c r="O394" s="51"/>
      <c r="P394" s="50"/>
      <c r="Q394" s="50"/>
      <c r="R394" s="550"/>
      <c r="S394" s="550"/>
      <c r="T394" s="550"/>
      <c r="U394" s="550"/>
      <c r="V394" s="550"/>
      <c r="W394" s="550"/>
      <c r="X394" s="550"/>
      <c r="Y394" s="550"/>
      <c r="Z394" s="550"/>
      <c r="AA394" s="550"/>
      <c r="AB394" s="550"/>
      <c r="AC394" s="550"/>
      <c r="AD394" s="550"/>
      <c r="AE394" s="550"/>
      <c r="AF394" s="550"/>
      <c r="AG394" s="550"/>
      <c r="AH394" s="550"/>
      <c r="AI394" s="550"/>
      <c r="AJ394" s="550"/>
      <c r="AK394" s="550"/>
      <c r="AL394" s="550"/>
      <c r="AM394" s="550"/>
      <c r="AN394" s="550"/>
      <c r="AO394" s="550"/>
      <c r="AP394" s="550"/>
      <c r="AQ394" s="550"/>
      <c r="AR394" s="550"/>
      <c r="AS394" s="550"/>
      <c r="AT394" s="550"/>
      <c r="AU394" s="550"/>
      <c r="AV394" s="550"/>
      <c r="AW394" s="550"/>
      <c r="AX394" s="550"/>
      <c r="AY394" s="550"/>
      <c r="AZ394" s="550"/>
      <c r="BA394" s="550"/>
      <c r="BB394" s="550"/>
      <c r="BC394" s="550"/>
      <c r="BD394" s="550"/>
      <c r="BE394" s="550"/>
      <c r="BF394" s="550"/>
      <c r="BG394" s="550"/>
      <c r="BH394" s="550"/>
      <c r="BI394" s="550"/>
      <c r="BJ394" s="550"/>
      <c r="BK394" s="551"/>
      <c r="BL394" s="551"/>
      <c r="BM394" s="551"/>
      <c r="BN394" s="550"/>
      <c r="BO394" s="550"/>
      <c r="BP394" s="550"/>
      <c r="BQ394" s="550"/>
      <c r="BR394" s="550"/>
      <c r="BS394" s="550"/>
      <c r="BT394" s="550"/>
      <c r="BU394" s="550"/>
      <c r="BV394" s="550"/>
      <c r="BW394" s="550"/>
      <c r="BX394" s="550"/>
      <c r="BY394" s="550"/>
      <c r="BZ394" s="555"/>
      <c r="CA394" s="555"/>
      <c r="CB394" s="555"/>
    </row>
    <row r="395" spans="1:80" s="11" customFormat="1" ht="15.75" x14ac:dyDescent="0.2">
      <c r="A395" s="54"/>
      <c r="B395" s="96"/>
      <c r="C395" s="508"/>
      <c r="D395" s="516"/>
      <c r="E395" s="508"/>
      <c r="F395" s="508"/>
      <c r="G395" s="342">
        <v>19</v>
      </c>
      <c r="H395" s="100" t="s">
        <v>482</v>
      </c>
      <c r="I395" s="100"/>
      <c r="J395" s="100"/>
      <c r="K395" s="278"/>
      <c r="L395" s="278"/>
      <c r="M395" s="278"/>
      <c r="N395" s="197"/>
      <c r="O395" s="505"/>
      <c r="P395" s="100"/>
      <c r="Q395" s="100"/>
      <c r="R395" s="336"/>
      <c r="S395" s="336"/>
      <c r="T395" s="336"/>
      <c r="U395" s="336"/>
      <c r="V395" s="336"/>
      <c r="W395" s="336"/>
      <c r="X395" s="336"/>
      <c r="Y395" s="336"/>
      <c r="Z395" s="336"/>
      <c r="AA395" s="336"/>
      <c r="AB395" s="336"/>
      <c r="AC395" s="336"/>
      <c r="AD395" s="336"/>
      <c r="AE395" s="336"/>
      <c r="AF395" s="336"/>
      <c r="AG395" s="336"/>
      <c r="AH395" s="336"/>
      <c r="AI395" s="336"/>
      <c r="AJ395" s="336"/>
      <c r="AK395" s="336"/>
      <c r="AL395" s="336"/>
      <c r="AM395" s="336"/>
      <c r="AN395" s="336"/>
      <c r="AO395" s="336"/>
      <c r="AP395" s="336"/>
      <c r="AQ395" s="336"/>
      <c r="AR395" s="336"/>
      <c r="AS395" s="336"/>
      <c r="AT395" s="336"/>
      <c r="AU395" s="336"/>
      <c r="AV395" s="336"/>
      <c r="AW395" s="336"/>
      <c r="AX395" s="336"/>
      <c r="AY395" s="336"/>
      <c r="AZ395" s="336"/>
      <c r="BA395" s="336"/>
      <c r="BB395" s="336"/>
      <c r="BC395" s="336"/>
      <c r="BD395" s="336"/>
      <c r="BE395" s="336"/>
      <c r="BF395" s="336"/>
      <c r="BG395" s="336"/>
      <c r="BH395" s="336"/>
      <c r="BI395" s="336"/>
      <c r="BJ395" s="336"/>
      <c r="BK395" s="552"/>
      <c r="BL395" s="552"/>
      <c r="BM395" s="552"/>
      <c r="BN395" s="336"/>
      <c r="BO395" s="336"/>
      <c r="BP395" s="336"/>
      <c r="BQ395" s="336"/>
      <c r="BR395" s="336"/>
      <c r="BS395" s="336"/>
      <c r="BT395" s="336"/>
      <c r="BU395" s="336"/>
      <c r="BV395" s="336"/>
      <c r="BW395" s="336"/>
      <c r="BX395" s="336"/>
      <c r="BY395" s="336"/>
      <c r="BZ395" s="338"/>
      <c r="CA395" s="338"/>
      <c r="CB395" s="338"/>
    </row>
    <row r="396" spans="1:80" s="11" customFormat="1" ht="111.75" customHeight="1" x14ac:dyDescent="0.2">
      <c r="A396" s="54"/>
      <c r="B396" s="256"/>
      <c r="C396" s="510"/>
      <c r="D396" s="518"/>
      <c r="E396" s="533"/>
      <c r="F396" s="533"/>
      <c r="G396" s="58"/>
      <c r="H396" s="57">
        <v>75</v>
      </c>
      <c r="I396" s="56" t="s">
        <v>483</v>
      </c>
      <c r="J396" s="207">
        <v>18</v>
      </c>
      <c r="K396" s="237">
        <v>28</v>
      </c>
      <c r="L396" s="237">
        <v>13</v>
      </c>
      <c r="M396" s="906">
        <v>2017003630098</v>
      </c>
      <c r="N396" s="909" t="s">
        <v>458</v>
      </c>
      <c r="O396" s="910" t="s">
        <v>484</v>
      </c>
      <c r="P396" s="911" t="s">
        <v>485</v>
      </c>
      <c r="Q396" s="57" t="s">
        <v>67</v>
      </c>
      <c r="R396" s="539">
        <v>0</v>
      </c>
      <c r="S396" s="539"/>
      <c r="T396" s="539"/>
      <c r="U396" s="539">
        <v>0</v>
      </c>
      <c r="V396" s="539"/>
      <c r="W396" s="539"/>
      <c r="X396" s="539">
        <v>0</v>
      </c>
      <c r="Y396" s="539"/>
      <c r="Z396" s="539"/>
      <c r="AA396" s="539">
        <v>0</v>
      </c>
      <c r="AB396" s="539"/>
      <c r="AC396" s="539"/>
      <c r="AD396" s="539">
        <v>0</v>
      </c>
      <c r="AE396" s="539"/>
      <c r="AF396" s="539"/>
      <c r="AG396" s="539">
        <v>0</v>
      </c>
      <c r="AH396" s="570"/>
      <c r="AI396" s="570"/>
      <c r="AJ396" s="632"/>
      <c r="AK396" s="632"/>
      <c r="AL396" s="632"/>
      <c r="AM396" s="539"/>
      <c r="AN396" s="539"/>
      <c r="AO396" s="539"/>
      <c r="AP396" s="539"/>
      <c r="AQ396" s="539"/>
      <c r="AR396" s="539"/>
      <c r="AS396" s="539">
        <v>0</v>
      </c>
      <c r="AT396" s="539"/>
      <c r="AU396" s="539"/>
      <c r="AV396" s="539">
        <v>0</v>
      </c>
      <c r="AW396" s="539"/>
      <c r="AX396" s="539"/>
      <c r="AY396" s="539"/>
      <c r="AZ396" s="539"/>
      <c r="BA396" s="539"/>
      <c r="BB396" s="539"/>
      <c r="BC396" s="539"/>
      <c r="BD396" s="539"/>
      <c r="BE396" s="539">
        <v>0</v>
      </c>
      <c r="BF396" s="539"/>
      <c r="BG396" s="539"/>
      <c r="BH396" s="539">
        <v>0</v>
      </c>
      <c r="BI396" s="633"/>
      <c r="BJ396" s="633"/>
      <c r="BK396" s="634"/>
      <c r="BL396" s="634"/>
      <c r="BM396" s="634"/>
      <c r="BN396" s="635"/>
      <c r="BO396" s="635"/>
      <c r="BP396" s="635"/>
      <c r="BQ396" s="539">
        <v>0</v>
      </c>
      <c r="BR396" s="541"/>
      <c r="BS396" s="541"/>
      <c r="BT396" s="541"/>
      <c r="BU396" s="541"/>
      <c r="BV396" s="541"/>
      <c r="BW396" s="541"/>
      <c r="BX396" s="541"/>
      <c r="BY396" s="541"/>
      <c r="BZ396" s="539">
        <f t="shared" ref="BZ396:BZ403" si="358">R396+U396+X396+AA396+AD396+AG396+AJ396+AM396+AP396+AS396+AV396+AY396+BB396+BE396+BH396+BK396+BN396+BQ396+BT396+BW396</f>
        <v>0</v>
      </c>
      <c r="CA396" s="539">
        <f t="shared" ref="CA396:CA403" si="359">S396+V396+Y396+AB396+AE396+AH396+AK396+AN396+AQ396+AT396+AW396+AZ396+BC396+BF396+BI396+BL396+BO396+BR396+BU396+BX396</f>
        <v>0</v>
      </c>
      <c r="CB396" s="539">
        <f t="shared" ref="CB396:CB403" si="360">T396+W396+Z396+AC396+AF396+AI396+AL396+AO396+AR396+AU396+AX396+BA396+BD396+BG396+BJ396+BM396+BP396+BS396+BV396+BY396</f>
        <v>0</v>
      </c>
    </row>
    <row r="397" spans="1:80" s="11" customFormat="1" ht="91.5" customHeight="1" x14ac:dyDescent="0.2">
      <c r="A397" s="54"/>
      <c r="B397" s="256"/>
      <c r="C397" s="28"/>
      <c r="D397" s="344"/>
      <c r="E397" s="345"/>
      <c r="F397" s="346"/>
      <c r="G397" s="64"/>
      <c r="H397" s="57">
        <v>76</v>
      </c>
      <c r="I397" s="56" t="s">
        <v>486</v>
      </c>
      <c r="J397" s="207">
        <v>0</v>
      </c>
      <c r="K397" s="237">
        <v>1050</v>
      </c>
      <c r="L397" s="237">
        <v>1033</v>
      </c>
      <c r="M397" s="907"/>
      <c r="N397" s="909"/>
      <c r="O397" s="910"/>
      <c r="P397" s="912"/>
      <c r="Q397" s="57" t="s">
        <v>67</v>
      </c>
      <c r="R397" s="539">
        <v>0</v>
      </c>
      <c r="S397" s="539"/>
      <c r="T397" s="539"/>
      <c r="U397" s="539">
        <v>0</v>
      </c>
      <c r="V397" s="539"/>
      <c r="W397" s="539"/>
      <c r="X397" s="539">
        <v>0</v>
      </c>
      <c r="Y397" s="539"/>
      <c r="Z397" s="539"/>
      <c r="AA397" s="539">
        <v>0</v>
      </c>
      <c r="AB397" s="539"/>
      <c r="AC397" s="539"/>
      <c r="AD397" s="539">
        <v>0</v>
      </c>
      <c r="AE397" s="539"/>
      <c r="AF397" s="539"/>
      <c r="AG397" s="539">
        <v>0</v>
      </c>
      <c r="AH397" s="539"/>
      <c r="AI397" s="539"/>
      <c r="AJ397" s="625"/>
      <c r="AK397" s="625"/>
      <c r="AL397" s="625"/>
      <c r="AM397" s="539"/>
      <c r="AN397" s="539"/>
      <c r="AO397" s="539"/>
      <c r="AP397" s="539"/>
      <c r="AQ397" s="539"/>
      <c r="AR397" s="539"/>
      <c r="AS397" s="539">
        <v>0</v>
      </c>
      <c r="AT397" s="539"/>
      <c r="AU397" s="539"/>
      <c r="AV397" s="539">
        <v>0</v>
      </c>
      <c r="AW397" s="539"/>
      <c r="AX397" s="539"/>
      <c r="AY397" s="539"/>
      <c r="AZ397" s="539"/>
      <c r="BA397" s="539"/>
      <c r="BB397" s="539"/>
      <c r="BC397" s="539"/>
      <c r="BD397" s="539"/>
      <c r="BE397" s="539">
        <v>0</v>
      </c>
      <c r="BF397" s="539"/>
      <c r="BG397" s="539"/>
      <c r="BH397" s="539">
        <v>0</v>
      </c>
      <c r="BI397" s="539"/>
      <c r="BJ397" s="539"/>
      <c r="BK397" s="540">
        <f>30000000+150000000+64825000</f>
        <v>244825000</v>
      </c>
      <c r="BL397" s="540">
        <v>147125000</v>
      </c>
      <c r="BM397" s="540">
        <v>18725000</v>
      </c>
      <c r="BN397" s="553"/>
      <c r="BO397" s="553"/>
      <c r="BP397" s="553"/>
      <c r="BQ397" s="539">
        <v>0</v>
      </c>
      <c r="BR397" s="541"/>
      <c r="BS397" s="541"/>
      <c r="BT397" s="541">
        <v>0</v>
      </c>
      <c r="BU397" s="541"/>
      <c r="BV397" s="541"/>
      <c r="BW397" s="541"/>
      <c r="BX397" s="541"/>
      <c r="BY397" s="541"/>
      <c r="BZ397" s="539">
        <f t="shared" si="358"/>
        <v>244825000</v>
      </c>
      <c r="CA397" s="539">
        <f t="shared" si="359"/>
        <v>147125000</v>
      </c>
      <c r="CB397" s="539">
        <f t="shared" si="360"/>
        <v>18725000</v>
      </c>
    </row>
    <row r="398" spans="1:80" s="11" customFormat="1" ht="143.25" customHeight="1" x14ac:dyDescent="0.2">
      <c r="A398" s="54"/>
      <c r="B398" s="256"/>
      <c r="C398" s="28">
        <v>16</v>
      </c>
      <c r="D398" s="344" t="s">
        <v>487</v>
      </c>
      <c r="E398" s="347">
        <v>45</v>
      </c>
      <c r="F398" s="348">
        <v>90</v>
      </c>
      <c r="G398" s="64"/>
      <c r="H398" s="57">
        <v>77</v>
      </c>
      <c r="I398" s="56" t="s">
        <v>488</v>
      </c>
      <c r="J398" s="207">
        <v>20</v>
      </c>
      <c r="K398" s="237">
        <v>73</v>
      </c>
      <c r="L398" s="237">
        <v>94</v>
      </c>
      <c r="M398" s="907"/>
      <c r="N398" s="909"/>
      <c r="O398" s="910"/>
      <c r="P398" s="912"/>
      <c r="Q398" s="57" t="s">
        <v>67</v>
      </c>
      <c r="R398" s="539">
        <v>0</v>
      </c>
      <c r="S398" s="539"/>
      <c r="T398" s="539"/>
      <c r="U398" s="539">
        <v>0</v>
      </c>
      <c r="V398" s="539"/>
      <c r="W398" s="539"/>
      <c r="X398" s="539">
        <v>0</v>
      </c>
      <c r="Y398" s="539"/>
      <c r="Z398" s="539"/>
      <c r="AA398" s="539">
        <v>0</v>
      </c>
      <c r="AB398" s="539"/>
      <c r="AC398" s="539"/>
      <c r="AD398" s="539">
        <v>0</v>
      </c>
      <c r="AE398" s="539"/>
      <c r="AF398" s="539"/>
      <c r="AG398" s="539">
        <v>0</v>
      </c>
      <c r="AH398" s="539"/>
      <c r="AI398" s="539"/>
      <c r="AJ398" s="539">
        <v>0</v>
      </c>
      <c r="AK398" s="539"/>
      <c r="AL398" s="539"/>
      <c r="AM398" s="539"/>
      <c r="AN398" s="539"/>
      <c r="AO398" s="539"/>
      <c r="AP398" s="539"/>
      <c r="AQ398" s="539"/>
      <c r="AR398" s="539"/>
      <c r="AS398" s="539">
        <v>0</v>
      </c>
      <c r="AT398" s="539"/>
      <c r="AU398" s="539"/>
      <c r="AV398" s="539">
        <v>0</v>
      </c>
      <c r="AW398" s="539"/>
      <c r="AX398" s="539"/>
      <c r="AY398" s="539"/>
      <c r="AZ398" s="539"/>
      <c r="BA398" s="539"/>
      <c r="BB398" s="539"/>
      <c r="BC398" s="539"/>
      <c r="BD398" s="539"/>
      <c r="BE398" s="539">
        <v>0</v>
      </c>
      <c r="BF398" s="539"/>
      <c r="BG398" s="539"/>
      <c r="BH398" s="539">
        <v>0</v>
      </c>
      <c r="BI398" s="539"/>
      <c r="BJ398" s="539"/>
      <c r="BK398" s="540">
        <v>0</v>
      </c>
      <c r="BL398" s="540"/>
      <c r="BM398" s="540"/>
      <c r="BN398" s="553"/>
      <c r="BO398" s="553"/>
      <c r="BP398" s="553"/>
      <c r="BQ398" s="539">
        <v>0</v>
      </c>
      <c r="BR398" s="541"/>
      <c r="BS398" s="541"/>
      <c r="BT398" s="541"/>
      <c r="BU398" s="541"/>
      <c r="BV398" s="541"/>
      <c r="BW398" s="541"/>
      <c r="BX398" s="541"/>
      <c r="BY398" s="541"/>
      <c r="BZ398" s="539">
        <f t="shared" si="358"/>
        <v>0</v>
      </c>
      <c r="CA398" s="539">
        <f t="shared" si="359"/>
        <v>0</v>
      </c>
      <c r="CB398" s="539">
        <f t="shared" si="360"/>
        <v>0</v>
      </c>
    </row>
    <row r="399" spans="1:80" s="11" customFormat="1" ht="57" customHeight="1" x14ac:dyDescent="0.2">
      <c r="A399" s="54"/>
      <c r="B399" s="256"/>
      <c r="C399" s="28"/>
      <c r="D399" s="344"/>
      <c r="E399" s="345"/>
      <c r="F399" s="346"/>
      <c r="G399" s="64"/>
      <c r="H399" s="57">
        <v>78</v>
      </c>
      <c r="I399" s="56" t="s">
        <v>489</v>
      </c>
      <c r="J399" s="207">
        <v>7</v>
      </c>
      <c r="K399" s="237">
        <v>14</v>
      </c>
      <c r="L399" s="237">
        <v>17</v>
      </c>
      <c r="M399" s="907"/>
      <c r="N399" s="909"/>
      <c r="O399" s="910"/>
      <c r="P399" s="912"/>
      <c r="Q399" s="57" t="s">
        <v>67</v>
      </c>
      <c r="R399" s="539">
        <v>0</v>
      </c>
      <c r="S399" s="539"/>
      <c r="T399" s="539"/>
      <c r="U399" s="539">
        <v>0</v>
      </c>
      <c r="V399" s="539"/>
      <c r="W399" s="539"/>
      <c r="X399" s="539">
        <v>0</v>
      </c>
      <c r="Y399" s="539"/>
      <c r="Z399" s="539"/>
      <c r="AA399" s="539">
        <v>0</v>
      </c>
      <c r="AB399" s="539"/>
      <c r="AC399" s="539"/>
      <c r="AD399" s="539">
        <v>0</v>
      </c>
      <c r="AE399" s="539"/>
      <c r="AF399" s="539"/>
      <c r="AG399" s="539">
        <v>0</v>
      </c>
      <c r="AH399" s="539"/>
      <c r="AI399" s="539"/>
      <c r="AJ399" s="539">
        <v>0</v>
      </c>
      <c r="AK399" s="539"/>
      <c r="AL399" s="539"/>
      <c r="AM399" s="539"/>
      <c r="AN399" s="539"/>
      <c r="AO399" s="539"/>
      <c r="AP399" s="539"/>
      <c r="AQ399" s="539"/>
      <c r="AR399" s="539"/>
      <c r="AS399" s="539">
        <v>0</v>
      </c>
      <c r="AT399" s="539"/>
      <c r="AU399" s="539"/>
      <c r="AV399" s="539">
        <v>0</v>
      </c>
      <c r="AW399" s="539"/>
      <c r="AX399" s="539"/>
      <c r="AY399" s="539"/>
      <c r="AZ399" s="539"/>
      <c r="BA399" s="539"/>
      <c r="BB399" s="539"/>
      <c r="BC399" s="539"/>
      <c r="BD399" s="539"/>
      <c r="BE399" s="539">
        <v>0</v>
      </c>
      <c r="BF399" s="539"/>
      <c r="BG399" s="539"/>
      <c r="BH399" s="539">
        <v>0</v>
      </c>
      <c r="BI399" s="539"/>
      <c r="BJ399" s="539"/>
      <c r="BK399" s="540">
        <v>0</v>
      </c>
      <c r="BL399" s="540"/>
      <c r="BM399" s="540"/>
      <c r="BN399" s="553"/>
      <c r="BO399" s="553"/>
      <c r="BP399" s="553"/>
      <c r="BQ399" s="539">
        <v>0</v>
      </c>
      <c r="BR399" s="541"/>
      <c r="BS399" s="541"/>
      <c r="BT399" s="541"/>
      <c r="BU399" s="541"/>
      <c r="BV399" s="541"/>
      <c r="BW399" s="541"/>
      <c r="BX399" s="541"/>
      <c r="BY399" s="541"/>
      <c r="BZ399" s="539">
        <f t="shared" si="358"/>
        <v>0</v>
      </c>
      <c r="CA399" s="539">
        <f t="shared" si="359"/>
        <v>0</v>
      </c>
      <c r="CB399" s="539">
        <f t="shared" si="360"/>
        <v>0</v>
      </c>
    </row>
    <row r="400" spans="1:80" s="11" customFormat="1" ht="63" customHeight="1" x14ac:dyDescent="0.2">
      <c r="A400" s="54"/>
      <c r="B400" s="256"/>
      <c r="C400" s="28">
        <v>17</v>
      </c>
      <c r="D400" s="344" t="s">
        <v>490</v>
      </c>
      <c r="E400" s="345">
        <v>0.63270000000000004</v>
      </c>
      <c r="F400" s="349">
        <v>0.5</v>
      </c>
      <c r="G400" s="64"/>
      <c r="H400" s="57">
        <v>79</v>
      </c>
      <c r="I400" s="56" t="s">
        <v>491</v>
      </c>
      <c r="J400" s="207">
        <v>96</v>
      </c>
      <c r="K400" s="237">
        <v>213</v>
      </c>
      <c r="L400" s="237">
        <v>196</v>
      </c>
      <c r="M400" s="907"/>
      <c r="N400" s="909"/>
      <c r="O400" s="910"/>
      <c r="P400" s="912"/>
      <c r="Q400" s="57" t="s">
        <v>67</v>
      </c>
      <c r="R400" s="539">
        <v>0</v>
      </c>
      <c r="S400" s="539"/>
      <c r="T400" s="539"/>
      <c r="U400" s="539">
        <v>0</v>
      </c>
      <c r="V400" s="539"/>
      <c r="W400" s="539"/>
      <c r="X400" s="539">
        <v>0</v>
      </c>
      <c r="Y400" s="539"/>
      <c r="Z400" s="539"/>
      <c r="AA400" s="539">
        <v>0</v>
      </c>
      <c r="AB400" s="539"/>
      <c r="AC400" s="539"/>
      <c r="AD400" s="539">
        <v>0</v>
      </c>
      <c r="AE400" s="539"/>
      <c r="AF400" s="539"/>
      <c r="AG400" s="539">
        <v>0</v>
      </c>
      <c r="AH400" s="539"/>
      <c r="AI400" s="539"/>
      <c r="AJ400" s="539">
        <v>0</v>
      </c>
      <c r="AK400" s="539"/>
      <c r="AL400" s="539"/>
      <c r="AM400" s="539"/>
      <c r="AN400" s="539"/>
      <c r="AO400" s="539"/>
      <c r="AP400" s="539"/>
      <c r="AQ400" s="539"/>
      <c r="AR400" s="539"/>
      <c r="AS400" s="539">
        <v>0</v>
      </c>
      <c r="AT400" s="539"/>
      <c r="AU400" s="539"/>
      <c r="AV400" s="539">
        <v>0</v>
      </c>
      <c r="AW400" s="539"/>
      <c r="AX400" s="539"/>
      <c r="AY400" s="539"/>
      <c r="AZ400" s="539"/>
      <c r="BA400" s="539"/>
      <c r="BB400" s="539"/>
      <c r="BC400" s="539"/>
      <c r="BD400" s="539"/>
      <c r="BE400" s="539">
        <v>0</v>
      </c>
      <c r="BF400" s="539"/>
      <c r="BG400" s="539"/>
      <c r="BH400" s="539">
        <v>0</v>
      </c>
      <c r="BI400" s="633"/>
      <c r="BJ400" s="633"/>
      <c r="BK400" s="636">
        <v>15800000</v>
      </c>
      <c r="BL400" s="636"/>
      <c r="BM400" s="636"/>
      <c r="BN400" s="553"/>
      <c r="BO400" s="553"/>
      <c r="BP400" s="553"/>
      <c r="BQ400" s="539">
        <v>0</v>
      </c>
      <c r="BR400" s="541"/>
      <c r="BS400" s="541"/>
      <c r="BT400" s="541"/>
      <c r="BU400" s="541"/>
      <c r="BV400" s="541"/>
      <c r="BW400" s="541"/>
      <c r="BX400" s="541"/>
      <c r="BY400" s="541"/>
      <c r="BZ400" s="539">
        <f t="shared" si="358"/>
        <v>15800000</v>
      </c>
      <c r="CA400" s="539">
        <f t="shared" si="359"/>
        <v>0</v>
      </c>
      <c r="CB400" s="539">
        <f t="shared" si="360"/>
        <v>0</v>
      </c>
    </row>
    <row r="401" spans="1:80" s="11" customFormat="1" ht="57" customHeight="1" x14ac:dyDescent="0.2">
      <c r="A401" s="54"/>
      <c r="B401" s="256"/>
      <c r="C401" s="28"/>
      <c r="D401" s="344"/>
      <c r="E401" s="345"/>
      <c r="F401" s="346"/>
      <c r="G401" s="64"/>
      <c r="H401" s="57">
        <v>80</v>
      </c>
      <c r="I401" s="56" t="s">
        <v>492</v>
      </c>
      <c r="J401" s="207">
        <v>2906</v>
      </c>
      <c r="K401" s="237">
        <v>4476</v>
      </c>
      <c r="L401" s="237">
        <v>6040</v>
      </c>
      <c r="M401" s="907"/>
      <c r="N401" s="909"/>
      <c r="O401" s="910"/>
      <c r="P401" s="912"/>
      <c r="Q401" s="57" t="s">
        <v>67</v>
      </c>
      <c r="R401" s="539">
        <v>0</v>
      </c>
      <c r="S401" s="539"/>
      <c r="T401" s="539"/>
      <c r="U401" s="539">
        <v>0</v>
      </c>
      <c r="V401" s="539"/>
      <c r="W401" s="539"/>
      <c r="X401" s="539">
        <v>0</v>
      </c>
      <c r="Y401" s="539"/>
      <c r="Z401" s="539"/>
      <c r="AA401" s="539">
        <v>0</v>
      </c>
      <c r="AB401" s="539"/>
      <c r="AC401" s="539"/>
      <c r="AD401" s="539">
        <v>0</v>
      </c>
      <c r="AE401" s="539"/>
      <c r="AF401" s="539"/>
      <c r="AG401" s="539">
        <v>0</v>
      </c>
      <c r="AH401" s="539"/>
      <c r="AI401" s="539"/>
      <c r="AJ401" s="539">
        <v>0</v>
      </c>
      <c r="AK401" s="539"/>
      <c r="AL401" s="539"/>
      <c r="AM401" s="539"/>
      <c r="AN401" s="539"/>
      <c r="AO401" s="539"/>
      <c r="AP401" s="539"/>
      <c r="AQ401" s="539"/>
      <c r="AR401" s="539"/>
      <c r="AS401" s="539">
        <v>0</v>
      </c>
      <c r="AT401" s="539"/>
      <c r="AU401" s="539"/>
      <c r="AV401" s="539">
        <v>0</v>
      </c>
      <c r="AW401" s="539"/>
      <c r="AX401" s="539"/>
      <c r="AY401" s="539"/>
      <c r="AZ401" s="539"/>
      <c r="BA401" s="539"/>
      <c r="BB401" s="539"/>
      <c r="BC401" s="539"/>
      <c r="BD401" s="539"/>
      <c r="BE401" s="539">
        <v>0</v>
      </c>
      <c r="BF401" s="539"/>
      <c r="BG401" s="539"/>
      <c r="BH401" s="539">
        <v>0</v>
      </c>
      <c r="BI401" s="539"/>
      <c r="BJ401" s="539"/>
      <c r="BK401" s="540">
        <v>0</v>
      </c>
      <c r="BL401" s="540"/>
      <c r="BM401" s="540"/>
      <c r="BN401" s="553"/>
      <c r="BO401" s="553"/>
      <c r="BP401" s="553"/>
      <c r="BQ401" s="539">
        <v>0</v>
      </c>
      <c r="BR401" s="541"/>
      <c r="BS401" s="541"/>
      <c r="BT401" s="541"/>
      <c r="BU401" s="541"/>
      <c r="BV401" s="541"/>
      <c r="BW401" s="541"/>
      <c r="BX401" s="541"/>
      <c r="BY401" s="541"/>
      <c r="BZ401" s="539">
        <f t="shared" si="358"/>
        <v>0</v>
      </c>
      <c r="CA401" s="539">
        <f t="shared" si="359"/>
        <v>0</v>
      </c>
      <c r="CB401" s="539">
        <f t="shared" si="360"/>
        <v>0</v>
      </c>
    </row>
    <row r="402" spans="1:80" s="11" customFormat="1" ht="105" customHeight="1" x14ac:dyDescent="0.2">
      <c r="A402" s="54"/>
      <c r="B402" s="256"/>
      <c r="C402" s="28"/>
      <c r="D402" s="70" t="s">
        <v>62</v>
      </c>
      <c r="E402" s="345"/>
      <c r="F402" s="346"/>
      <c r="G402" s="64"/>
      <c r="H402" s="57">
        <v>81</v>
      </c>
      <c r="I402" s="56" t="s">
        <v>493</v>
      </c>
      <c r="J402" s="65">
        <v>13</v>
      </c>
      <c r="K402" s="237">
        <v>32</v>
      </c>
      <c r="L402" s="237">
        <v>20</v>
      </c>
      <c r="M402" s="907"/>
      <c r="N402" s="909"/>
      <c r="O402" s="910"/>
      <c r="P402" s="912"/>
      <c r="Q402" s="57" t="s">
        <v>67</v>
      </c>
      <c r="R402" s="539">
        <v>0</v>
      </c>
      <c r="S402" s="539"/>
      <c r="T402" s="539"/>
      <c r="U402" s="539">
        <v>0</v>
      </c>
      <c r="V402" s="539"/>
      <c r="W402" s="539"/>
      <c r="X402" s="539">
        <v>0</v>
      </c>
      <c r="Y402" s="539"/>
      <c r="Z402" s="539"/>
      <c r="AA402" s="539">
        <v>0</v>
      </c>
      <c r="AB402" s="539"/>
      <c r="AC402" s="539"/>
      <c r="AD402" s="539">
        <v>0</v>
      </c>
      <c r="AE402" s="539"/>
      <c r="AF402" s="539"/>
      <c r="AG402" s="539">
        <v>0</v>
      </c>
      <c r="AH402" s="539"/>
      <c r="AI402" s="539"/>
      <c r="AJ402" s="539">
        <v>0</v>
      </c>
      <c r="AK402" s="539"/>
      <c r="AL402" s="539"/>
      <c r="AM402" s="539"/>
      <c r="AN402" s="539"/>
      <c r="AO402" s="539"/>
      <c r="AP402" s="539"/>
      <c r="AQ402" s="539"/>
      <c r="AR402" s="539"/>
      <c r="AS402" s="539">
        <v>0</v>
      </c>
      <c r="AT402" s="539"/>
      <c r="AU402" s="539"/>
      <c r="AV402" s="539">
        <v>0</v>
      </c>
      <c r="AW402" s="539"/>
      <c r="AX402" s="539"/>
      <c r="AY402" s="539"/>
      <c r="AZ402" s="539"/>
      <c r="BA402" s="539"/>
      <c r="BB402" s="539"/>
      <c r="BC402" s="539"/>
      <c r="BD402" s="539"/>
      <c r="BE402" s="539">
        <v>0</v>
      </c>
      <c r="BF402" s="539"/>
      <c r="BG402" s="539"/>
      <c r="BH402" s="539">
        <v>0</v>
      </c>
      <c r="BI402" s="539"/>
      <c r="BJ402" s="539"/>
      <c r="BK402" s="540">
        <v>0</v>
      </c>
      <c r="BL402" s="540"/>
      <c r="BM402" s="540"/>
      <c r="BN402" s="553"/>
      <c r="BO402" s="553"/>
      <c r="BP402" s="553"/>
      <c r="BQ402" s="539">
        <v>0</v>
      </c>
      <c r="BR402" s="541"/>
      <c r="BS402" s="541"/>
      <c r="BT402" s="541"/>
      <c r="BU402" s="541"/>
      <c r="BV402" s="541"/>
      <c r="BW402" s="541"/>
      <c r="BX402" s="541"/>
      <c r="BY402" s="541"/>
      <c r="BZ402" s="539">
        <f t="shared" si="358"/>
        <v>0</v>
      </c>
      <c r="CA402" s="539">
        <f t="shared" si="359"/>
        <v>0</v>
      </c>
      <c r="CB402" s="539">
        <f t="shared" si="360"/>
        <v>0</v>
      </c>
    </row>
    <row r="403" spans="1:80" s="11" customFormat="1" ht="90" x14ac:dyDescent="0.2">
      <c r="A403" s="54"/>
      <c r="B403" s="256"/>
      <c r="C403" s="509"/>
      <c r="D403" s="517" t="s">
        <v>62</v>
      </c>
      <c r="E403" s="526"/>
      <c r="F403" s="526"/>
      <c r="G403" s="139"/>
      <c r="H403" s="57">
        <v>82</v>
      </c>
      <c r="I403" s="56" t="s">
        <v>494</v>
      </c>
      <c r="J403" s="65">
        <v>14</v>
      </c>
      <c r="K403" s="237">
        <v>32</v>
      </c>
      <c r="L403" s="237">
        <v>16</v>
      </c>
      <c r="M403" s="908"/>
      <c r="N403" s="909"/>
      <c r="O403" s="910"/>
      <c r="P403" s="913"/>
      <c r="Q403" s="57" t="s">
        <v>67</v>
      </c>
      <c r="R403" s="539">
        <v>0</v>
      </c>
      <c r="S403" s="539"/>
      <c r="T403" s="539"/>
      <c r="U403" s="539">
        <v>0</v>
      </c>
      <c r="V403" s="539"/>
      <c r="W403" s="539"/>
      <c r="X403" s="539">
        <v>0</v>
      </c>
      <c r="Y403" s="539"/>
      <c r="Z403" s="539"/>
      <c r="AA403" s="539">
        <v>0</v>
      </c>
      <c r="AB403" s="539"/>
      <c r="AC403" s="539"/>
      <c r="AD403" s="539">
        <v>0</v>
      </c>
      <c r="AE403" s="539"/>
      <c r="AF403" s="539"/>
      <c r="AG403" s="539">
        <v>0</v>
      </c>
      <c r="AH403" s="539"/>
      <c r="AI403" s="539"/>
      <c r="AJ403" s="539">
        <v>0</v>
      </c>
      <c r="AK403" s="539"/>
      <c r="AL403" s="539"/>
      <c r="AM403" s="539"/>
      <c r="AN403" s="539"/>
      <c r="AO403" s="539"/>
      <c r="AP403" s="539"/>
      <c r="AQ403" s="539"/>
      <c r="AR403" s="539"/>
      <c r="AS403" s="539">
        <v>0</v>
      </c>
      <c r="AT403" s="539"/>
      <c r="AU403" s="539"/>
      <c r="AV403" s="539">
        <v>0</v>
      </c>
      <c r="AW403" s="539"/>
      <c r="AX403" s="539"/>
      <c r="AY403" s="539"/>
      <c r="AZ403" s="539"/>
      <c r="BA403" s="539"/>
      <c r="BB403" s="539"/>
      <c r="BC403" s="539"/>
      <c r="BD403" s="539"/>
      <c r="BE403" s="539">
        <v>0</v>
      </c>
      <c r="BF403" s="539"/>
      <c r="BG403" s="539"/>
      <c r="BH403" s="539">
        <v>0</v>
      </c>
      <c r="BI403" s="539"/>
      <c r="BJ403" s="539"/>
      <c r="BK403" s="540">
        <v>0</v>
      </c>
      <c r="BL403" s="540"/>
      <c r="BM403" s="540"/>
      <c r="BN403" s="553"/>
      <c r="BO403" s="553"/>
      <c r="BP403" s="553"/>
      <c r="BQ403" s="539">
        <v>0</v>
      </c>
      <c r="BR403" s="541"/>
      <c r="BS403" s="541"/>
      <c r="BT403" s="541"/>
      <c r="BU403" s="541"/>
      <c r="BV403" s="541"/>
      <c r="BW403" s="541"/>
      <c r="BX403" s="541"/>
      <c r="BY403" s="541"/>
      <c r="BZ403" s="539">
        <f t="shared" si="358"/>
        <v>0</v>
      </c>
      <c r="CA403" s="539">
        <f t="shared" si="359"/>
        <v>0</v>
      </c>
      <c r="CB403" s="539">
        <f t="shared" si="360"/>
        <v>0</v>
      </c>
    </row>
    <row r="404" spans="1:80" s="459" customFormat="1" ht="15.75" x14ac:dyDescent="0.2">
      <c r="A404" s="54"/>
      <c r="B404" s="256"/>
      <c r="C404" s="509"/>
      <c r="D404" s="517"/>
      <c r="E404" s="509"/>
      <c r="F404" s="509"/>
      <c r="G404" s="350"/>
      <c r="H404" s="78"/>
      <c r="I404" s="77"/>
      <c r="J404" s="239"/>
      <c r="K404" s="246"/>
      <c r="L404" s="371"/>
      <c r="M404" s="246"/>
      <c r="N404" s="351"/>
      <c r="O404" s="367"/>
      <c r="P404" s="77"/>
      <c r="Q404" s="78"/>
      <c r="R404" s="548">
        <f t="shared" ref="R404:BZ404" si="361">SUM(R396:R403)</f>
        <v>0</v>
      </c>
      <c r="S404" s="548">
        <f t="shared" si="361"/>
        <v>0</v>
      </c>
      <c r="T404" s="548">
        <f t="shared" si="361"/>
        <v>0</v>
      </c>
      <c r="U404" s="548">
        <f t="shared" si="361"/>
        <v>0</v>
      </c>
      <c r="V404" s="548">
        <f t="shared" si="361"/>
        <v>0</v>
      </c>
      <c r="W404" s="548">
        <f t="shared" si="361"/>
        <v>0</v>
      </c>
      <c r="X404" s="548">
        <f t="shared" si="361"/>
        <v>0</v>
      </c>
      <c r="Y404" s="548">
        <f t="shared" si="361"/>
        <v>0</v>
      </c>
      <c r="Z404" s="548">
        <f t="shared" si="361"/>
        <v>0</v>
      </c>
      <c r="AA404" s="548">
        <f t="shared" si="361"/>
        <v>0</v>
      </c>
      <c r="AB404" s="548">
        <f t="shared" si="361"/>
        <v>0</v>
      </c>
      <c r="AC404" s="548">
        <f t="shared" si="361"/>
        <v>0</v>
      </c>
      <c r="AD404" s="548">
        <f t="shared" si="361"/>
        <v>0</v>
      </c>
      <c r="AE404" s="548">
        <f t="shared" si="361"/>
        <v>0</v>
      </c>
      <c r="AF404" s="548">
        <f t="shared" si="361"/>
        <v>0</v>
      </c>
      <c r="AG404" s="548">
        <f t="shared" si="361"/>
        <v>0</v>
      </c>
      <c r="AH404" s="548">
        <f t="shared" si="361"/>
        <v>0</v>
      </c>
      <c r="AI404" s="548">
        <f t="shared" si="361"/>
        <v>0</v>
      </c>
      <c r="AJ404" s="548">
        <f t="shared" si="361"/>
        <v>0</v>
      </c>
      <c r="AK404" s="548">
        <f t="shared" si="361"/>
        <v>0</v>
      </c>
      <c r="AL404" s="548">
        <f t="shared" si="361"/>
        <v>0</v>
      </c>
      <c r="AM404" s="548">
        <f t="shared" si="361"/>
        <v>0</v>
      </c>
      <c r="AN404" s="548">
        <f t="shared" si="361"/>
        <v>0</v>
      </c>
      <c r="AO404" s="548">
        <f t="shared" si="361"/>
        <v>0</v>
      </c>
      <c r="AP404" s="548">
        <f t="shared" si="361"/>
        <v>0</v>
      </c>
      <c r="AQ404" s="548">
        <f t="shared" si="361"/>
        <v>0</v>
      </c>
      <c r="AR404" s="548">
        <f t="shared" si="361"/>
        <v>0</v>
      </c>
      <c r="AS404" s="548">
        <f t="shared" si="361"/>
        <v>0</v>
      </c>
      <c r="AT404" s="548">
        <f t="shared" si="361"/>
        <v>0</v>
      </c>
      <c r="AU404" s="548">
        <f t="shared" si="361"/>
        <v>0</v>
      </c>
      <c r="AV404" s="548">
        <f t="shared" si="361"/>
        <v>0</v>
      </c>
      <c r="AW404" s="548">
        <f t="shared" si="361"/>
        <v>0</v>
      </c>
      <c r="AX404" s="548">
        <f t="shared" si="361"/>
        <v>0</v>
      </c>
      <c r="AY404" s="548">
        <f t="shared" si="361"/>
        <v>0</v>
      </c>
      <c r="AZ404" s="548">
        <f t="shared" si="361"/>
        <v>0</v>
      </c>
      <c r="BA404" s="548">
        <f t="shared" si="361"/>
        <v>0</v>
      </c>
      <c r="BB404" s="548">
        <f t="shared" si="361"/>
        <v>0</v>
      </c>
      <c r="BC404" s="548">
        <f t="shared" si="361"/>
        <v>0</v>
      </c>
      <c r="BD404" s="548">
        <f t="shared" si="361"/>
        <v>0</v>
      </c>
      <c r="BE404" s="548">
        <f t="shared" si="361"/>
        <v>0</v>
      </c>
      <c r="BF404" s="548">
        <f t="shared" si="361"/>
        <v>0</v>
      </c>
      <c r="BG404" s="548">
        <f t="shared" si="361"/>
        <v>0</v>
      </c>
      <c r="BH404" s="548">
        <f t="shared" si="361"/>
        <v>0</v>
      </c>
      <c r="BI404" s="548">
        <f t="shared" si="361"/>
        <v>0</v>
      </c>
      <c r="BJ404" s="548">
        <f t="shared" si="361"/>
        <v>0</v>
      </c>
      <c r="BK404" s="548">
        <f t="shared" si="361"/>
        <v>260625000</v>
      </c>
      <c r="BL404" s="548">
        <f t="shared" si="361"/>
        <v>147125000</v>
      </c>
      <c r="BM404" s="548">
        <f t="shared" si="361"/>
        <v>18725000</v>
      </c>
      <c r="BN404" s="548">
        <f t="shared" si="361"/>
        <v>0</v>
      </c>
      <c r="BO404" s="548">
        <f t="shared" si="361"/>
        <v>0</v>
      </c>
      <c r="BP404" s="548">
        <f t="shared" si="361"/>
        <v>0</v>
      </c>
      <c r="BQ404" s="548">
        <f t="shared" si="361"/>
        <v>0</v>
      </c>
      <c r="BR404" s="548">
        <f t="shared" si="361"/>
        <v>0</v>
      </c>
      <c r="BS404" s="548">
        <f t="shared" si="361"/>
        <v>0</v>
      </c>
      <c r="BT404" s="548">
        <f t="shared" si="361"/>
        <v>0</v>
      </c>
      <c r="BU404" s="548">
        <f t="shared" si="361"/>
        <v>0</v>
      </c>
      <c r="BV404" s="548">
        <f t="shared" si="361"/>
        <v>0</v>
      </c>
      <c r="BW404" s="548">
        <f t="shared" si="361"/>
        <v>0</v>
      </c>
      <c r="BX404" s="548">
        <f t="shared" si="361"/>
        <v>0</v>
      </c>
      <c r="BY404" s="548">
        <f t="shared" si="361"/>
        <v>0</v>
      </c>
      <c r="BZ404" s="548">
        <f t="shared" si="361"/>
        <v>260625000</v>
      </c>
      <c r="CA404" s="548">
        <f t="shared" ref="CA404:CB404" si="362">SUM(CA396:CA403)</f>
        <v>147125000</v>
      </c>
      <c r="CB404" s="548">
        <f t="shared" si="362"/>
        <v>18725000</v>
      </c>
    </row>
    <row r="405" spans="1:80" s="11" customFormat="1" ht="15.75" x14ac:dyDescent="0.2">
      <c r="A405" s="54"/>
      <c r="B405" s="54"/>
      <c r="C405" s="166"/>
      <c r="D405" s="91"/>
      <c r="E405" s="333"/>
      <c r="F405" s="333"/>
      <c r="G405" s="91"/>
      <c r="H405" s="92"/>
      <c r="I405" s="91"/>
      <c r="J405" s="244"/>
      <c r="K405" s="352"/>
      <c r="L405" s="353"/>
      <c r="M405" s="353"/>
      <c r="N405" s="258"/>
      <c r="O405" s="499"/>
      <c r="P405" s="124"/>
      <c r="Q405" s="92"/>
      <c r="R405" s="543"/>
      <c r="S405" s="543"/>
      <c r="T405" s="543"/>
      <c r="U405" s="543"/>
      <c r="V405" s="543"/>
      <c r="W405" s="543"/>
      <c r="X405" s="543"/>
      <c r="Y405" s="543"/>
      <c r="Z405" s="543"/>
      <c r="AA405" s="543"/>
      <c r="AB405" s="543"/>
      <c r="AC405" s="543"/>
      <c r="AD405" s="543"/>
      <c r="AE405" s="543"/>
      <c r="AF405" s="543"/>
      <c r="AG405" s="543"/>
      <c r="AH405" s="543"/>
      <c r="AI405" s="543"/>
      <c r="AJ405" s="543"/>
      <c r="AK405" s="543"/>
      <c r="AL405" s="543"/>
      <c r="AM405" s="543"/>
      <c r="AN405" s="543"/>
      <c r="AO405" s="543"/>
      <c r="AP405" s="543"/>
      <c r="AQ405" s="543"/>
      <c r="AR405" s="543"/>
      <c r="AS405" s="543"/>
      <c r="AT405" s="543"/>
      <c r="AU405" s="543"/>
      <c r="AV405" s="543"/>
      <c r="AW405" s="543"/>
      <c r="AX405" s="543"/>
      <c r="AY405" s="543"/>
      <c r="AZ405" s="543"/>
      <c r="BA405" s="543"/>
      <c r="BB405" s="543"/>
      <c r="BC405" s="543"/>
      <c r="BD405" s="543"/>
      <c r="BE405" s="543"/>
      <c r="BF405" s="543"/>
      <c r="BG405" s="543"/>
      <c r="BH405" s="543"/>
      <c r="BI405" s="543"/>
      <c r="BJ405" s="543"/>
      <c r="BK405" s="545"/>
      <c r="BL405" s="545"/>
      <c r="BM405" s="545"/>
      <c r="BN405" s="543"/>
      <c r="BO405" s="543"/>
      <c r="BP405" s="543"/>
      <c r="BQ405" s="543"/>
      <c r="BR405" s="543"/>
      <c r="BS405" s="543"/>
      <c r="BT405" s="543"/>
      <c r="BU405" s="543"/>
      <c r="BV405" s="543"/>
      <c r="BW405" s="543"/>
      <c r="BX405" s="543"/>
      <c r="BY405" s="543"/>
      <c r="BZ405" s="547"/>
      <c r="CA405" s="547"/>
      <c r="CB405" s="547"/>
    </row>
    <row r="406" spans="1:80" s="459" customFormat="1" ht="15.75" x14ac:dyDescent="0.2">
      <c r="A406" s="54"/>
      <c r="B406" s="54"/>
      <c r="C406" s="166"/>
      <c r="D406" s="91"/>
      <c r="E406" s="532"/>
      <c r="F406" s="531"/>
      <c r="G406" s="195">
        <v>20</v>
      </c>
      <c r="H406" s="211" t="s">
        <v>495</v>
      </c>
      <c r="I406" s="100"/>
      <c r="J406" s="100"/>
      <c r="K406" s="278"/>
      <c r="L406" s="278"/>
      <c r="M406" s="278"/>
      <c r="N406" s="100"/>
      <c r="O406" s="212"/>
      <c r="P406" s="100"/>
      <c r="Q406" s="100"/>
      <c r="R406" s="336"/>
      <c r="S406" s="336"/>
      <c r="T406" s="336"/>
      <c r="U406" s="336"/>
      <c r="V406" s="336"/>
      <c r="W406" s="336"/>
      <c r="X406" s="336"/>
      <c r="Y406" s="336"/>
      <c r="Z406" s="336"/>
      <c r="AA406" s="336"/>
      <c r="AB406" s="336"/>
      <c r="AC406" s="336"/>
      <c r="AD406" s="336"/>
      <c r="AE406" s="336"/>
      <c r="AF406" s="336"/>
      <c r="AG406" s="336"/>
      <c r="AH406" s="336"/>
      <c r="AI406" s="336"/>
      <c r="AJ406" s="336"/>
      <c r="AK406" s="336"/>
      <c r="AL406" s="336"/>
      <c r="AM406" s="336"/>
      <c r="AN406" s="336"/>
      <c r="AO406" s="336"/>
      <c r="AP406" s="336"/>
      <c r="AQ406" s="336"/>
      <c r="AR406" s="336"/>
      <c r="AS406" s="336"/>
      <c r="AT406" s="336"/>
      <c r="AU406" s="336"/>
      <c r="AV406" s="336"/>
      <c r="AW406" s="336"/>
      <c r="AX406" s="336"/>
      <c r="AY406" s="336"/>
      <c r="AZ406" s="336"/>
      <c r="BA406" s="336"/>
      <c r="BB406" s="336"/>
      <c r="BC406" s="336"/>
      <c r="BD406" s="336"/>
      <c r="BE406" s="336"/>
      <c r="BF406" s="336"/>
      <c r="BG406" s="336"/>
      <c r="BH406" s="336"/>
      <c r="BI406" s="336"/>
      <c r="BJ406" s="336"/>
      <c r="BK406" s="552"/>
      <c r="BL406" s="552"/>
      <c r="BM406" s="552"/>
      <c r="BN406" s="336"/>
      <c r="BO406" s="336"/>
      <c r="BP406" s="336"/>
      <c r="BQ406" s="336"/>
      <c r="BR406" s="336"/>
      <c r="BS406" s="336"/>
      <c r="BT406" s="336"/>
      <c r="BU406" s="336"/>
      <c r="BV406" s="336"/>
      <c r="BW406" s="336"/>
      <c r="BX406" s="336"/>
      <c r="BY406" s="336"/>
      <c r="BZ406" s="338"/>
      <c r="CA406" s="338"/>
      <c r="CB406" s="338"/>
    </row>
    <row r="407" spans="1:80" s="11" customFormat="1" ht="72.75" customHeight="1" x14ac:dyDescent="0.2">
      <c r="A407" s="54"/>
      <c r="B407" s="256"/>
      <c r="C407" s="466"/>
      <c r="D407" s="467"/>
      <c r="E407" s="467"/>
      <c r="F407" s="467"/>
      <c r="G407" s="200"/>
      <c r="H407" s="57">
        <v>83</v>
      </c>
      <c r="I407" s="56" t="s">
        <v>496</v>
      </c>
      <c r="J407" s="207">
        <v>0</v>
      </c>
      <c r="K407" s="237">
        <v>47</v>
      </c>
      <c r="L407" s="237">
        <v>54</v>
      </c>
      <c r="M407" s="850">
        <v>2017003630099</v>
      </c>
      <c r="N407" s="903" t="s">
        <v>458</v>
      </c>
      <c r="O407" s="856" t="s">
        <v>497</v>
      </c>
      <c r="P407" s="853" t="s">
        <v>498</v>
      </c>
      <c r="Q407" s="57" t="s">
        <v>67</v>
      </c>
      <c r="R407" s="539">
        <v>0</v>
      </c>
      <c r="S407" s="539"/>
      <c r="T407" s="539"/>
      <c r="U407" s="539">
        <v>0</v>
      </c>
      <c r="V407" s="539"/>
      <c r="W407" s="539"/>
      <c r="X407" s="539">
        <v>0</v>
      </c>
      <c r="Y407" s="539"/>
      <c r="Z407" s="539"/>
      <c r="AA407" s="539">
        <v>0</v>
      </c>
      <c r="AB407" s="539"/>
      <c r="AC407" s="539"/>
      <c r="AD407" s="539">
        <v>0</v>
      </c>
      <c r="AE407" s="539"/>
      <c r="AF407" s="539"/>
      <c r="AG407" s="539">
        <v>0</v>
      </c>
      <c r="AH407" s="539"/>
      <c r="AI407" s="539"/>
      <c r="AJ407" s="539">
        <v>0</v>
      </c>
      <c r="AK407" s="539"/>
      <c r="AL407" s="539"/>
      <c r="AM407" s="539"/>
      <c r="AN407" s="539"/>
      <c r="AO407" s="539"/>
      <c r="AP407" s="539"/>
      <c r="AQ407" s="539"/>
      <c r="AR407" s="539"/>
      <c r="AS407" s="539">
        <v>0</v>
      </c>
      <c r="AT407" s="539"/>
      <c r="AU407" s="539"/>
      <c r="AV407" s="539">
        <v>0</v>
      </c>
      <c r="AW407" s="539"/>
      <c r="AX407" s="539"/>
      <c r="AY407" s="539"/>
      <c r="AZ407" s="539"/>
      <c r="BA407" s="539"/>
      <c r="BB407" s="539"/>
      <c r="BC407" s="539"/>
      <c r="BD407" s="539"/>
      <c r="BE407" s="539">
        <v>0</v>
      </c>
      <c r="BF407" s="539"/>
      <c r="BG407" s="539"/>
      <c r="BH407" s="539">
        <v>0</v>
      </c>
      <c r="BI407" s="539"/>
      <c r="BJ407" s="539"/>
      <c r="BK407" s="540">
        <f>0+80000000+32100000</f>
        <v>112100000</v>
      </c>
      <c r="BL407" s="540">
        <v>74900000</v>
      </c>
      <c r="BM407" s="540">
        <v>16050000</v>
      </c>
      <c r="BN407" s="553"/>
      <c r="BO407" s="553"/>
      <c r="BP407" s="553"/>
      <c r="BQ407" s="539">
        <v>0</v>
      </c>
      <c r="BR407" s="541"/>
      <c r="BS407" s="541"/>
      <c r="BT407" s="541"/>
      <c r="BU407" s="541"/>
      <c r="BV407" s="541"/>
      <c r="BW407" s="541"/>
      <c r="BX407" s="541"/>
      <c r="BY407" s="541"/>
      <c r="BZ407" s="539">
        <f t="shared" ref="BZ407:BZ416" si="363">R407+U407+X407+AA407+AD407+AG407+AJ407+AM407+AP407+AS407+AV407+AY407+BB407+BE407+BH407+BK407+BN407+BQ407+BT407+BW407</f>
        <v>112100000</v>
      </c>
      <c r="CA407" s="539">
        <f t="shared" ref="CA407:CA416" si="364">S407+V407+Y407+AB407+AE407+AH407+AK407+AN407+AQ407+AT407+AW407+AZ407+BC407+BF407+BI407+BL407+BO407+BR407+BU407+BX407</f>
        <v>74900000</v>
      </c>
      <c r="CB407" s="539">
        <f t="shared" ref="CB407:CB416" si="365">T407+W407+Z407+AC407+AF407+AI407+AL407+AO407+AR407+AU407+AX407+BA407+BD407+BG407+BJ407+BM407+BP407+BS407+BV407+BY407</f>
        <v>16050000</v>
      </c>
    </row>
    <row r="408" spans="1:80" s="11" customFormat="1" ht="91.5" customHeight="1" x14ac:dyDescent="0.2">
      <c r="A408" s="54"/>
      <c r="B408" s="256"/>
      <c r="C408" s="466"/>
      <c r="D408" s="467"/>
      <c r="E408" s="467"/>
      <c r="F408" s="467"/>
      <c r="G408" s="68"/>
      <c r="H408" s="57">
        <v>84</v>
      </c>
      <c r="I408" s="56" t="s">
        <v>499</v>
      </c>
      <c r="J408" s="207">
        <v>0</v>
      </c>
      <c r="K408" s="237">
        <v>26</v>
      </c>
      <c r="L408" s="237">
        <v>28</v>
      </c>
      <c r="M408" s="851"/>
      <c r="N408" s="904"/>
      <c r="O408" s="857"/>
      <c r="P408" s="854"/>
      <c r="Q408" s="57" t="s">
        <v>67</v>
      </c>
      <c r="R408" s="539">
        <v>0</v>
      </c>
      <c r="S408" s="539"/>
      <c r="T408" s="539"/>
      <c r="U408" s="539">
        <v>0</v>
      </c>
      <c r="V408" s="539"/>
      <c r="W408" s="539"/>
      <c r="X408" s="539">
        <v>0</v>
      </c>
      <c r="Y408" s="539"/>
      <c r="Z408" s="539"/>
      <c r="AA408" s="539">
        <v>0</v>
      </c>
      <c r="AB408" s="539"/>
      <c r="AC408" s="539"/>
      <c r="AD408" s="539">
        <v>0</v>
      </c>
      <c r="AE408" s="539"/>
      <c r="AF408" s="539"/>
      <c r="AG408" s="539">
        <v>0</v>
      </c>
      <c r="AH408" s="539"/>
      <c r="AI408" s="539"/>
      <c r="AJ408" s="539">
        <v>0</v>
      </c>
      <c r="AK408" s="539"/>
      <c r="AL408" s="539"/>
      <c r="AM408" s="539"/>
      <c r="AN408" s="539"/>
      <c r="AO408" s="539"/>
      <c r="AP408" s="539"/>
      <c r="AQ408" s="539"/>
      <c r="AR408" s="539"/>
      <c r="AS408" s="539">
        <v>0</v>
      </c>
      <c r="AT408" s="539"/>
      <c r="AU408" s="539"/>
      <c r="AV408" s="539">
        <v>0</v>
      </c>
      <c r="AW408" s="539"/>
      <c r="AX408" s="539"/>
      <c r="AY408" s="539"/>
      <c r="AZ408" s="539"/>
      <c r="BA408" s="539"/>
      <c r="BB408" s="539"/>
      <c r="BC408" s="539"/>
      <c r="BD408" s="539"/>
      <c r="BE408" s="539">
        <v>0</v>
      </c>
      <c r="BF408" s="539"/>
      <c r="BG408" s="539"/>
      <c r="BH408" s="539">
        <v>0</v>
      </c>
      <c r="BI408" s="539"/>
      <c r="BJ408" s="539"/>
      <c r="BK408" s="540"/>
      <c r="BL408" s="540"/>
      <c r="BM408" s="540"/>
      <c r="BN408" s="553"/>
      <c r="BO408" s="553"/>
      <c r="BP408" s="553"/>
      <c r="BQ408" s="539">
        <v>0</v>
      </c>
      <c r="BR408" s="541"/>
      <c r="BS408" s="541"/>
      <c r="BT408" s="541"/>
      <c r="BU408" s="541"/>
      <c r="BV408" s="541"/>
      <c r="BW408" s="541"/>
      <c r="BX408" s="541"/>
      <c r="BY408" s="541"/>
      <c r="BZ408" s="539">
        <f t="shared" si="363"/>
        <v>0</v>
      </c>
      <c r="CA408" s="539">
        <f t="shared" si="364"/>
        <v>0</v>
      </c>
      <c r="CB408" s="539">
        <f t="shared" si="365"/>
        <v>0</v>
      </c>
    </row>
    <row r="409" spans="1:80" s="11" customFormat="1" ht="80.25" customHeight="1" x14ac:dyDescent="0.2">
      <c r="A409" s="54"/>
      <c r="B409" s="256"/>
      <c r="C409" s="466"/>
      <c r="D409" s="467"/>
      <c r="E409" s="467"/>
      <c r="F409" s="467"/>
      <c r="G409" s="68"/>
      <c r="H409" s="57">
        <v>85</v>
      </c>
      <c r="I409" s="56" t="s">
        <v>500</v>
      </c>
      <c r="J409" s="207">
        <v>0</v>
      </c>
      <c r="K409" s="237">
        <v>26</v>
      </c>
      <c r="L409" s="237">
        <v>54</v>
      </c>
      <c r="M409" s="851"/>
      <c r="N409" s="904"/>
      <c r="O409" s="857"/>
      <c r="P409" s="854"/>
      <c r="Q409" s="57" t="s">
        <v>67</v>
      </c>
      <c r="R409" s="539">
        <v>0</v>
      </c>
      <c r="S409" s="539"/>
      <c r="T409" s="539"/>
      <c r="U409" s="539">
        <v>0</v>
      </c>
      <c r="V409" s="539"/>
      <c r="W409" s="539"/>
      <c r="X409" s="539">
        <v>0</v>
      </c>
      <c r="Y409" s="539"/>
      <c r="Z409" s="539"/>
      <c r="AA409" s="539">
        <v>0</v>
      </c>
      <c r="AB409" s="539"/>
      <c r="AC409" s="539"/>
      <c r="AD409" s="539">
        <v>0</v>
      </c>
      <c r="AE409" s="539"/>
      <c r="AF409" s="539"/>
      <c r="AG409" s="539">
        <v>0</v>
      </c>
      <c r="AH409" s="539"/>
      <c r="AI409" s="539"/>
      <c r="AJ409" s="539">
        <v>0</v>
      </c>
      <c r="AK409" s="539"/>
      <c r="AL409" s="539"/>
      <c r="AM409" s="539"/>
      <c r="AN409" s="539"/>
      <c r="AO409" s="539"/>
      <c r="AP409" s="539"/>
      <c r="AQ409" s="539"/>
      <c r="AR409" s="539"/>
      <c r="AS409" s="539">
        <v>0</v>
      </c>
      <c r="AT409" s="539"/>
      <c r="AU409" s="539"/>
      <c r="AV409" s="539">
        <v>0</v>
      </c>
      <c r="AW409" s="539"/>
      <c r="AX409" s="539"/>
      <c r="AY409" s="539"/>
      <c r="AZ409" s="539"/>
      <c r="BA409" s="539"/>
      <c r="BB409" s="539"/>
      <c r="BC409" s="539"/>
      <c r="BD409" s="539"/>
      <c r="BE409" s="539">
        <v>0</v>
      </c>
      <c r="BF409" s="539"/>
      <c r="BG409" s="539"/>
      <c r="BH409" s="539">
        <v>0</v>
      </c>
      <c r="BI409" s="539"/>
      <c r="BJ409" s="539"/>
      <c r="BK409" s="540">
        <v>16050000</v>
      </c>
      <c r="BL409" s="540"/>
      <c r="BM409" s="540"/>
      <c r="BN409" s="553"/>
      <c r="BO409" s="553"/>
      <c r="BP409" s="553"/>
      <c r="BQ409" s="539">
        <v>0</v>
      </c>
      <c r="BR409" s="541"/>
      <c r="BS409" s="541"/>
      <c r="BT409" s="541"/>
      <c r="BU409" s="541"/>
      <c r="BV409" s="541"/>
      <c r="BW409" s="541"/>
      <c r="BX409" s="541"/>
      <c r="BY409" s="541"/>
      <c r="BZ409" s="539">
        <f t="shared" si="363"/>
        <v>16050000</v>
      </c>
      <c r="CA409" s="539">
        <f t="shared" si="364"/>
        <v>0</v>
      </c>
      <c r="CB409" s="539">
        <f t="shared" si="365"/>
        <v>0</v>
      </c>
    </row>
    <row r="410" spans="1:80" s="11" customFormat="1" ht="93" customHeight="1" x14ac:dyDescent="0.2">
      <c r="A410" s="54"/>
      <c r="B410" s="256"/>
      <c r="C410" s="28">
        <v>14</v>
      </c>
      <c r="D410" s="64" t="s">
        <v>463</v>
      </c>
      <c r="E410" s="346">
        <v>6.2E-2</v>
      </c>
      <c r="F410" s="346">
        <v>0.03</v>
      </c>
      <c r="G410" s="68"/>
      <c r="H410" s="57">
        <v>87</v>
      </c>
      <c r="I410" s="56" t="s">
        <v>501</v>
      </c>
      <c r="J410" s="207">
        <v>0</v>
      </c>
      <c r="K410" s="237">
        <v>30</v>
      </c>
      <c r="L410" s="237">
        <v>0</v>
      </c>
      <c r="M410" s="851"/>
      <c r="N410" s="904"/>
      <c r="O410" s="857"/>
      <c r="P410" s="854"/>
      <c r="Q410" s="57" t="s">
        <v>51</v>
      </c>
      <c r="R410" s="539">
        <v>0</v>
      </c>
      <c r="S410" s="539"/>
      <c r="T410" s="539"/>
      <c r="U410" s="539">
        <v>0</v>
      </c>
      <c r="V410" s="539"/>
      <c r="W410" s="539"/>
      <c r="X410" s="539">
        <v>0</v>
      </c>
      <c r="Y410" s="539"/>
      <c r="Z410" s="539"/>
      <c r="AA410" s="539">
        <v>0</v>
      </c>
      <c r="AB410" s="539"/>
      <c r="AC410" s="539"/>
      <c r="AD410" s="539">
        <v>0</v>
      </c>
      <c r="AE410" s="539"/>
      <c r="AF410" s="539"/>
      <c r="AG410" s="539">
        <v>0</v>
      </c>
      <c r="AH410" s="539"/>
      <c r="AI410" s="539"/>
      <c r="AJ410" s="539">
        <v>0</v>
      </c>
      <c r="AK410" s="539"/>
      <c r="AL410" s="539"/>
      <c r="AM410" s="539"/>
      <c r="AN410" s="539"/>
      <c r="AO410" s="539"/>
      <c r="AP410" s="539"/>
      <c r="AQ410" s="539"/>
      <c r="AR410" s="539"/>
      <c r="AS410" s="539">
        <v>0</v>
      </c>
      <c r="AT410" s="539"/>
      <c r="AU410" s="539"/>
      <c r="AV410" s="539">
        <v>0</v>
      </c>
      <c r="AW410" s="539"/>
      <c r="AX410" s="539"/>
      <c r="AY410" s="539">
        <v>0</v>
      </c>
      <c r="AZ410" s="539"/>
      <c r="BA410" s="539"/>
      <c r="BB410" s="539"/>
      <c r="BC410" s="539"/>
      <c r="BD410" s="539"/>
      <c r="BE410" s="539">
        <v>0</v>
      </c>
      <c r="BF410" s="539"/>
      <c r="BG410" s="539"/>
      <c r="BH410" s="539">
        <v>0</v>
      </c>
      <c r="BI410" s="541"/>
      <c r="BJ410" s="541"/>
      <c r="BK410" s="628">
        <v>20000000</v>
      </c>
      <c r="BL410" s="628"/>
      <c r="BM410" s="628"/>
      <c r="BN410" s="553"/>
      <c r="BO410" s="553"/>
      <c r="BP410" s="553"/>
      <c r="BQ410" s="539">
        <v>0</v>
      </c>
      <c r="BR410" s="541"/>
      <c r="BS410" s="541"/>
      <c r="BT410" s="541"/>
      <c r="BU410" s="541"/>
      <c r="BV410" s="541"/>
      <c r="BW410" s="541"/>
      <c r="BX410" s="541"/>
      <c r="BY410" s="541"/>
      <c r="BZ410" s="539">
        <f t="shared" si="363"/>
        <v>20000000</v>
      </c>
      <c r="CA410" s="539">
        <f t="shared" si="364"/>
        <v>0</v>
      </c>
      <c r="CB410" s="539">
        <f t="shared" si="365"/>
        <v>0</v>
      </c>
    </row>
    <row r="411" spans="1:80" s="11" customFormat="1" ht="78" customHeight="1" x14ac:dyDescent="0.2">
      <c r="A411" s="54"/>
      <c r="B411" s="256"/>
      <c r="C411" s="28">
        <v>15</v>
      </c>
      <c r="D411" s="70" t="s">
        <v>456</v>
      </c>
      <c r="E411" s="346">
        <v>0.73229999999999995</v>
      </c>
      <c r="F411" s="346">
        <v>0.78</v>
      </c>
      <c r="G411" s="68"/>
      <c r="H411" s="57">
        <v>88</v>
      </c>
      <c r="I411" s="56" t="s">
        <v>502</v>
      </c>
      <c r="J411" s="207">
        <v>21</v>
      </c>
      <c r="K411" s="237">
        <v>34</v>
      </c>
      <c r="L411" s="237">
        <v>39</v>
      </c>
      <c r="M411" s="851"/>
      <c r="N411" s="904"/>
      <c r="O411" s="857"/>
      <c r="P411" s="854"/>
      <c r="Q411" s="57" t="s">
        <v>67</v>
      </c>
      <c r="R411" s="539">
        <v>0</v>
      </c>
      <c r="S411" s="539"/>
      <c r="T411" s="539"/>
      <c r="U411" s="539">
        <v>0</v>
      </c>
      <c r="V411" s="539"/>
      <c r="W411" s="539"/>
      <c r="X411" s="539">
        <v>0</v>
      </c>
      <c r="Y411" s="539"/>
      <c r="Z411" s="539"/>
      <c r="AA411" s="539">
        <v>0</v>
      </c>
      <c r="AB411" s="539"/>
      <c r="AC411" s="539"/>
      <c r="AD411" s="539">
        <v>0</v>
      </c>
      <c r="AE411" s="539"/>
      <c r="AF411" s="539"/>
      <c r="AG411" s="539">
        <v>0</v>
      </c>
      <c r="AH411" s="539"/>
      <c r="AI411" s="539"/>
      <c r="AJ411" s="539">
        <v>0</v>
      </c>
      <c r="AK411" s="539"/>
      <c r="AL411" s="539"/>
      <c r="AM411" s="539"/>
      <c r="AN411" s="539"/>
      <c r="AO411" s="539"/>
      <c r="AP411" s="539"/>
      <c r="AQ411" s="539"/>
      <c r="AR411" s="539"/>
      <c r="AS411" s="539">
        <v>0</v>
      </c>
      <c r="AT411" s="539"/>
      <c r="AU411" s="539"/>
      <c r="AV411" s="539">
        <v>0</v>
      </c>
      <c r="AW411" s="539"/>
      <c r="AX411" s="539"/>
      <c r="AY411" s="539"/>
      <c r="AZ411" s="539"/>
      <c r="BA411" s="539"/>
      <c r="BB411" s="539"/>
      <c r="BC411" s="539"/>
      <c r="BD411" s="539"/>
      <c r="BE411" s="539">
        <v>0</v>
      </c>
      <c r="BF411" s="539"/>
      <c r="BG411" s="539"/>
      <c r="BH411" s="539">
        <v>0</v>
      </c>
      <c r="BI411" s="539"/>
      <c r="BJ411" s="539"/>
      <c r="BK411" s="540">
        <f>53000000+16050000</f>
        <v>69050000</v>
      </c>
      <c r="BL411" s="540">
        <v>37450000</v>
      </c>
      <c r="BM411" s="540"/>
      <c r="BN411" s="553"/>
      <c r="BO411" s="553"/>
      <c r="BP411" s="553"/>
      <c r="BQ411" s="539">
        <v>0</v>
      </c>
      <c r="BR411" s="541"/>
      <c r="BS411" s="541"/>
      <c r="BT411" s="541"/>
      <c r="BU411" s="541"/>
      <c r="BV411" s="541"/>
      <c r="BW411" s="541"/>
      <c r="BX411" s="541"/>
      <c r="BY411" s="541"/>
      <c r="BZ411" s="539">
        <f t="shared" si="363"/>
        <v>69050000</v>
      </c>
      <c r="CA411" s="539">
        <f t="shared" si="364"/>
        <v>37450000</v>
      </c>
      <c r="CB411" s="539">
        <f t="shared" si="365"/>
        <v>0</v>
      </c>
    </row>
    <row r="412" spans="1:80" s="11" customFormat="1" ht="46.5" customHeight="1" x14ac:dyDescent="0.2">
      <c r="A412" s="54"/>
      <c r="B412" s="256"/>
      <c r="C412" s="28">
        <v>19</v>
      </c>
      <c r="D412" s="70" t="s">
        <v>461</v>
      </c>
      <c r="E412" s="346" t="s">
        <v>931</v>
      </c>
      <c r="F412" s="346" t="s">
        <v>928</v>
      </c>
      <c r="G412" s="68"/>
      <c r="H412" s="57">
        <v>86</v>
      </c>
      <c r="I412" s="56" t="s">
        <v>503</v>
      </c>
      <c r="J412" s="207">
        <v>0</v>
      </c>
      <c r="K412" s="237">
        <v>3</v>
      </c>
      <c r="L412" s="237">
        <v>0</v>
      </c>
      <c r="M412" s="851"/>
      <c r="N412" s="904"/>
      <c r="O412" s="857"/>
      <c r="P412" s="854"/>
      <c r="Q412" s="57" t="s">
        <v>67</v>
      </c>
      <c r="R412" s="539"/>
      <c r="S412" s="539"/>
      <c r="T412" s="539"/>
      <c r="U412" s="539"/>
      <c r="V412" s="539"/>
      <c r="W412" s="539"/>
      <c r="X412" s="539"/>
      <c r="Y412" s="539"/>
      <c r="Z412" s="539"/>
      <c r="AA412" s="539"/>
      <c r="AB412" s="539"/>
      <c r="AC412" s="539"/>
      <c r="AD412" s="539"/>
      <c r="AE412" s="539"/>
      <c r="AF412" s="539"/>
      <c r="AG412" s="539"/>
      <c r="AH412" s="539"/>
      <c r="AI412" s="539"/>
      <c r="AJ412" s="637"/>
      <c r="AK412" s="637"/>
      <c r="AL412" s="637"/>
      <c r="AM412" s="539"/>
      <c r="AN412" s="539"/>
      <c r="AO412" s="539"/>
      <c r="AP412" s="539"/>
      <c r="AQ412" s="539"/>
      <c r="AR412" s="539"/>
      <c r="AS412" s="539"/>
      <c r="AT412" s="539"/>
      <c r="AU412" s="539"/>
      <c r="AV412" s="539"/>
      <c r="AW412" s="539"/>
      <c r="AX412" s="539"/>
      <c r="AY412" s="539"/>
      <c r="AZ412" s="539"/>
      <c r="BA412" s="539"/>
      <c r="BB412" s="539"/>
      <c r="BC412" s="539"/>
      <c r="BD412" s="539"/>
      <c r="BE412" s="539"/>
      <c r="BF412" s="539"/>
      <c r="BG412" s="539"/>
      <c r="BH412" s="539"/>
      <c r="BI412" s="539"/>
      <c r="BJ412" s="539"/>
      <c r="BK412" s="540"/>
      <c r="BL412" s="540"/>
      <c r="BM412" s="540"/>
      <c r="BN412" s="553"/>
      <c r="BO412" s="553"/>
      <c r="BP412" s="553"/>
      <c r="BQ412" s="539"/>
      <c r="BR412" s="541"/>
      <c r="BS412" s="541"/>
      <c r="BT412" s="541"/>
      <c r="BU412" s="541"/>
      <c r="BV412" s="541"/>
      <c r="BW412" s="541"/>
      <c r="BX412" s="541"/>
      <c r="BY412" s="541"/>
      <c r="BZ412" s="539">
        <f t="shared" si="363"/>
        <v>0</v>
      </c>
      <c r="CA412" s="539">
        <f t="shared" si="364"/>
        <v>0</v>
      </c>
      <c r="CB412" s="539">
        <f t="shared" si="365"/>
        <v>0</v>
      </c>
    </row>
    <row r="413" spans="1:80" s="11" customFormat="1" ht="61.5" customHeight="1" x14ac:dyDescent="0.2">
      <c r="A413" s="54"/>
      <c r="B413" s="256"/>
      <c r="C413" s="28"/>
      <c r="D413" s="64"/>
      <c r="E413" s="354"/>
      <c r="F413" s="354"/>
      <c r="G413" s="68"/>
      <c r="H413" s="57">
        <v>89</v>
      </c>
      <c r="I413" s="56" t="s">
        <v>504</v>
      </c>
      <c r="J413" s="207" t="s">
        <v>42</v>
      </c>
      <c r="K413" s="237">
        <v>17500</v>
      </c>
      <c r="L413" s="237">
        <v>15732</v>
      </c>
      <c r="M413" s="851"/>
      <c r="N413" s="904"/>
      <c r="O413" s="857"/>
      <c r="P413" s="854"/>
      <c r="Q413" s="57" t="s">
        <v>67</v>
      </c>
      <c r="R413" s="539">
        <v>0</v>
      </c>
      <c r="S413" s="539"/>
      <c r="T413" s="539"/>
      <c r="U413" s="539">
        <v>0</v>
      </c>
      <c r="V413" s="539"/>
      <c r="W413" s="539"/>
      <c r="X413" s="539">
        <v>0</v>
      </c>
      <c r="Y413" s="539"/>
      <c r="Z413" s="539"/>
      <c r="AA413" s="539">
        <v>0</v>
      </c>
      <c r="AB413" s="539"/>
      <c r="AC413" s="539"/>
      <c r="AD413" s="539">
        <v>0</v>
      </c>
      <c r="AE413" s="539"/>
      <c r="AF413" s="539"/>
      <c r="AG413" s="539">
        <v>0</v>
      </c>
      <c r="AH413" s="539"/>
      <c r="AI413" s="539"/>
      <c r="AJ413" s="539"/>
      <c r="AK413" s="539"/>
      <c r="AL413" s="539"/>
      <c r="AM413" s="539"/>
      <c r="AN413" s="539"/>
      <c r="AO413" s="539"/>
      <c r="AP413" s="539"/>
      <c r="AQ413" s="539"/>
      <c r="AR413" s="539"/>
      <c r="AS413" s="539">
        <v>0</v>
      </c>
      <c r="AT413" s="539"/>
      <c r="AU413" s="539"/>
      <c r="AV413" s="539">
        <v>0</v>
      </c>
      <c r="AW413" s="539"/>
      <c r="AX413" s="539"/>
      <c r="AY413" s="539"/>
      <c r="AZ413" s="539"/>
      <c r="BA413" s="539"/>
      <c r="BB413" s="539"/>
      <c r="BC413" s="539"/>
      <c r="BD413" s="539"/>
      <c r="BE413" s="539">
        <v>0</v>
      </c>
      <c r="BF413" s="539"/>
      <c r="BG413" s="539"/>
      <c r="BH413" s="539">
        <v>0</v>
      </c>
      <c r="BI413" s="539"/>
      <c r="BJ413" s="539"/>
      <c r="BK413" s="540"/>
      <c r="BL413" s="540"/>
      <c r="BM413" s="540"/>
      <c r="BN413" s="553"/>
      <c r="BO413" s="553"/>
      <c r="BP413" s="553"/>
      <c r="BQ413" s="539">
        <v>0</v>
      </c>
      <c r="BR413" s="541"/>
      <c r="BS413" s="541"/>
      <c r="BT413" s="541"/>
      <c r="BU413" s="541"/>
      <c r="BV413" s="541"/>
      <c r="BW413" s="541"/>
      <c r="BX413" s="541"/>
      <c r="BY413" s="541"/>
      <c r="BZ413" s="539">
        <f t="shared" si="363"/>
        <v>0</v>
      </c>
      <c r="CA413" s="539">
        <f t="shared" si="364"/>
        <v>0</v>
      </c>
      <c r="CB413" s="539">
        <f t="shared" si="365"/>
        <v>0</v>
      </c>
    </row>
    <row r="414" spans="1:80" s="11" customFormat="1" ht="63" customHeight="1" x14ac:dyDescent="0.2">
      <c r="A414" s="54"/>
      <c r="B414" s="256"/>
      <c r="C414" s="28"/>
      <c r="D414" s="64"/>
      <c r="E414" s="354"/>
      <c r="F414" s="354"/>
      <c r="G414" s="68"/>
      <c r="H414" s="57">
        <v>90</v>
      </c>
      <c r="I414" s="56" t="s">
        <v>505</v>
      </c>
      <c r="J414" s="207">
        <v>100</v>
      </c>
      <c r="K414" s="237">
        <v>126</v>
      </c>
      <c r="L414" s="237">
        <v>124</v>
      </c>
      <c r="M414" s="851"/>
      <c r="N414" s="904"/>
      <c r="O414" s="857"/>
      <c r="P414" s="854"/>
      <c r="Q414" s="57" t="s">
        <v>67</v>
      </c>
      <c r="R414" s="539">
        <v>0</v>
      </c>
      <c r="S414" s="539"/>
      <c r="T414" s="539"/>
      <c r="U414" s="539">
        <v>0</v>
      </c>
      <c r="V414" s="539"/>
      <c r="W414" s="539"/>
      <c r="X414" s="539">
        <v>0</v>
      </c>
      <c r="Y414" s="539"/>
      <c r="Z414" s="539"/>
      <c r="AA414" s="539">
        <v>0</v>
      </c>
      <c r="AB414" s="539"/>
      <c r="AC414" s="539"/>
      <c r="AD414" s="539">
        <v>0</v>
      </c>
      <c r="AE414" s="539"/>
      <c r="AF414" s="539"/>
      <c r="AG414" s="539">
        <v>0</v>
      </c>
      <c r="AH414" s="539"/>
      <c r="AI414" s="539"/>
      <c r="AJ414" s="638"/>
      <c r="AK414" s="638"/>
      <c r="AL414" s="638"/>
      <c r="AM414" s="539"/>
      <c r="AN414" s="539"/>
      <c r="AO414" s="539"/>
      <c r="AP414" s="539"/>
      <c r="AQ414" s="539"/>
      <c r="AR414" s="539"/>
      <c r="AS414" s="539">
        <v>0</v>
      </c>
      <c r="AT414" s="539"/>
      <c r="AU414" s="539"/>
      <c r="AV414" s="539">
        <v>0</v>
      </c>
      <c r="AW414" s="539"/>
      <c r="AX414" s="539"/>
      <c r="AY414" s="539"/>
      <c r="AZ414" s="539"/>
      <c r="BA414" s="539"/>
      <c r="BB414" s="539"/>
      <c r="BC414" s="539"/>
      <c r="BD414" s="539"/>
      <c r="BE414" s="539">
        <v>0</v>
      </c>
      <c r="BF414" s="539"/>
      <c r="BG414" s="539"/>
      <c r="BH414" s="539">
        <v>0</v>
      </c>
      <c r="BI414" s="539"/>
      <c r="BJ414" s="539"/>
      <c r="BK414" s="540">
        <v>20000000</v>
      </c>
      <c r="BL414" s="540"/>
      <c r="BM414" s="540"/>
      <c r="BN414" s="553"/>
      <c r="BO414" s="553"/>
      <c r="BP414" s="553"/>
      <c r="BQ414" s="539">
        <v>0</v>
      </c>
      <c r="BR414" s="541"/>
      <c r="BS414" s="541"/>
      <c r="BT414" s="541"/>
      <c r="BU414" s="541"/>
      <c r="BV414" s="541"/>
      <c r="BW414" s="541"/>
      <c r="BX414" s="541"/>
      <c r="BY414" s="541"/>
      <c r="BZ414" s="539">
        <f t="shared" si="363"/>
        <v>20000000</v>
      </c>
      <c r="CA414" s="539">
        <f t="shared" si="364"/>
        <v>0</v>
      </c>
      <c r="CB414" s="539">
        <f t="shared" si="365"/>
        <v>0</v>
      </c>
    </row>
    <row r="415" spans="1:80" s="11" customFormat="1" ht="74.25" customHeight="1" x14ac:dyDescent="0.2">
      <c r="A415" s="54"/>
      <c r="B415" s="256"/>
      <c r="C415" s="28"/>
      <c r="D415" s="64"/>
      <c r="E415" s="354"/>
      <c r="F415" s="354"/>
      <c r="G415" s="68"/>
      <c r="H415" s="57">
        <v>91</v>
      </c>
      <c r="I415" s="56" t="s">
        <v>506</v>
      </c>
      <c r="J415" s="207">
        <v>0</v>
      </c>
      <c r="K415" s="237">
        <v>54</v>
      </c>
      <c r="L415" s="237">
        <v>0</v>
      </c>
      <c r="M415" s="851"/>
      <c r="N415" s="904"/>
      <c r="O415" s="857"/>
      <c r="P415" s="854"/>
      <c r="Q415" s="57" t="s">
        <v>51</v>
      </c>
      <c r="R415" s="539">
        <v>0</v>
      </c>
      <c r="S415" s="539"/>
      <c r="T415" s="539"/>
      <c r="U415" s="539">
        <v>0</v>
      </c>
      <c r="V415" s="539"/>
      <c r="W415" s="539"/>
      <c r="X415" s="539">
        <v>0</v>
      </c>
      <c r="Y415" s="539"/>
      <c r="Z415" s="539"/>
      <c r="AA415" s="539">
        <v>0</v>
      </c>
      <c r="AB415" s="539"/>
      <c r="AC415" s="539"/>
      <c r="AD415" s="539">
        <v>0</v>
      </c>
      <c r="AE415" s="539"/>
      <c r="AF415" s="539"/>
      <c r="AG415" s="539">
        <v>0</v>
      </c>
      <c r="AH415" s="539"/>
      <c r="AI415" s="539"/>
      <c r="AJ415" s="539"/>
      <c r="AK415" s="539"/>
      <c r="AL415" s="539"/>
      <c r="AM415" s="539"/>
      <c r="AN415" s="539"/>
      <c r="AO415" s="539"/>
      <c r="AP415" s="539"/>
      <c r="AQ415" s="539"/>
      <c r="AR415" s="539"/>
      <c r="AS415" s="539">
        <v>0</v>
      </c>
      <c r="AT415" s="539"/>
      <c r="AU415" s="539"/>
      <c r="AV415" s="539">
        <v>0</v>
      </c>
      <c r="AW415" s="539"/>
      <c r="AX415" s="539"/>
      <c r="AY415" s="539"/>
      <c r="AZ415" s="539"/>
      <c r="BA415" s="539"/>
      <c r="BB415" s="539"/>
      <c r="BC415" s="539"/>
      <c r="BD415" s="539"/>
      <c r="BE415" s="539">
        <v>0</v>
      </c>
      <c r="BF415" s="539"/>
      <c r="BG415" s="539"/>
      <c r="BH415" s="539">
        <v>0</v>
      </c>
      <c r="BI415" s="539"/>
      <c r="BJ415" s="539"/>
      <c r="BK415" s="540">
        <f>20000000+74000000</f>
        <v>94000000</v>
      </c>
      <c r="BL415" s="540"/>
      <c r="BM415" s="540"/>
      <c r="BN415" s="553"/>
      <c r="BO415" s="553"/>
      <c r="BP415" s="553"/>
      <c r="BQ415" s="539">
        <v>0</v>
      </c>
      <c r="BR415" s="541"/>
      <c r="BS415" s="541"/>
      <c r="BT415" s="541"/>
      <c r="BU415" s="541"/>
      <c r="BV415" s="541"/>
      <c r="BW415" s="541"/>
      <c r="BX415" s="541"/>
      <c r="BY415" s="541"/>
      <c r="BZ415" s="539">
        <f t="shared" si="363"/>
        <v>94000000</v>
      </c>
      <c r="CA415" s="539">
        <f t="shared" si="364"/>
        <v>0</v>
      </c>
      <c r="CB415" s="539">
        <f t="shared" si="365"/>
        <v>0</v>
      </c>
    </row>
    <row r="416" spans="1:80" s="11" customFormat="1" ht="91.5" customHeight="1" x14ac:dyDescent="0.2">
      <c r="A416" s="54"/>
      <c r="B416" s="256"/>
      <c r="C416" s="509"/>
      <c r="D416" s="517"/>
      <c r="E416" s="526"/>
      <c r="F416" s="526"/>
      <c r="G416" s="72"/>
      <c r="H416" s="57">
        <v>92</v>
      </c>
      <c r="I416" s="56" t="s">
        <v>507</v>
      </c>
      <c r="J416" s="207">
        <v>0</v>
      </c>
      <c r="K416" s="237">
        <v>2</v>
      </c>
      <c r="L416" s="237">
        <v>4</v>
      </c>
      <c r="M416" s="852"/>
      <c r="N416" s="905"/>
      <c r="O416" s="858"/>
      <c r="P416" s="855"/>
      <c r="Q416" s="57" t="s">
        <v>67</v>
      </c>
      <c r="R416" s="539"/>
      <c r="S416" s="539"/>
      <c r="T416" s="539"/>
      <c r="U416" s="539"/>
      <c r="V416" s="539"/>
      <c r="W416" s="539"/>
      <c r="X416" s="539"/>
      <c r="Y416" s="539"/>
      <c r="Z416" s="539"/>
      <c r="AA416" s="539"/>
      <c r="AB416" s="539"/>
      <c r="AC416" s="539"/>
      <c r="AD416" s="539"/>
      <c r="AE416" s="539"/>
      <c r="AF416" s="539"/>
      <c r="AG416" s="539"/>
      <c r="AH416" s="539"/>
      <c r="AI416" s="539"/>
      <c r="AJ416" s="539"/>
      <c r="AK416" s="539"/>
      <c r="AL416" s="539"/>
      <c r="AM416" s="539"/>
      <c r="AN416" s="539"/>
      <c r="AO416" s="539"/>
      <c r="AP416" s="539"/>
      <c r="AQ416" s="539"/>
      <c r="AR416" s="539"/>
      <c r="AS416" s="539"/>
      <c r="AT416" s="539"/>
      <c r="AU416" s="539"/>
      <c r="AV416" s="539"/>
      <c r="AW416" s="539"/>
      <c r="AX416" s="539"/>
      <c r="AY416" s="539"/>
      <c r="AZ416" s="539"/>
      <c r="BA416" s="539"/>
      <c r="BB416" s="539"/>
      <c r="BC416" s="539"/>
      <c r="BD416" s="539"/>
      <c r="BE416" s="539"/>
      <c r="BF416" s="539"/>
      <c r="BG416" s="539"/>
      <c r="BH416" s="539"/>
      <c r="BI416" s="539"/>
      <c r="BJ416" s="539"/>
      <c r="BK416" s="540"/>
      <c r="BL416" s="540"/>
      <c r="BM416" s="540"/>
      <c r="BN416" s="553"/>
      <c r="BO416" s="553"/>
      <c r="BP416" s="553"/>
      <c r="BQ416" s="539"/>
      <c r="BR416" s="541"/>
      <c r="BS416" s="541"/>
      <c r="BT416" s="541"/>
      <c r="BU416" s="541"/>
      <c r="BV416" s="541"/>
      <c r="BW416" s="541"/>
      <c r="BX416" s="541"/>
      <c r="BY416" s="541"/>
      <c r="BZ416" s="539">
        <f t="shared" si="363"/>
        <v>0</v>
      </c>
      <c r="CA416" s="539">
        <f t="shared" si="364"/>
        <v>0</v>
      </c>
      <c r="CB416" s="539">
        <f t="shared" si="365"/>
        <v>0</v>
      </c>
    </row>
    <row r="417" spans="1:80" s="459" customFormat="1" ht="15.75" x14ac:dyDescent="0.2">
      <c r="A417" s="54"/>
      <c r="B417" s="256"/>
      <c r="C417" s="510"/>
      <c r="D417" s="518"/>
      <c r="E417" s="510"/>
      <c r="F417" s="510"/>
      <c r="G417" s="350"/>
      <c r="H417" s="78"/>
      <c r="I417" s="77"/>
      <c r="J417" s="240"/>
      <c r="K417" s="246"/>
      <c r="L417" s="371"/>
      <c r="M417" s="246"/>
      <c r="N417" s="246"/>
      <c r="O417" s="78"/>
      <c r="P417" s="77"/>
      <c r="Q417" s="78"/>
      <c r="R417" s="548">
        <f t="shared" ref="R417:BY417" si="366">SUM(R407:R416)</f>
        <v>0</v>
      </c>
      <c r="S417" s="548">
        <f t="shared" si="366"/>
        <v>0</v>
      </c>
      <c r="T417" s="548">
        <f t="shared" si="366"/>
        <v>0</v>
      </c>
      <c r="U417" s="548">
        <f t="shared" si="366"/>
        <v>0</v>
      </c>
      <c r="V417" s="548">
        <f t="shared" si="366"/>
        <v>0</v>
      </c>
      <c r="W417" s="548">
        <f t="shared" si="366"/>
        <v>0</v>
      </c>
      <c r="X417" s="548">
        <f t="shared" si="366"/>
        <v>0</v>
      </c>
      <c r="Y417" s="548">
        <f t="shared" si="366"/>
        <v>0</v>
      </c>
      <c r="Z417" s="548">
        <f t="shared" si="366"/>
        <v>0</v>
      </c>
      <c r="AA417" s="548">
        <f t="shared" si="366"/>
        <v>0</v>
      </c>
      <c r="AB417" s="548">
        <f t="shared" si="366"/>
        <v>0</v>
      </c>
      <c r="AC417" s="548">
        <f t="shared" si="366"/>
        <v>0</v>
      </c>
      <c r="AD417" s="548">
        <f t="shared" si="366"/>
        <v>0</v>
      </c>
      <c r="AE417" s="548">
        <f t="shared" si="366"/>
        <v>0</v>
      </c>
      <c r="AF417" s="548">
        <f t="shared" si="366"/>
        <v>0</v>
      </c>
      <c r="AG417" s="548">
        <f t="shared" si="366"/>
        <v>0</v>
      </c>
      <c r="AH417" s="548">
        <f t="shared" si="366"/>
        <v>0</v>
      </c>
      <c r="AI417" s="548">
        <f t="shared" si="366"/>
        <v>0</v>
      </c>
      <c r="AJ417" s="548">
        <f t="shared" si="366"/>
        <v>0</v>
      </c>
      <c r="AK417" s="548">
        <f t="shared" si="366"/>
        <v>0</v>
      </c>
      <c r="AL417" s="548">
        <f t="shared" si="366"/>
        <v>0</v>
      </c>
      <c r="AM417" s="548">
        <f t="shared" si="366"/>
        <v>0</v>
      </c>
      <c r="AN417" s="548">
        <f t="shared" si="366"/>
        <v>0</v>
      </c>
      <c r="AO417" s="548">
        <f t="shared" si="366"/>
        <v>0</v>
      </c>
      <c r="AP417" s="548">
        <f t="shared" si="366"/>
        <v>0</v>
      </c>
      <c r="AQ417" s="548">
        <f t="shared" si="366"/>
        <v>0</v>
      </c>
      <c r="AR417" s="548">
        <f t="shared" si="366"/>
        <v>0</v>
      </c>
      <c r="AS417" s="548">
        <f t="shared" si="366"/>
        <v>0</v>
      </c>
      <c r="AT417" s="548">
        <f t="shared" si="366"/>
        <v>0</v>
      </c>
      <c r="AU417" s="548">
        <f t="shared" si="366"/>
        <v>0</v>
      </c>
      <c r="AV417" s="548">
        <f t="shared" si="366"/>
        <v>0</v>
      </c>
      <c r="AW417" s="548">
        <f t="shared" si="366"/>
        <v>0</v>
      </c>
      <c r="AX417" s="548">
        <f t="shared" si="366"/>
        <v>0</v>
      </c>
      <c r="AY417" s="548">
        <f t="shared" si="366"/>
        <v>0</v>
      </c>
      <c r="AZ417" s="548">
        <f t="shared" si="366"/>
        <v>0</v>
      </c>
      <c r="BA417" s="548">
        <f t="shared" si="366"/>
        <v>0</v>
      </c>
      <c r="BB417" s="548">
        <f t="shared" si="366"/>
        <v>0</v>
      </c>
      <c r="BC417" s="548">
        <f t="shared" si="366"/>
        <v>0</v>
      </c>
      <c r="BD417" s="548">
        <f t="shared" si="366"/>
        <v>0</v>
      </c>
      <c r="BE417" s="548">
        <f t="shared" si="366"/>
        <v>0</v>
      </c>
      <c r="BF417" s="548">
        <f t="shared" si="366"/>
        <v>0</v>
      </c>
      <c r="BG417" s="548">
        <f t="shared" si="366"/>
        <v>0</v>
      </c>
      <c r="BH417" s="548">
        <f t="shared" si="366"/>
        <v>0</v>
      </c>
      <c r="BI417" s="548">
        <f t="shared" si="366"/>
        <v>0</v>
      </c>
      <c r="BJ417" s="548">
        <f t="shared" si="366"/>
        <v>0</v>
      </c>
      <c r="BK417" s="548">
        <f t="shared" si="366"/>
        <v>331200000</v>
      </c>
      <c r="BL417" s="548">
        <f t="shared" si="366"/>
        <v>112350000</v>
      </c>
      <c r="BM417" s="548">
        <f t="shared" si="366"/>
        <v>16050000</v>
      </c>
      <c r="BN417" s="548">
        <f t="shared" si="366"/>
        <v>0</v>
      </c>
      <c r="BO417" s="548">
        <f t="shared" si="366"/>
        <v>0</v>
      </c>
      <c r="BP417" s="548">
        <f t="shared" si="366"/>
        <v>0</v>
      </c>
      <c r="BQ417" s="548">
        <f t="shared" si="366"/>
        <v>0</v>
      </c>
      <c r="BR417" s="548">
        <f t="shared" si="366"/>
        <v>0</v>
      </c>
      <c r="BS417" s="548">
        <f t="shared" si="366"/>
        <v>0</v>
      </c>
      <c r="BT417" s="548">
        <f t="shared" si="366"/>
        <v>0</v>
      </c>
      <c r="BU417" s="548">
        <f t="shared" si="366"/>
        <v>0</v>
      </c>
      <c r="BV417" s="548">
        <f t="shared" si="366"/>
        <v>0</v>
      </c>
      <c r="BW417" s="548">
        <f t="shared" si="366"/>
        <v>0</v>
      </c>
      <c r="BX417" s="548">
        <f t="shared" si="366"/>
        <v>0</v>
      </c>
      <c r="BY417" s="548">
        <f t="shared" si="366"/>
        <v>0</v>
      </c>
      <c r="BZ417" s="548">
        <f t="shared" ref="BZ417" si="367">SUM(BZ407:BZ416)</f>
        <v>331200000</v>
      </c>
      <c r="CA417" s="548">
        <f t="shared" ref="CA417:CB417" si="368">SUM(CA407:CA416)</f>
        <v>112350000</v>
      </c>
      <c r="CB417" s="548">
        <f t="shared" si="368"/>
        <v>16050000</v>
      </c>
    </row>
    <row r="418" spans="1:80" s="459" customFormat="1" ht="15.75" x14ac:dyDescent="0.2">
      <c r="A418" s="54"/>
      <c r="B418" s="54"/>
      <c r="C418" s="92"/>
      <c r="D418" s="91"/>
      <c r="E418" s="333"/>
      <c r="F418" s="333"/>
      <c r="G418" s="91"/>
      <c r="H418" s="92"/>
      <c r="I418" s="91"/>
      <c r="J418" s="244"/>
      <c r="K418" s="247"/>
      <c r="L418" s="353"/>
      <c r="M418" s="257"/>
      <c r="N418" s="258"/>
      <c r="O418" s="499"/>
      <c r="P418" s="124"/>
      <c r="Q418" s="92"/>
      <c r="R418" s="543"/>
      <c r="S418" s="543"/>
      <c r="T418" s="543"/>
      <c r="U418" s="544"/>
      <c r="V418" s="544"/>
      <c r="W418" s="544"/>
      <c r="X418" s="543"/>
      <c r="Y418" s="543"/>
      <c r="Z418" s="543"/>
      <c r="AA418" s="543"/>
      <c r="AB418" s="543"/>
      <c r="AC418" s="543"/>
      <c r="AD418" s="543"/>
      <c r="AE418" s="543"/>
      <c r="AF418" s="543"/>
      <c r="AG418" s="543"/>
      <c r="AH418" s="543"/>
      <c r="AI418" s="543"/>
      <c r="AJ418" s="543"/>
      <c r="AK418" s="543"/>
      <c r="AL418" s="543"/>
      <c r="AM418" s="543"/>
      <c r="AN418" s="543"/>
      <c r="AO418" s="543"/>
      <c r="AP418" s="543"/>
      <c r="AQ418" s="543"/>
      <c r="AR418" s="543"/>
      <c r="AS418" s="543"/>
      <c r="AT418" s="543"/>
      <c r="AU418" s="543"/>
      <c r="AV418" s="543"/>
      <c r="AW418" s="543"/>
      <c r="AX418" s="543"/>
      <c r="AY418" s="543"/>
      <c r="AZ418" s="543"/>
      <c r="BA418" s="543"/>
      <c r="BB418" s="543"/>
      <c r="BC418" s="543"/>
      <c r="BD418" s="543"/>
      <c r="BE418" s="543"/>
      <c r="BF418" s="543"/>
      <c r="BG418" s="543"/>
      <c r="BH418" s="543"/>
      <c r="BI418" s="570"/>
      <c r="BJ418" s="570"/>
      <c r="BK418" s="630"/>
      <c r="BL418" s="630"/>
      <c r="BM418" s="630"/>
      <c r="BN418" s="543"/>
      <c r="BO418" s="543"/>
      <c r="BP418" s="543"/>
      <c r="BQ418" s="543"/>
      <c r="BR418" s="543"/>
      <c r="BS418" s="543"/>
      <c r="BT418" s="543"/>
      <c r="BU418" s="543"/>
      <c r="BV418" s="543"/>
      <c r="BW418" s="543"/>
      <c r="BX418" s="543"/>
      <c r="BY418" s="543"/>
      <c r="BZ418" s="547"/>
      <c r="CA418" s="547"/>
      <c r="CB418" s="547"/>
    </row>
    <row r="419" spans="1:80" s="459" customFormat="1" ht="15.75" x14ac:dyDescent="0.2">
      <c r="A419" s="54"/>
      <c r="B419" s="54"/>
      <c r="C419" s="508"/>
      <c r="D419" s="516"/>
      <c r="E419" s="508"/>
      <c r="F419" s="508"/>
      <c r="G419" s="169">
        <v>21</v>
      </c>
      <c r="H419" s="211" t="s">
        <v>508</v>
      </c>
      <c r="I419" s="100"/>
      <c r="J419" s="100"/>
      <c r="K419" s="186"/>
      <c r="L419" s="278"/>
      <c r="M419" s="186"/>
      <c r="N419" s="100"/>
      <c r="O419" s="212"/>
      <c r="P419" s="100"/>
      <c r="Q419" s="100"/>
      <c r="R419" s="336"/>
      <c r="S419" s="336"/>
      <c r="T419" s="336"/>
      <c r="U419" s="336"/>
      <c r="V419" s="336"/>
      <c r="W419" s="336"/>
      <c r="X419" s="336"/>
      <c r="Y419" s="336"/>
      <c r="Z419" s="336"/>
      <c r="AA419" s="336"/>
      <c r="AB419" s="336"/>
      <c r="AC419" s="336"/>
      <c r="AD419" s="336"/>
      <c r="AE419" s="336"/>
      <c r="AF419" s="336"/>
      <c r="AG419" s="336"/>
      <c r="AH419" s="336"/>
      <c r="AI419" s="336"/>
      <c r="AJ419" s="336"/>
      <c r="AK419" s="336"/>
      <c r="AL419" s="336"/>
      <c r="AM419" s="336"/>
      <c r="AN419" s="336"/>
      <c r="AO419" s="336"/>
      <c r="AP419" s="336"/>
      <c r="AQ419" s="336"/>
      <c r="AR419" s="336"/>
      <c r="AS419" s="336"/>
      <c r="AT419" s="336"/>
      <c r="AU419" s="336"/>
      <c r="AV419" s="336"/>
      <c r="AW419" s="336"/>
      <c r="AX419" s="336"/>
      <c r="AY419" s="336"/>
      <c r="AZ419" s="336"/>
      <c r="BA419" s="336"/>
      <c r="BB419" s="336"/>
      <c r="BC419" s="336"/>
      <c r="BD419" s="336"/>
      <c r="BE419" s="336"/>
      <c r="BF419" s="336"/>
      <c r="BG419" s="336"/>
      <c r="BH419" s="336"/>
      <c r="BI419" s="336"/>
      <c r="BJ419" s="336"/>
      <c r="BK419" s="552"/>
      <c r="BL419" s="552"/>
      <c r="BM419" s="552"/>
      <c r="BN419" s="336"/>
      <c r="BO419" s="336"/>
      <c r="BP419" s="336"/>
      <c r="BQ419" s="336"/>
      <c r="BR419" s="336"/>
      <c r="BS419" s="336"/>
      <c r="BT419" s="336"/>
      <c r="BU419" s="336"/>
      <c r="BV419" s="336"/>
      <c r="BW419" s="336"/>
      <c r="BX419" s="336"/>
      <c r="BY419" s="336"/>
      <c r="BZ419" s="338"/>
      <c r="CA419" s="338"/>
      <c r="CB419" s="338"/>
    </row>
    <row r="420" spans="1:80" s="11" customFormat="1" ht="75.75" customHeight="1" x14ac:dyDescent="0.2">
      <c r="A420" s="54"/>
      <c r="B420" s="256"/>
      <c r="C420" s="509">
        <v>14</v>
      </c>
      <c r="D420" s="64" t="s">
        <v>463</v>
      </c>
      <c r="E420" s="526">
        <v>6.2E-2</v>
      </c>
      <c r="F420" s="526">
        <v>0.03</v>
      </c>
      <c r="G420" s="200"/>
      <c r="H420" s="57">
        <v>93</v>
      </c>
      <c r="I420" s="56" t="s">
        <v>509</v>
      </c>
      <c r="J420" s="207" t="s">
        <v>42</v>
      </c>
      <c r="K420" s="237">
        <v>32</v>
      </c>
      <c r="L420" s="237">
        <v>20</v>
      </c>
      <c r="M420" s="850">
        <v>2017003630038</v>
      </c>
      <c r="N420" s="903" t="s">
        <v>458</v>
      </c>
      <c r="O420" s="856" t="s">
        <v>510</v>
      </c>
      <c r="P420" s="853" t="s">
        <v>511</v>
      </c>
      <c r="Q420" s="57" t="s">
        <v>67</v>
      </c>
      <c r="R420" s="539">
        <v>0</v>
      </c>
      <c r="S420" s="539"/>
      <c r="T420" s="539"/>
      <c r="U420" s="566">
        <v>0</v>
      </c>
      <c r="V420" s="566"/>
      <c r="W420" s="566"/>
      <c r="X420" s="539">
        <v>0</v>
      </c>
      <c r="Y420" s="539"/>
      <c r="Z420" s="539"/>
      <c r="AA420" s="539">
        <v>0</v>
      </c>
      <c r="AB420" s="539"/>
      <c r="AC420" s="539"/>
      <c r="AD420" s="539">
        <v>0</v>
      </c>
      <c r="AE420" s="539"/>
      <c r="AF420" s="539"/>
      <c r="AG420" s="539">
        <v>0</v>
      </c>
      <c r="AH420" s="539"/>
      <c r="AI420" s="539"/>
      <c r="AJ420" s="539">
        <v>0</v>
      </c>
      <c r="AK420" s="539"/>
      <c r="AL420" s="539"/>
      <c r="AM420" s="539"/>
      <c r="AN420" s="539"/>
      <c r="AO420" s="539"/>
      <c r="AP420" s="539"/>
      <c r="AQ420" s="539"/>
      <c r="AR420" s="539"/>
      <c r="AS420" s="539">
        <v>0</v>
      </c>
      <c r="AT420" s="539"/>
      <c r="AU420" s="539"/>
      <c r="AV420" s="539">
        <v>0</v>
      </c>
      <c r="AW420" s="633"/>
      <c r="AX420" s="633"/>
      <c r="AY420" s="639"/>
      <c r="AZ420" s="639"/>
      <c r="BA420" s="639"/>
      <c r="BB420" s="633"/>
      <c r="BC420" s="633"/>
      <c r="BD420" s="633"/>
      <c r="BE420" s="539">
        <v>0</v>
      </c>
      <c r="BF420" s="539"/>
      <c r="BG420" s="539"/>
      <c r="BH420" s="539">
        <v>0</v>
      </c>
      <c r="BI420" s="539"/>
      <c r="BJ420" s="539"/>
      <c r="BK420" s="540">
        <v>59100000</v>
      </c>
      <c r="BL420" s="540"/>
      <c r="BM420" s="540"/>
      <c r="BN420" s="553"/>
      <c r="BO420" s="553"/>
      <c r="BP420" s="553"/>
      <c r="BQ420" s="539">
        <v>0</v>
      </c>
      <c r="BR420" s="541"/>
      <c r="BS420" s="541"/>
      <c r="BT420" s="541"/>
      <c r="BU420" s="541"/>
      <c r="BV420" s="541"/>
      <c r="BW420" s="541"/>
      <c r="BX420" s="541"/>
      <c r="BY420" s="541"/>
      <c r="BZ420" s="539">
        <f t="shared" ref="BZ420:BZ423" si="369">R420+U420+X420+AA420+AD420+AG420+AJ420+AM420+AP420+AS420+AV420+AY420+BB420+BE420+BH420+BK420+BN420+BQ420+BT420+BW420</f>
        <v>59100000</v>
      </c>
      <c r="CA420" s="539">
        <f t="shared" ref="CA420:CA423" si="370">S420+V420+Y420+AB420+AE420+AH420+AK420+AN420+AQ420+AT420+AW420+AZ420+BC420+BF420+BI420+BL420+BO420+BR420+BU420+BX420</f>
        <v>0</v>
      </c>
      <c r="CB420" s="539">
        <f t="shared" ref="CB420:CB423" si="371">T420+W420+Z420+AC420+AF420+AI420+AL420+AO420+AR420+AU420+AX420+BA420+BD420+BG420+BJ420+BM420+BP420+BS420+BV420+BY420</f>
        <v>0</v>
      </c>
    </row>
    <row r="421" spans="1:80" s="11" customFormat="1" ht="71.25" customHeight="1" x14ac:dyDescent="0.2">
      <c r="A421" s="54"/>
      <c r="B421" s="256"/>
      <c r="C421" s="509">
        <v>15</v>
      </c>
      <c r="D421" s="517" t="s">
        <v>456</v>
      </c>
      <c r="E421" s="526">
        <v>0.73229999999999995</v>
      </c>
      <c r="F421" s="526">
        <v>0.78</v>
      </c>
      <c r="G421" s="68"/>
      <c r="H421" s="57">
        <v>94</v>
      </c>
      <c r="I421" s="56" t="s">
        <v>512</v>
      </c>
      <c r="J421" s="207">
        <v>70</v>
      </c>
      <c r="K421" s="237">
        <v>40</v>
      </c>
      <c r="L421" s="237">
        <v>0</v>
      </c>
      <c r="M421" s="851"/>
      <c r="N421" s="904"/>
      <c r="O421" s="857"/>
      <c r="P421" s="854"/>
      <c r="Q421" s="57" t="s">
        <v>67</v>
      </c>
      <c r="R421" s="539">
        <v>0</v>
      </c>
      <c r="S421" s="539"/>
      <c r="T421" s="539"/>
      <c r="U421" s="566">
        <v>0</v>
      </c>
      <c r="V421" s="566"/>
      <c r="W421" s="566"/>
      <c r="X421" s="539">
        <v>0</v>
      </c>
      <c r="Y421" s="539"/>
      <c r="Z421" s="539"/>
      <c r="AA421" s="539">
        <v>0</v>
      </c>
      <c r="AB421" s="539"/>
      <c r="AC421" s="539"/>
      <c r="AD421" s="539">
        <v>0</v>
      </c>
      <c r="AE421" s="539"/>
      <c r="AF421" s="539"/>
      <c r="AG421" s="539">
        <v>0</v>
      </c>
      <c r="AH421" s="539"/>
      <c r="AI421" s="539"/>
      <c r="AJ421" s="539">
        <v>0</v>
      </c>
      <c r="AK421" s="539"/>
      <c r="AL421" s="539"/>
      <c r="AM421" s="539"/>
      <c r="AN421" s="539"/>
      <c r="AO421" s="539"/>
      <c r="AP421" s="539"/>
      <c r="AQ421" s="539"/>
      <c r="AR421" s="539"/>
      <c r="AS421" s="539">
        <v>0</v>
      </c>
      <c r="AT421" s="539"/>
      <c r="AU421" s="539"/>
      <c r="AV421" s="539">
        <v>0</v>
      </c>
      <c r="AW421" s="539"/>
      <c r="AX421" s="539"/>
      <c r="AY421" s="540">
        <f>50000000+177770022</f>
        <v>227770022</v>
      </c>
      <c r="AZ421" s="540"/>
      <c r="BA421" s="540"/>
      <c r="BB421" s="540"/>
      <c r="BC421" s="540"/>
      <c r="BD421" s="540"/>
      <c r="BE421" s="539">
        <v>0</v>
      </c>
      <c r="BF421" s="539"/>
      <c r="BG421" s="539"/>
      <c r="BH421" s="539">
        <v>0</v>
      </c>
      <c r="BI421" s="539"/>
      <c r="BJ421" s="539"/>
      <c r="BK421" s="540">
        <f>22000000+55000000</f>
        <v>77000000</v>
      </c>
      <c r="BL421" s="540"/>
      <c r="BM421" s="540"/>
      <c r="BN421" s="553"/>
      <c r="BO421" s="553"/>
      <c r="BP421" s="553"/>
      <c r="BQ421" s="539">
        <v>0</v>
      </c>
      <c r="BR421" s="541"/>
      <c r="BS421" s="541"/>
      <c r="BT421" s="541"/>
      <c r="BU421" s="541"/>
      <c r="BV421" s="541"/>
      <c r="BW421" s="541"/>
      <c r="BX421" s="541"/>
      <c r="BY421" s="541"/>
      <c r="BZ421" s="539">
        <f t="shared" si="369"/>
        <v>304770022</v>
      </c>
      <c r="CA421" s="539">
        <f t="shared" si="370"/>
        <v>0</v>
      </c>
      <c r="CB421" s="539">
        <f t="shared" si="371"/>
        <v>0</v>
      </c>
    </row>
    <row r="422" spans="1:80" s="11" customFormat="1" ht="66.75" customHeight="1" x14ac:dyDescent="0.2">
      <c r="A422" s="54"/>
      <c r="B422" s="256"/>
      <c r="C422" s="509">
        <v>19</v>
      </c>
      <c r="D422" s="517" t="s">
        <v>461</v>
      </c>
      <c r="E422" s="526" t="s">
        <v>931</v>
      </c>
      <c r="F422" s="526" t="s">
        <v>932</v>
      </c>
      <c r="G422" s="68"/>
      <c r="H422" s="57">
        <v>95</v>
      </c>
      <c r="I422" s="56" t="s">
        <v>513</v>
      </c>
      <c r="J422" s="207">
        <v>0</v>
      </c>
      <c r="K422" s="237">
        <v>500</v>
      </c>
      <c r="L422" s="237">
        <v>0</v>
      </c>
      <c r="M422" s="851"/>
      <c r="N422" s="904"/>
      <c r="O422" s="857"/>
      <c r="P422" s="854"/>
      <c r="Q422" s="57" t="s">
        <v>51</v>
      </c>
      <c r="R422" s="539">
        <v>0</v>
      </c>
      <c r="S422" s="539"/>
      <c r="T422" s="539"/>
      <c r="U422" s="566">
        <v>0</v>
      </c>
      <c r="V422" s="566"/>
      <c r="W422" s="566"/>
      <c r="X422" s="539">
        <v>0</v>
      </c>
      <c r="Y422" s="539"/>
      <c r="Z422" s="539"/>
      <c r="AA422" s="539">
        <v>0</v>
      </c>
      <c r="AB422" s="539"/>
      <c r="AC422" s="539"/>
      <c r="AD422" s="539">
        <v>0</v>
      </c>
      <c r="AE422" s="539"/>
      <c r="AF422" s="539"/>
      <c r="AG422" s="539">
        <v>0</v>
      </c>
      <c r="AH422" s="539"/>
      <c r="AI422" s="539"/>
      <c r="AJ422" s="539">
        <v>0</v>
      </c>
      <c r="AK422" s="539"/>
      <c r="AL422" s="539"/>
      <c r="AM422" s="539"/>
      <c r="AN422" s="539"/>
      <c r="AO422" s="539"/>
      <c r="AP422" s="539"/>
      <c r="AQ422" s="539"/>
      <c r="AR422" s="539"/>
      <c r="AS422" s="539">
        <v>0</v>
      </c>
      <c r="AT422" s="539"/>
      <c r="AU422" s="539"/>
      <c r="AV422" s="539">
        <v>0</v>
      </c>
      <c r="AW422" s="539"/>
      <c r="AX422" s="539"/>
      <c r="AY422" s="640">
        <v>10000000</v>
      </c>
      <c r="AZ422" s="640"/>
      <c r="BA422" s="640"/>
      <c r="BB422" s="540"/>
      <c r="BC422" s="540"/>
      <c r="BD422" s="540"/>
      <c r="BE422" s="539">
        <v>0</v>
      </c>
      <c r="BF422" s="539"/>
      <c r="BG422" s="539"/>
      <c r="BH422" s="539">
        <v>0</v>
      </c>
      <c r="BI422" s="541"/>
      <c r="BJ422" s="541"/>
      <c r="BK422" s="641"/>
      <c r="BL422" s="641"/>
      <c r="BM422" s="641"/>
      <c r="BN422" s="553"/>
      <c r="BO422" s="553"/>
      <c r="BP422" s="553"/>
      <c r="BQ422" s="539">
        <v>0</v>
      </c>
      <c r="BR422" s="541"/>
      <c r="BS422" s="541"/>
      <c r="BT422" s="541"/>
      <c r="BU422" s="541"/>
      <c r="BV422" s="541"/>
      <c r="BW422" s="541"/>
      <c r="BX422" s="541"/>
      <c r="BY422" s="541"/>
      <c r="BZ422" s="539">
        <f t="shared" si="369"/>
        <v>10000000</v>
      </c>
      <c r="CA422" s="539">
        <f t="shared" si="370"/>
        <v>0</v>
      </c>
      <c r="CB422" s="539">
        <f t="shared" si="371"/>
        <v>0</v>
      </c>
    </row>
    <row r="423" spans="1:80" s="11" customFormat="1" ht="65.25" customHeight="1" x14ac:dyDescent="0.2">
      <c r="A423" s="54"/>
      <c r="B423" s="256"/>
      <c r="C423" s="509"/>
      <c r="D423" s="64"/>
      <c r="E423" s="64"/>
      <c r="F423" s="697"/>
      <c r="G423" s="72"/>
      <c r="H423" s="57">
        <v>96</v>
      </c>
      <c r="I423" s="56" t="s">
        <v>514</v>
      </c>
      <c r="J423" s="207">
        <v>0</v>
      </c>
      <c r="K423" s="237">
        <v>2</v>
      </c>
      <c r="L423" s="237">
        <v>0</v>
      </c>
      <c r="M423" s="852"/>
      <c r="N423" s="905"/>
      <c r="O423" s="858"/>
      <c r="P423" s="855"/>
      <c r="Q423" s="57" t="s">
        <v>67</v>
      </c>
      <c r="R423" s="539">
        <v>0</v>
      </c>
      <c r="S423" s="539"/>
      <c r="T423" s="539"/>
      <c r="U423" s="566">
        <v>0</v>
      </c>
      <c r="V423" s="566"/>
      <c r="W423" s="566"/>
      <c r="X423" s="539">
        <v>0</v>
      </c>
      <c r="Y423" s="539"/>
      <c r="Z423" s="539"/>
      <c r="AA423" s="539">
        <v>0</v>
      </c>
      <c r="AB423" s="539"/>
      <c r="AC423" s="539"/>
      <c r="AD423" s="539">
        <v>0</v>
      </c>
      <c r="AE423" s="539"/>
      <c r="AF423" s="539"/>
      <c r="AG423" s="539">
        <v>0</v>
      </c>
      <c r="AH423" s="539"/>
      <c r="AI423" s="539"/>
      <c r="AJ423" s="539">
        <v>0</v>
      </c>
      <c r="AK423" s="539"/>
      <c r="AL423" s="539"/>
      <c r="AM423" s="539"/>
      <c r="AN423" s="539"/>
      <c r="AO423" s="539"/>
      <c r="AP423" s="539"/>
      <c r="AQ423" s="539"/>
      <c r="AR423" s="539"/>
      <c r="AS423" s="539">
        <v>0</v>
      </c>
      <c r="AT423" s="539"/>
      <c r="AU423" s="539"/>
      <c r="AV423" s="539">
        <v>0</v>
      </c>
      <c r="AW423" s="539"/>
      <c r="AX423" s="539"/>
      <c r="AY423" s="640">
        <v>20000000</v>
      </c>
      <c r="AZ423" s="640"/>
      <c r="BA423" s="640"/>
      <c r="BB423" s="540"/>
      <c r="BC423" s="540"/>
      <c r="BD423" s="540"/>
      <c r="BE423" s="539">
        <v>0</v>
      </c>
      <c r="BF423" s="539"/>
      <c r="BG423" s="539"/>
      <c r="BH423" s="539">
        <v>0</v>
      </c>
      <c r="BI423" s="541"/>
      <c r="BJ423" s="541"/>
      <c r="BK423" s="641"/>
      <c r="BL423" s="641"/>
      <c r="BM423" s="641"/>
      <c r="BN423" s="553"/>
      <c r="BO423" s="553"/>
      <c r="BP423" s="553"/>
      <c r="BQ423" s="539">
        <v>0</v>
      </c>
      <c r="BR423" s="541"/>
      <c r="BS423" s="541"/>
      <c r="BT423" s="541"/>
      <c r="BU423" s="541"/>
      <c r="BV423" s="541"/>
      <c r="BW423" s="541"/>
      <c r="BX423" s="541"/>
      <c r="BY423" s="541"/>
      <c r="BZ423" s="539">
        <f t="shared" si="369"/>
        <v>20000000</v>
      </c>
      <c r="CA423" s="539">
        <f t="shared" si="370"/>
        <v>0</v>
      </c>
      <c r="CB423" s="539">
        <f t="shared" si="371"/>
        <v>0</v>
      </c>
    </row>
    <row r="424" spans="1:80" s="459" customFormat="1" ht="15.75" x14ac:dyDescent="0.2">
      <c r="A424" s="54"/>
      <c r="B424" s="54"/>
      <c r="C424" s="510"/>
      <c r="D424" s="518"/>
      <c r="E424" s="510"/>
      <c r="F424" s="510"/>
      <c r="G424" s="77"/>
      <c r="H424" s="78"/>
      <c r="I424" s="77"/>
      <c r="J424" s="240"/>
      <c r="K424" s="246"/>
      <c r="L424" s="371"/>
      <c r="M424" s="246"/>
      <c r="N424" s="246"/>
      <c r="O424" s="78"/>
      <c r="P424" s="77"/>
      <c r="Q424" s="78"/>
      <c r="R424" s="548">
        <f t="shared" ref="R424:BZ424" si="372">SUM(R420:R423)</f>
        <v>0</v>
      </c>
      <c r="S424" s="548">
        <f t="shared" si="372"/>
        <v>0</v>
      </c>
      <c r="T424" s="548">
        <f t="shared" si="372"/>
        <v>0</v>
      </c>
      <c r="U424" s="548">
        <f t="shared" si="372"/>
        <v>0</v>
      </c>
      <c r="V424" s="548">
        <f t="shared" si="372"/>
        <v>0</v>
      </c>
      <c r="W424" s="548">
        <f t="shared" si="372"/>
        <v>0</v>
      </c>
      <c r="X424" s="548">
        <f t="shared" si="372"/>
        <v>0</v>
      </c>
      <c r="Y424" s="548">
        <f t="shared" si="372"/>
        <v>0</v>
      </c>
      <c r="Z424" s="548">
        <f t="shared" si="372"/>
        <v>0</v>
      </c>
      <c r="AA424" s="548">
        <f t="shared" si="372"/>
        <v>0</v>
      </c>
      <c r="AB424" s="548">
        <f t="shared" si="372"/>
        <v>0</v>
      </c>
      <c r="AC424" s="548">
        <f t="shared" si="372"/>
        <v>0</v>
      </c>
      <c r="AD424" s="548">
        <f t="shared" si="372"/>
        <v>0</v>
      </c>
      <c r="AE424" s="548">
        <f t="shared" si="372"/>
        <v>0</v>
      </c>
      <c r="AF424" s="548">
        <f t="shared" si="372"/>
        <v>0</v>
      </c>
      <c r="AG424" s="548">
        <f t="shared" si="372"/>
        <v>0</v>
      </c>
      <c r="AH424" s="548">
        <f t="shared" si="372"/>
        <v>0</v>
      </c>
      <c r="AI424" s="548">
        <f t="shared" si="372"/>
        <v>0</v>
      </c>
      <c r="AJ424" s="548">
        <f t="shared" si="372"/>
        <v>0</v>
      </c>
      <c r="AK424" s="548">
        <f t="shared" si="372"/>
        <v>0</v>
      </c>
      <c r="AL424" s="548">
        <f t="shared" si="372"/>
        <v>0</v>
      </c>
      <c r="AM424" s="548">
        <f t="shared" si="372"/>
        <v>0</v>
      </c>
      <c r="AN424" s="548">
        <f t="shared" si="372"/>
        <v>0</v>
      </c>
      <c r="AO424" s="548">
        <f t="shared" si="372"/>
        <v>0</v>
      </c>
      <c r="AP424" s="548">
        <f t="shared" si="372"/>
        <v>0</v>
      </c>
      <c r="AQ424" s="548">
        <f t="shared" si="372"/>
        <v>0</v>
      </c>
      <c r="AR424" s="548">
        <f t="shared" si="372"/>
        <v>0</v>
      </c>
      <c r="AS424" s="548">
        <f t="shared" si="372"/>
        <v>0</v>
      </c>
      <c r="AT424" s="548">
        <f t="shared" si="372"/>
        <v>0</v>
      </c>
      <c r="AU424" s="548">
        <f t="shared" si="372"/>
        <v>0</v>
      </c>
      <c r="AV424" s="548">
        <f t="shared" si="372"/>
        <v>0</v>
      </c>
      <c r="AW424" s="548">
        <f t="shared" si="372"/>
        <v>0</v>
      </c>
      <c r="AX424" s="548">
        <f t="shared" si="372"/>
        <v>0</v>
      </c>
      <c r="AY424" s="548">
        <f t="shared" si="372"/>
        <v>257770022</v>
      </c>
      <c r="AZ424" s="548">
        <f t="shared" si="372"/>
        <v>0</v>
      </c>
      <c r="BA424" s="548">
        <f t="shared" si="372"/>
        <v>0</v>
      </c>
      <c r="BB424" s="548">
        <f t="shared" si="372"/>
        <v>0</v>
      </c>
      <c r="BC424" s="548">
        <f t="shared" si="372"/>
        <v>0</v>
      </c>
      <c r="BD424" s="548">
        <f t="shared" si="372"/>
        <v>0</v>
      </c>
      <c r="BE424" s="548">
        <f t="shared" si="372"/>
        <v>0</v>
      </c>
      <c r="BF424" s="548">
        <f t="shared" si="372"/>
        <v>0</v>
      </c>
      <c r="BG424" s="548">
        <f t="shared" si="372"/>
        <v>0</v>
      </c>
      <c r="BH424" s="548">
        <f t="shared" si="372"/>
        <v>0</v>
      </c>
      <c r="BI424" s="548">
        <f t="shared" si="372"/>
        <v>0</v>
      </c>
      <c r="BJ424" s="548">
        <f t="shared" si="372"/>
        <v>0</v>
      </c>
      <c r="BK424" s="548">
        <f t="shared" si="372"/>
        <v>136100000</v>
      </c>
      <c r="BL424" s="548">
        <f t="shared" si="372"/>
        <v>0</v>
      </c>
      <c r="BM424" s="548">
        <f t="shared" si="372"/>
        <v>0</v>
      </c>
      <c r="BN424" s="548">
        <f t="shared" si="372"/>
        <v>0</v>
      </c>
      <c r="BO424" s="548">
        <f t="shared" si="372"/>
        <v>0</v>
      </c>
      <c r="BP424" s="548">
        <f t="shared" si="372"/>
        <v>0</v>
      </c>
      <c r="BQ424" s="548">
        <f t="shared" si="372"/>
        <v>0</v>
      </c>
      <c r="BR424" s="548">
        <f t="shared" si="372"/>
        <v>0</v>
      </c>
      <c r="BS424" s="548">
        <f t="shared" si="372"/>
        <v>0</v>
      </c>
      <c r="BT424" s="548">
        <f t="shared" si="372"/>
        <v>0</v>
      </c>
      <c r="BU424" s="548">
        <f t="shared" si="372"/>
        <v>0</v>
      </c>
      <c r="BV424" s="548">
        <f t="shared" si="372"/>
        <v>0</v>
      </c>
      <c r="BW424" s="548">
        <f t="shared" si="372"/>
        <v>0</v>
      </c>
      <c r="BX424" s="548">
        <f t="shared" si="372"/>
        <v>0</v>
      </c>
      <c r="BY424" s="548">
        <f t="shared" si="372"/>
        <v>0</v>
      </c>
      <c r="BZ424" s="548">
        <f t="shared" si="372"/>
        <v>393870022</v>
      </c>
      <c r="CA424" s="548">
        <f t="shared" ref="CA424:CB424" si="373">SUM(CA420:CA423)</f>
        <v>0</v>
      </c>
      <c r="CB424" s="548">
        <f t="shared" si="373"/>
        <v>0</v>
      </c>
    </row>
    <row r="425" spans="1:80" s="459" customFormat="1" ht="15.75" x14ac:dyDescent="0.2">
      <c r="A425" s="54"/>
      <c r="B425" s="54"/>
      <c r="C425" s="92"/>
      <c r="D425" s="91"/>
      <c r="E425" s="333"/>
      <c r="F425" s="333"/>
      <c r="G425" s="91"/>
      <c r="H425" s="92"/>
      <c r="I425" s="91"/>
      <c r="J425" s="244"/>
      <c r="K425" s="247"/>
      <c r="L425" s="353"/>
      <c r="M425" s="257"/>
      <c r="N425" s="258"/>
      <c r="O425" s="499"/>
      <c r="P425" s="124"/>
      <c r="Q425" s="92"/>
      <c r="R425" s="543"/>
      <c r="S425" s="543"/>
      <c r="T425" s="543"/>
      <c r="U425" s="544"/>
      <c r="V425" s="544"/>
      <c r="W425" s="544"/>
      <c r="X425" s="543"/>
      <c r="Y425" s="543"/>
      <c r="Z425" s="543"/>
      <c r="AA425" s="543"/>
      <c r="AB425" s="543"/>
      <c r="AC425" s="543"/>
      <c r="AD425" s="543"/>
      <c r="AE425" s="543"/>
      <c r="AF425" s="543"/>
      <c r="AG425" s="543"/>
      <c r="AH425" s="543"/>
      <c r="AI425" s="543"/>
      <c r="AJ425" s="543"/>
      <c r="AK425" s="543"/>
      <c r="AL425" s="543"/>
      <c r="AM425" s="543"/>
      <c r="AN425" s="543"/>
      <c r="AO425" s="543"/>
      <c r="AP425" s="543"/>
      <c r="AQ425" s="543"/>
      <c r="AR425" s="543"/>
      <c r="AS425" s="543"/>
      <c r="AT425" s="543"/>
      <c r="AU425" s="543"/>
      <c r="AV425" s="543"/>
      <c r="AW425" s="543"/>
      <c r="AX425" s="543"/>
      <c r="AY425" s="543"/>
      <c r="AZ425" s="543"/>
      <c r="BA425" s="543"/>
      <c r="BB425" s="543"/>
      <c r="BC425" s="543"/>
      <c r="BD425" s="543"/>
      <c r="BE425" s="543"/>
      <c r="BF425" s="543"/>
      <c r="BG425" s="543"/>
      <c r="BH425" s="543"/>
      <c r="BI425" s="570"/>
      <c r="BJ425" s="570"/>
      <c r="BK425" s="630"/>
      <c r="BL425" s="630"/>
      <c r="BM425" s="630"/>
      <c r="BN425" s="543"/>
      <c r="BO425" s="543"/>
      <c r="BP425" s="543"/>
      <c r="BQ425" s="543"/>
      <c r="BR425" s="543"/>
      <c r="BS425" s="543"/>
      <c r="BT425" s="543"/>
      <c r="BU425" s="543"/>
      <c r="BV425" s="543"/>
      <c r="BW425" s="543"/>
      <c r="BX425" s="543"/>
      <c r="BY425" s="543"/>
      <c r="BZ425" s="547"/>
      <c r="CA425" s="547"/>
      <c r="CB425" s="547"/>
    </row>
    <row r="426" spans="1:80" s="459" customFormat="1" ht="15.75" x14ac:dyDescent="0.2">
      <c r="A426" s="54"/>
      <c r="B426" s="54"/>
      <c r="C426" s="508"/>
      <c r="D426" s="229"/>
      <c r="E426" s="525"/>
      <c r="F426" s="525"/>
      <c r="G426" s="98">
        <v>22</v>
      </c>
      <c r="H426" s="100" t="s">
        <v>515</v>
      </c>
      <c r="I426" s="100"/>
      <c r="J426" s="100"/>
      <c r="K426" s="186"/>
      <c r="L426" s="278"/>
      <c r="M426" s="186"/>
      <c r="N426" s="100"/>
      <c r="O426" s="212"/>
      <c r="P426" s="100"/>
      <c r="Q426" s="100"/>
      <c r="R426" s="336"/>
      <c r="S426" s="336"/>
      <c r="T426" s="336"/>
      <c r="U426" s="336"/>
      <c r="V426" s="336"/>
      <c r="W426" s="336"/>
      <c r="X426" s="336"/>
      <c r="Y426" s="336"/>
      <c r="Z426" s="336"/>
      <c r="AA426" s="336"/>
      <c r="AB426" s="336"/>
      <c r="AC426" s="336"/>
      <c r="AD426" s="336"/>
      <c r="AE426" s="336"/>
      <c r="AF426" s="336"/>
      <c r="AG426" s="336"/>
      <c r="AH426" s="336"/>
      <c r="AI426" s="336"/>
      <c r="AJ426" s="336"/>
      <c r="AK426" s="336"/>
      <c r="AL426" s="336"/>
      <c r="AM426" s="336"/>
      <c r="AN426" s="336"/>
      <c r="AO426" s="336"/>
      <c r="AP426" s="336"/>
      <c r="AQ426" s="336"/>
      <c r="AR426" s="336"/>
      <c r="AS426" s="336"/>
      <c r="AT426" s="336"/>
      <c r="AU426" s="336"/>
      <c r="AV426" s="336"/>
      <c r="AW426" s="336"/>
      <c r="AX426" s="336"/>
      <c r="AY426" s="336"/>
      <c r="AZ426" s="336"/>
      <c r="BA426" s="336"/>
      <c r="BB426" s="336"/>
      <c r="BC426" s="336"/>
      <c r="BD426" s="336"/>
      <c r="BE426" s="336"/>
      <c r="BF426" s="336"/>
      <c r="BG426" s="336"/>
      <c r="BH426" s="336"/>
      <c r="BI426" s="336"/>
      <c r="BJ426" s="336"/>
      <c r="BK426" s="552"/>
      <c r="BL426" s="552"/>
      <c r="BM426" s="552"/>
      <c r="BN426" s="336"/>
      <c r="BO426" s="336"/>
      <c r="BP426" s="336"/>
      <c r="BQ426" s="336"/>
      <c r="BR426" s="336"/>
      <c r="BS426" s="336"/>
      <c r="BT426" s="336"/>
      <c r="BU426" s="336"/>
      <c r="BV426" s="336"/>
      <c r="BW426" s="336"/>
      <c r="BX426" s="336"/>
      <c r="BY426" s="336"/>
      <c r="BZ426" s="338"/>
      <c r="CA426" s="338"/>
      <c r="CB426" s="338"/>
    </row>
    <row r="427" spans="1:80" s="11" customFormat="1" ht="125.25" customHeight="1" x14ac:dyDescent="0.2">
      <c r="A427" s="54"/>
      <c r="B427" s="54"/>
      <c r="C427" s="509" t="s">
        <v>476</v>
      </c>
      <c r="D427" s="517" t="s">
        <v>477</v>
      </c>
      <c r="E427" s="526" t="s">
        <v>929</v>
      </c>
      <c r="F427" s="526" t="s">
        <v>933</v>
      </c>
      <c r="G427" s="56"/>
      <c r="H427" s="57">
        <v>97</v>
      </c>
      <c r="I427" s="56" t="s">
        <v>947</v>
      </c>
      <c r="J427" s="207" t="s">
        <v>42</v>
      </c>
      <c r="K427" s="237">
        <v>46</v>
      </c>
      <c r="L427" s="237">
        <v>44</v>
      </c>
      <c r="M427" s="61">
        <v>2017003630027</v>
      </c>
      <c r="N427" s="355" t="s">
        <v>458</v>
      </c>
      <c r="O427" s="498" t="s">
        <v>516</v>
      </c>
      <c r="P427" s="56" t="s">
        <v>517</v>
      </c>
      <c r="Q427" s="57" t="s">
        <v>67</v>
      </c>
      <c r="R427" s="539">
        <v>0</v>
      </c>
      <c r="S427" s="539"/>
      <c r="T427" s="539"/>
      <c r="U427" s="539">
        <v>0</v>
      </c>
      <c r="V427" s="539"/>
      <c r="W427" s="539"/>
      <c r="X427" s="539">
        <v>0</v>
      </c>
      <c r="Y427" s="539"/>
      <c r="Z427" s="539"/>
      <c r="AA427" s="539">
        <v>0</v>
      </c>
      <c r="AB427" s="539"/>
      <c r="AC427" s="539"/>
      <c r="AD427" s="539">
        <v>0</v>
      </c>
      <c r="AE427" s="539"/>
      <c r="AF427" s="539"/>
      <c r="AG427" s="539">
        <v>0</v>
      </c>
      <c r="AH427" s="539"/>
      <c r="AI427" s="539"/>
      <c r="AJ427" s="539">
        <v>0</v>
      </c>
      <c r="AK427" s="539"/>
      <c r="AL427" s="539"/>
      <c r="AM427" s="539"/>
      <c r="AN427" s="539"/>
      <c r="AO427" s="539"/>
      <c r="AP427" s="539"/>
      <c r="AQ427" s="539"/>
      <c r="AR427" s="539"/>
      <c r="AS427" s="539">
        <v>0</v>
      </c>
      <c r="AT427" s="539"/>
      <c r="AU427" s="539"/>
      <c r="AV427" s="539">
        <v>0</v>
      </c>
      <c r="AW427" s="633"/>
      <c r="AX427" s="633"/>
      <c r="AY427" s="642">
        <v>10000000</v>
      </c>
      <c r="AZ427" s="642"/>
      <c r="BA427" s="642"/>
      <c r="BB427" s="633"/>
      <c r="BC427" s="633"/>
      <c r="BD427" s="633"/>
      <c r="BE427" s="633">
        <v>0</v>
      </c>
      <c r="BF427" s="633"/>
      <c r="BG427" s="633"/>
      <c r="BH427" s="539">
        <v>0</v>
      </c>
      <c r="BI427" s="539"/>
      <c r="BJ427" s="539"/>
      <c r="BK427" s="540">
        <v>0</v>
      </c>
      <c r="BL427" s="540"/>
      <c r="BM427" s="540"/>
      <c r="BN427" s="553"/>
      <c r="BO427" s="553"/>
      <c r="BP427" s="553"/>
      <c r="BQ427" s="539">
        <v>0</v>
      </c>
      <c r="BR427" s="541"/>
      <c r="BS427" s="541"/>
      <c r="BT427" s="541"/>
      <c r="BU427" s="541"/>
      <c r="BV427" s="541"/>
      <c r="BW427" s="541"/>
      <c r="BX427" s="541"/>
      <c r="BY427" s="541"/>
      <c r="BZ427" s="539">
        <f>R427+U427+X427+AA427+AD427+AG427+AJ427+AM427+AP427+AS427+AV427+AY427+BB427+BE427+BH427+BK427+BN427+BQ427+BT427+BW427</f>
        <v>10000000</v>
      </c>
      <c r="CA427" s="539">
        <f t="shared" ref="CA427" si="374">S427+V427+Y427+AB427+AE427+AH427+AK427+AN427+AQ427+AT427+AW427+AZ427+BC427+BF427+BI427+BL427+BO427+BR427+BU427+BX427</f>
        <v>0</v>
      </c>
      <c r="CB427" s="539">
        <f t="shared" ref="CB427" si="375">T427+W427+Z427+AC427+AF427+AI427+AL427+AO427+AR427+AU427+AX427+BA427+BD427+BG427+BJ427+BM427+BP427+BS427+BV427+BY427</f>
        <v>0</v>
      </c>
    </row>
    <row r="428" spans="1:80" s="459" customFormat="1" ht="15.75" x14ac:dyDescent="0.2">
      <c r="A428" s="54"/>
      <c r="B428" s="74"/>
      <c r="C428" s="510"/>
      <c r="D428" s="518"/>
      <c r="E428" s="365"/>
      <c r="F428" s="365"/>
      <c r="G428" s="77"/>
      <c r="H428" s="78"/>
      <c r="I428" s="77"/>
      <c r="J428" s="240"/>
      <c r="K428" s="246"/>
      <c r="L428" s="371"/>
      <c r="M428" s="246"/>
      <c r="N428" s="246"/>
      <c r="O428" s="78"/>
      <c r="P428" s="77"/>
      <c r="Q428" s="78"/>
      <c r="R428" s="548">
        <f t="shared" ref="R428:BY428" si="376">SUM(R427)</f>
        <v>0</v>
      </c>
      <c r="S428" s="548">
        <f t="shared" si="376"/>
        <v>0</v>
      </c>
      <c r="T428" s="548">
        <f t="shared" si="376"/>
        <v>0</v>
      </c>
      <c r="U428" s="548">
        <f t="shared" si="376"/>
        <v>0</v>
      </c>
      <c r="V428" s="548">
        <f t="shared" si="376"/>
        <v>0</v>
      </c>
      <c r="W428" s="548">
        <f t="shared" si="376"/>
        <v>0</v>
      </c>
      <c r="X428" s="548">
        <f t="shared" si="376"/>
        <v>0</v>
      </c>
      <c r="Y428" s="548">
        <f t="shared" si="376"/>
        <v>0</v>
      </c>
      <c r="Z428" s="548">
        <f t="shared" si="376"/>
        <v>0</v>
      </c>
      <c r="AA428" s="548">
        <f t="shared" si="376"/>
        <v>0</v>
      </c>
      <c r="AB428" s="548">
        <f t="shared" si="376"/>
        <v>0</v>
      </c>
      <c r="AC428" s="548">
        <f t="shared" si="376"/>
        <v>0</v>
      </c>
      <c r="AD428" s="548">
        <f t="shared" si="376"/>
        <v>0</v>
      </c>
      <c r="AE428" s="548">
        <f t="shared" si="376"/>
        <v>0</v>
      </c>
      <c r="AF428" s="548">
        <f t="shared" si="376"/>
        <v>0</v>
      </c>
      <c r="AG428" s="548">
        <f t="shared" si="376"/>
        <v>0</v>
      </c>
      <c r="AH428" s="548">
        <f t="shared" si="376"/>
        <v>0</v>
      </c>
      <c r="AI428" s="548">
        <f t="shared" si="376"/>
        <v>0</v>
      </c>
      <c r="AJ428" s="548">
        <f t="shared" si="376"/>
        <v>0</v>
      </c>
      <c r="AK428" s="548">
        <f t="shared" si="376"/>
        <v>0</v>
      </c>
      <c r="AL428" s="548">
        <f t="shared" si="376"/>
        <v>0</v>
      </c>
      <c r="AM428" s="548">
        <f t="shared" si="376"/>
        <v>0</v>
      </c>
      <c r="AN428" s="548">
        <f t="shared" si="376"/>
        <v>0</v>
      </c>
      <c r="AO428" s="548">
        <f t="shared" si="376"/>
        <v>0</v>
      </c>
      <c r="AP428" s="548">
        <f t="shared" si="376"/>
        <v>0</v>
      </c>
      <c r="AQ428" s="548">
        <f t="shared" si="376"/>
        <v>0</v>
      </c>
      <c r="AR428" s="548">
        <f t="shared" si="376"/>
        <v>0</v>
      </c>
      <c r="AS428" s="548">
        <f t="shared" si="376"/>
        <v>0</v>
      </c>
      <c r="AT428" s="548">
        <f t="shared" si="376"/>
        <v>0</v>
      </c>
      <c r="AU428" s="548">
        <f t="shared" si="376"/>
        <v>0</v>
      </c>
      <c r="AV428" s="548">
        <f t="shared" si="376"/>
        <v>0</v>
      </c>
      <c r="AW428" s="548">
        <f t="shared" si="376"/>
        <v>0</v>
      </c>
      <c r="AX428" s="548">
        <f t="shared" si="376"/>
        <v>0</v>
      </c>
      <c r="AY428" s="548">
        <f t="shared" si="376"/>
        <v>10000000</v>
      </c>
      <c r="AZ428" s="548">
        <f t="shared" si="376"/>
        <v>0</v>
      </c>
      <c r="BA428" s="548">
        <f t="shared" si="376"/>
        <v>0</v>
      </c>
      <c r="BB428" s="548">
        <f t="shared" si="376"/>
        <v>0</v>
      </c>
      <c r="BC428" s="548">
        <f t="shared" si="376"/>
        <v>0</v>
      </c>
      <c r="BD428" s="548">
        <f t="shared" si="376"/>
        <v>0</v>
      </c>
      <c r="BE428" s="548">
        <f t="shared" si="376"/>
        <v>0</v>
      </c>
      <c r="BF428" s="548">
        <f t="shared" si="376"/>
        <v>0</v>
      </c>
      <c r="BG428" s="548">
        <f t="shared" si="376"/>
        <v>0</v>
      </c>
      <c r="BH428" s="548">
        <f t="shared" si="376"/>
        <v>0</v>
      </c>
      <c r="BI428" s="548">
        <f t="shared" si="376"/>
        <v>0</v>
      </c>
      <c r="BJ428" s="548">
        <f t="shared" si="376"/>
        <v>0</v>
      </c>
      <c r="BK428" s="548">
        <f t="shared" si="376"/>
        <v>0</v>
      </c>
      <c r="BL428" s="548">
        <f t="shared" si="376"/>
        <v>0</v>
      </c>
      <c r="BM428" s="548">
        <f t="shared" si="376"/>
        <v>0</v>
      </c>
      <c r="BN428" s="548">
        <f t="shared" si="376"/>
        <v>0</v>
      </c>
      <c r="BO428" s="548">
        <f t="shared" si="376"/>
        <v>0</v>
      </c>
      <c r="BP428" s="548">
        <f t="shared" si="376"/>
        <v>0</v>
      </c>
      <c r="BQ428" s="548">
        <f t="shared" si="376"/>
        <v>0</v>
      </c>
      <c r="BR428" s="548">
        <f t="shared" si="376"/>
        <v>0</v>
      </c>
      <c r="BS428" s="548">
        <f t="shared" si="376"/>
        <v>0</v>
      </c>
      <c r="BT428" s="548">
        <f t="shared" si="376"/>
        <v>0</v>
      </c>
      <c r="BU428" s="548">
        <f t="shared" si="376"/>
        <v>0</v>
      </c>
      <c r="BV428" s="548">
        <f t="shared" si="376"/>
        <v>0</v>
      </c>
      <c r="BW428" s="548">
        <f t="shared" si="376"/>
        <v>0</v>
      </c>
      <c r="BX428" s="548">
        <f t="shared" si="376"/>
        <v>0</v>
      </c>
      <c r="BY428" s="548">
        <f t="shared" si="376"/>
        <v>0</v>
      </c>
      <c r="BZ428" s="548">
        <f t="shared" ref="BZ428" si="377">SUM(BZ427)</f>
        <v>10000000</v>
      </c>
      <c r="CA428" s="548">
        <f t="shared" ref="CA428:CB428" si="378">SUM(CA427)</f>
        <v>0</v>
      </c>
      <c r="CB428" s="548">
        <f t="shared" si="378"/>
        <v>0</v>
      </c>
    </row>
    <row r="429" spans="1:80" s="459" customFormat="1" ht="15.75" x14ac:dyDescent="0.2">
      <c r="A429" s="54"/>
      <c r="B429" s="118"/>
      <c r="C429" s="82"/>
      <c r="D429" s="81"/>
      <c r="E429" s="340"/>
      <c r="F429" s="340"/>
      <c r="G429" s="81"/>
      <c r="H429" s="82"/>
      <c r="I429" s="81"/>
      <c r="J429" s="261"/>
      <c r="K429" s="261"/>
      <c r="L429" s="283"/>
      <c r="M429" s="261"/>
      <c r="N429" s="261"/>
      <c r="O429" s="82"/>
      <c r="P429" s="81"/>
      <c r="Q429" s="82"/>
      <c r="R429" s="554">
        <f t="shared" ref="R429:BY429" si="379">R428+R424+R417+R404</f>
        <v>0</v>
      </c>
      <c r="S429" s="554">
        <f t="shared" si="379"/>
        <v>0</v>
      </c>
      <c r="T429" s="554">
        <f t="shared" si="379"/>
        <v>0</v>
      </c>
      <c r="U429" s="554">
        <f t="shared" si="379"/>
        <v>0</v>
      </c>
      <c r="V429" s="554">
        <f t="shared" si="379"/>
        <v>0</v>
      </c>
      <c r="W429" s="554">
        <f t="shared" si="379"/>
        <v>0</v>
      </c>
      <c r="X429" s="554">
        <f t="shared" si="379"/>
        <v>0</v>
      </c>
      <c r="Y429" s="554">
        <f t="shared" si="379"/>
        <v>0</v>
      </c>
      <c r="Z429" s="554">
        <f t="shared" si="379"/>
        <v>0</v>
      </c>
      <c r="AA429" s="554">
        <f t="shared" si="379"/>
        <v>0</v>
      </c>
      <c r="AB429" s="554">
        <f t="shared" si="379"/>
        <v>0</v>
      </c>
      <c r="AC429" s="554">
        <f t="shared" si="379"/>
        <v>0</v>
      </c>
      <c r="AD429" s="554">
        <f t="shared" si="379"/>
        <v>0</v>
      </c>
      <c r="AE429" s="554">
        <f t="shared" si="379"/>
        <v>0</v>
      </c>
      <c r="AF429" s="554">
        <f t="shared" si="379"/>
        <v>0</v>
      </c>
      <c r="AG429" s="554">
        <f t="shared" si="379"/>
        <v>0</v>
      </c>
      <c r="AH429" s="554">
        <f t="shared" si="379"/>
        <v>0</v>
      </c>
      <c r="AI429" s="554">
        <f t="shared" si="379"/>
        <v>0</v>
      </c>
      <c r="AJ429" s="554">
        <f t="shared" si="379"/>
        <v>0</v>
      </c>
      <c r="AK429" s="554">
        <f t="shared" si="379"/>
        <v>0</v>
      </c>
      <c r="AL429" s="554">
        <f t="shared" si="379"/>
        <v>0</v>
      </c>
      <c r="AM429" s="554">
        <f t="shared" si="379"/>
        <v>0</v>
      </c>
      <c r="AN429" s="554">
        <f t="shared" si="379"/>
        <v>0</v>
      </c>
      <c r="AO429" s="554">
        <f t="shared" si="379"/>
        <v>0</v>
      </c>
      <c r="AP429" s="554">
        <f t="shared" si="379"/>
        <v>0</v>
      </c>
      <c r="AQ429" s="554">
        <f t="shared" si="379"/>
        <v>0</v>
      </c>
      <c r="AR429" s="554">
        <f t="shared" si="379"/>
        <v>0</v>
      </c>
      <c r="AS429" s="554">
        <f t="shared" si="379"/>
        <v>0</v>
      </c>
      <c r="AT429" s="554">
        <f t="shared" si="379"/>
        <v>0</v>
      </c>
      <c r="AU429" s="554">
        <f t="shared" si="379"/>
        <v>0</v>
      </c>
      <c r="AV429" s="554">
        <f t="shared" si="379"/>
        <v>0</v>
      </c>
      <c r="AW429" s="554">
        <f t="shared" si="379"/>
        <v>0</v>
      </c>
      <c r="AX429" s="554">
        <f t="shared" si="379"/>
        <v>0</v>
      </c>
      <c r="AY429" s="554">
        <f t="shared" si="379"/>
        <v>267770022</v>
      </c>
      <c r="AZ429" s="554">
        <f t="shared" si="379"/>
        <v>0</v>
      </c>
      <c r="BA429" s="554">
        <f t="shared" si="379"/>
        <v>0</v>
      </c>
      <c r="BB429" s="554">
        <f t="shared" si="379"/>
        <v>0</v>
      </c>
      <c r="BC429" s="554">
        <f t="shared" si="379"/>
        <v>0</v>
      </c>
      <c r="BD429" s="554">
        <f t="shared" si="379"/>
        <v>0</v>
      </c>
      <c r="BE429" s="554">
        <f t="shared" si="379"/>
        <v>0</v>
      </c>
      <c r="BF429" s="554">
        <f t="shared" si="379"/>
        <v>0</v>
      </c>
      <c r="BG429" s="554">
        <f t="shared" si="379"/>
        <v>0</v>
      </c>
      <c r="BH429" s="554">
        <f t="shared" si="379"/>
        <v>0</v>
      </c>
      <c r="BI429" s="554">
        <f t="shared" si="379"/>
        <v>0</v>
      </c>
      <c r="BJ429" s="554">
        <f t="shared" si="379"/>
        <v>0</v>
      </c>
      <c r="BK429" s="554">
        <f t="shared" si="379"/>
        <v>727925000</v>
      </c>
      <c r="BL429" s="554">
        <f t="shared" si="379"/>
        <v>259475000</v>
      </c>
      <c r="BM429" s="554">
        <f t="shared" si="379"/>
        <v>34775000</v>
      </c>
      <c r="BN429" s="554">
        <f t="shared" si="379"/>
        <v>0</v>
      </c>
      <c r="BO429" s="554">
        <f t="shared" si="379"/>
        <v>0</v>
      </c>
      <c r="BP429" s="554">
        <f t="shared" si="379"/>
        <v>0</v>
      </c>
      <c r="BQ429" s="554">
        <f t="shared" si="379"/>
        <v>0</v>
      </c>
      <c r="BR429" s="554">
        <f t="shared" si="379"/>
        <v>0</v>
      </c>
      <c r="BS429" s="554">
        <f t="shared" si="379"/>
        <v>0</v>
      </c>
      <c r="BT429" s="554">
        <f t="shared" si="379"/>
        <v>0</v>
      </c>
      <c r="BU429" s="554">
        <f t="shared" si="379"/>
        <v>0</v>
      </c>
      <c r="BV429" s="554">
        <f t="shared" si="379"/>
        <v>0</v>
      </c>
      <c r="BW429" s="554">
        <f t="shared" si="379"/>
        <v>0</v>
      </c>
      <c r="BX429" s="554">
        <f t="shared" si="379"/>
        <v>0</v>
      </c>
      <c r="BY429" s="554">
        <f t="shared" si="379"/>
        <v>0</v>
      </c>
      <c r="BZ429" s="554">
        <f t="shared" ref="BZ429" si="380">BZ428+BZ424+BZ417+BZ404</f>
        <v>995695022</v>
      </c>
      <c r="CA429" s="554">
        <f t="shared" ref="CA429:CB429" si="381">CA428+CA424+CA417+CA404</f>
        <v>259475000</v>
      </c>
      <c r="CB429" s="554">
        <f t="shared" si="381"/>
        <v>34775000</v>
      </c>
    </row>
    <row r="430" spans="1:80" s="459" customFormat="1" ht="15.75" x14ac:dyDescent="0.2">
      <c r="A430" s="54"/>
      <c r="B430" s="356"/>
      <c r="C430" s="241"/>
      <c r="D430" s="356"/>
      <c r="E430" s="357"/>
      <c r="F430" s="357"/>
      <c r="G430" s="356"/>
      <c r="H430" s="241"/>
      <c r="I430" s="356"/>
      <c r="J430" s="358"/>
      <c r="K430" s="358"/>
      <c r="L430" s="819"/>
      <c r="M430" s="359"/>
      <c r="N430" s="359"/>
      <c r="O430" s="395"/>
      <c r="P430" s="360"/>
      <c r="Q430" s="241"/>
      <c r="R430" s="583"/>
      <c r="S430" s="583"/>
      <c r="T430" s="583"/>
      <c r="U430" s="583"/>
      <c r="V430" s="583"/>
      <c r="W430" s="583"/>
      <c r="X430" s="583"/>
      <c r="Y430" s="583"/>
      <c r="Z430" s="583"/>
      <c r="AA430" s="583"/>
      <c r="AB430" s="583"/>
      <c r="AC430" s="583"/>
      <c r="AD430" s="583"/>
      <c r="AE430" s="583"/>
      <c r="AF430" s="583"/>
      <c r="AG430" s="583"/>
      <c r="AH430" s="570"/>
      <c r="AI430" s="570"/>
      <c r="AJ430" s="570"/>
      <c r="AK430" s="570"/>
      <c r="AL430" s="570"/>
      <c r="AM430" s="583"/>
      <c r="AN430" s="583"/>
      <c r="AO430" s="583"/>
      <c r="AP430" s="583"/>
      <c r="AQ430" s="583"/>
      <c r="AR430" s="583"/>
      <c r="AS430" s="583"/>
      <c r="AT430" s="583"/>
      <c r="AU430" s="583"/>
      <c r="AV430" s="583"/>
      <c r="AW430" s="583"/>
      <c r="AX430" s="583"/>
      <c r="AY430" s="643"/>
      <c r="AZ430" s="643"/>
      <c r="BA430" s="643"/>
      <c r="BB430" s="643"/>
      <c r="BC430" s="643"/>
      <c r="BD430" s="643"/>
      <c r="BE430" s="583"/>
      <c r="BF430" s="583"/>
      <c r="BG430" s="583"/>
      <c r="BH430" s="583"/>
      <c r="BI430" s="570"/>
      <c r="BJ430" s="570"/>
      <c r="BK430" s="591"/>
      <c r="BL430" s="591"/>
      <c r="BM430" s="591"/>
      <c r="BN430" s="570"/>
      <c r="BO430" s="570"/>
      <c r="BP430" s="570"/>
      <c r="BQ430" s="583"/>
      <c r="BR430" s="583"/>
      <c r="BS430" s="583"/>
      <c r="BT430" s="583"/>
      <c r="BU430" s="583"/>
      <c r="BV430" s="583"/>
      <c r="BW430" s="583"/>
      <c r="BX430" s="583"/>
      <c r="BY430" s="583"/>
      <c r="BZ430" s="644"/>
      <c r="CA430" s="644"/>
      <c r="CB430" s="644"/>
    </row>
    <row r="431" spans="1:80" s="459" customFormat="1" ht="15.75" x14ac:dyDescent="0.2">
      <c r="A431" s="54"/>
      <c r="B431" s="152">
        <v>7</v>
      </c>
      <c r="C431" s="49" t="s">
        <v>518</v>
      </c>
      <c r="D431" s="50"/>
      <c r="E431" s="50"/>
      <c r="F431" s="50"/>
      <c r="G431" s="50"/>
      <c r="H431" s="51"/>
      <c r="I431" s="50"/>
      <c r="J431" s="50"/>
      <c r="K431" s="252"/>
      <c r="L431" s="284"/>
      <c r="M431" s="252"/>
      <c r="N431" s="50"/>
      <c r="O431" s="51"/>
      <c r="P431" s="50"/>
      <c r="Q431" s="50"/>
      <c r="R431" s="550"/>
      <c r="S431" s="550"/>
      <c r="T431" s="550"/>
      <c r="U431" s="550"/>
      <c r="V431" s="550"/>
      <c r="W431" s="550"/>
      <c r="X431" s="550"/>
      <c r="Y431" s="550"/>
      <c r="Z431" s="550"/>
      <c r="AA431" s="550"/>
      <c r="AB431" s="550"/>
      <c r="AC431" s="550"/>
      <c r="AD431" s="550"/>
      <c r="AE431" s="550"/>
      <c r="AF431" s="550"/>
      <c r="AG431" s="550"/>
      <c r="AH431" s="550"/>
      <c r="AI431" s="550"/>
      <c r="AJ431" s="550"/>
      <c r="AK431" s="550"/>
      <c r="AL431" s="550"/>
      <c r="AM431" s="550"/>
      <c r="AN431" s="550"/>
      <c r="AO431" s="550"/>
      <c r="AP431" s="550"/>
      <c r="AQ431" s="550"/>
      <c r="AR431" s="550"/>
      <c r="AS431" s="550"/>
      <c r="AT431" s="550"/>
      <c r="AU431" s="550"/>
      <c r="AV431" s="550"/>
      <c r="AW431" s="550"/>
      <c r="AX431" s="550"/>
      <c r="AY431" s="550"/>
      <c r="AZ431" s="550"/>
      <c r="BA431" s="550"/>
      <c r="BB431" s="550"/>
      <c r="BC431" s="550"/>
      <c r="BD431" s="550"/>
      <c r="BE431" s="550"/>
      <c r="BF431" s="550"/>
      <c r="BG431" s="550"/>
      <c r="BH431" s="550"/>
      <c r="BI431" s="550"/>
      <c r="BJ431" s="550"/>
      <c r="BK431" s="551"/>
      <c r="BL431" s="551"/>
      <c r="BM431" s="551"/>
      <c r="BN431" s="550"/>
      <c r="BO431" s="550"/>
      <c r="BP431" s="550"/>
      <c r="BQ431" s="550"/>
      <c r="BR431" s="550"/>
      <c r="BS431" s="550"/>
      <c r="BT431" s="550"/>
      <c r="BU431" s="550"/>
      <c r="BV431" s="550"/>
      <c r="BW431" s="550"/>
      <c r="BX431" s="550"/>
      <c r="BY431" s="550"/>
      <c r="BZ431" s="555"/>
      <c r="CA431" s="555"/>
      <c r="CB431" s="555"/>
    </row>
    <row r="432" spans="1:80" s="459" customFormat="1" ht="15.75" x14ac:dyDescent="0.2">
      <c r="A432" s="54"/>
      <c r="B432" s="96"/>
      <c r="C432" s="508"/>
      <c r="D432" s="516"/>
      <c r="E432" s="508"/>
      <c r="F432" s="508"/>
      <c r="G432" s="274">
        <v>23</v>
      </c>
      <c r="H432" s="100" t="s">
        <v>519</v>
      </c>
      <c r="I432" s="100"/>
      <c r="J432" s="100"/>
      <c r="K432" s="186"/>
      <c r="L432" s="278"/>
      <c r="M432" s="186"/>
      <c r="N432" s="100"/>
      <c r="O432" s="212"/>
      <c r="P432" s="100"/>
      <c r="Q432" s="100"/>
      <c r="R432" s="336"/>
      <c r="S432" s="336"/>
      <c r="T432" s="336"/>
      <c r="U432" s="336"/>
      <c r="V432" s="336"/>
      <c r="W432" s="336"/>
      <c r="X432" s="336"/>
      <c r="Y432" s="336"/>
      <c r="Z432" s="336"/>
      <c r="AA432" s="336"/>
      <c r="AB432" s="336"/>
      <c r="AC432" s="336"/>
      <c r="AD432" s="336"/>
      <c r="AE432" s="336"/>
      <c r="AF432" s="336"/>
      <c r="AG432" s="336"/>
      <c r="AH432" s="336"/>
      <c r="AI432" s="336"/>
      <c r="AJ432" s="336"/>
      <c r="AK432" s="336"/>
      <c r="AL432" s="336"/>
      <c r="AM432" s="336"/>
      <c r="AN432" s="336"/>
      <c r="AO432" s="336"/>
      <c r="AP432" s="336"/>
      <c r="AQ432" s="336"/>
      <c r="AR432" s="336"/>
      <c r="AS432" s="336"/>
      <c r="AT432" s="336"/>
      <c r="AU432" s="336"/>
      <c r="AV432" s="336"/>
      <c r="AW432" s="336"/>
      <c r="AX432" s="336"/>
      <c r="AY432" s="336"/>
      <c r="AZ432" s="336"/>
      <c r="BA432" s="336"/>
      <c r="BB432" s="336"/>
      <c r="BC432" s="336"/>
      <c r="BD432" s="336"/>
      <c r="BE432" s="336"/>
      <c r="BF432" s="336"/>
      <c r="BG432" s="336"/>
      <c r="BH432" s="336"/>
      <c r="BI432" s="336"/>
      <c r="BJ432" s="336"/>
      <c r="BK432" s="552"/>
      <c r="BL432" s="552"/>
      <c r="BM432" s="552"/>
      <c r="BN432" s="336"/>
      <c r="BO432" s="336"/>
      <c r="BP432" s="336"/>
      <c r="BQ432" s="336"/>
      <c r="BR432" s="336"/>
      <c r="BS432" s="336"/>
      <c r="BT432" s="336"/>
      <c r="BU432" s="336"/>
      <c r="BV432" s="336"/>
      <c r="BW432" s="336"/>
      <c r="BX432" s="336"/>
      <c r="BY432" s="336"/>
      <c r="BZ432" s="338"/>
      <c r="CA432" s="338"/>
      <c r="CB432" s="338"/>
    </row>
    <row r="433" spans="1:80" s="11" customFormat="1" ht="72" customHeight="1" x14ac:dyDescent="0.2">
      <c r="A433" s="256"/>
      <c r="B433" s="54"/>
      <c r="C433" s="509"/>
      <c r="D433" s="64"/>
      <c r="E433" s="526"/>
      <c r="F433" s="526"/>
      <c r="G433" s="58"/>
      <c r="H433" s="57">
        <v>98</v>
      </c>
      <c r="I433" s="56" t="s">
        <v>520</v>
      </c>
      <c r="J433" s="207">
        <v>60</v>
      </c>
      <c r="K433" s="237">
        <v>55</v>
      </c>
      <c r="L433" s="237">
        <v>160</v>
      </c>
      <c r="M433" s="850">
        <v>2017003630059</v>
      </c>
      <c r="N433" s="903" t="s">
        <v>458</v>
      </c>
      <c r="O433" s="856" t="s">
        <v>521</v>
      </c>
      <c r="P433" s="853" t="s">
        <v>522</v>
      </c>
      <c r="Q433" s="57" t="s">
        <v>51</v>
      </c>
      <c r="R433" s="539">
        <v>0</v>
      </c>
      <c r="S433" s="539"/>
      <c r="T433" s="539"/>
      <c r="U433" s="539">
        <v>0</v>
      </c>
      <c r="V433" s="539"/>
      <c r="W433" s="539"/>
      <c r="X433" s="539">
        <v>0</v>
      </c>
      <c r="Y433" s="539"/>
      <c r="Z433" s="539"/>
      <c r="AA433" s="539">
        <v>0</v>
      </c>
      <c r="AB433" s="539"/>
      <c r="AC433" s="539"/>
      <c r="AD433" s="539">
        <v>0</v>
      </c>
      <c r="AE433" s="539"/>
      <c r="AF433" s="539"/>
      <c r="AG433" s="539">
        <v>0</v>
      </c>
      <c r="AH433" s="539"/>
      <c r="AI433" s="539"/>
      <c r="AJ433" s="539"/>
      <c r="AK433" s="539"/>
      <c r="AL433" s="539"/>
      <c r="AM433" s="539"/>
      <c r="AN433" s="539"/>
      <c r="AO433" s="539"/>
      <c r="AP433" s="539"/>
      <c r="AQ433" s="539"/>
      <c r="AR433" s="539"/>
      <c r="AS433" s="539">
        <v>0</v>
      </c>
      <c r="AT433" s="539"/>
      <c r="AU433" s="539"/>
      <c r="AV433" s="539">
        <v>0</v>
      </c>
      <c r="AW433" s="541"/>
      <c r="AX433" s="541"/>
      <c r="AY433" s="542"/>
      <c r="AZ433" s="542"/>
      <c r="BA433" s="542"/>
      <c r="BB433" s="542"/>
      <c r="BC433" s="542"/>
      <c r="BD433" s="542"/>
      <c r="BE433" s="539">
        <v>0</v>
      </c>
      <c r="BF433" s="539"/>
      <c r="BG433" s="539"/>
      <c r="BH433" s="539">
        <v>0</v>
      </c>
      <c r="BI433" s="539"/>
      <c r="BJ433" s="539"/>
      <c r="BK433" s="540"/>
      <c r="BL433" s="540"/>
      <c r="BM433" s="540"/>
      <c r="BN433" s="553"/>
      <c r="BO433" s="553"/>
      <c r="BP433" s="553"/>
      <c r="BQ433" s="539">
        <v>0</v>
      </c>
      <c r="BR433" s="541"/>
      <c r="BS433" s="541"/>
      <c r="BT433" s="541"/>
      <c r="BU433" s="541"/>
      <c r="BV433" s="541"/>
      <c r="BW433" s="541"/>
      <c r="BX433" s="541"/>
      <c r="BY433" s="541"/>
      <c r="BZ433" s="539">
        <f t="shared" ref="BZ433:BZ437" si="382">R433+U433+X433+AA433+AD433+AG433+AJ433+AM433+AP433+AS433+AV433+AY433+BB433+BE433+BH433+BK433+BN433+BQ433+BT433+BW433</f>
        <v>0</v>
      </c>
      <c r="CA433" s="539">
        <f t="shared" ref="CA433:CA437" si="383">S433+V433+Y433+AB433+AE433+AH433+AK433+AN433+AQ433+AT433+AW433+AZ433+BC433+BF433+BI433+BL433+BO433+BR433+BU433+BX433</f>
        <v>0</v>
      </c>
      <c r="CB433" s="539">
        <f t="shared" ref="CB433:CB437" si="384">T433+W433+Z433+AC433+AF433+AI433+AL433+AO433+AR433+AU433+AX433+BA433+BD433+BG433+BJ433+BM433+BP433+BS433+BV433+BY433</f>
        <v>0</v>
      </c>
    </row>
    <row r="434" spans="1:80" s="11" customFormat="1" ht="102" customHeight="1" x14ac:dyDescent="0.2">
      <c r="A434" s="256"/>
      <c r="B434" s="54"/>
      <c r="C434" s="282">
        <v>16</v>
      </c>
      <c r="D434" s="70" t="s">
        <v>523</v>
      </c>
      <c r="E434" s="348">
        <v>45</v>
      </c>
      <c r="F434" s="347">
        <v>90</v>
      </c>
      <c r="G434" s="64"/>
      <c r="H434" s="57">
        <v>99</v>
      </c>
      <c r="I434" s="56" t="s">
        <v>524</v>
      </c>
      <c r="J434" s="207">
        <v>76</v>
      </c>
      <c r="K434" s="237">
        <v>150</v>
      </c>
      <c r="L434" s="237">
        <v>160</v>
      </c>
      <c r="M434" s="851"/>
      <c r="N434" s="904"/>
      <c r="O434" s="857"/>
      <c r="P434" s="854"/>
      <c r="Q434" s="57" t="s">
        <v>51</v>
      </c>
      <c r="R434" s="539">
        <v>0</v>
      </c>
      <c r="S434" s="539"/>
      <c r="T434" s="539"/>
      <c r="U434" s="539">
        <v>0</v>
      </c>
      <c r="V434" s="539"/>
      <c r="W434" s="539"/>
      <c r="X434" s="539">
        <v>0</v>
      </c>
      <c r="Y434" s="539"/>
      <c r="Z434" s="539"/>
      <c r="AA434" s="539">
        <v>0</v>
      </c>
      <c r="AB434" s="539"/>
      <c r="AC434" s="539"/>
      <c r="AD434" s="539">
        <v>0</v>
      </c>
      <c r="AE434" s="539"/>
      <c r="AF434" s="539"/>
      <c r="AG434" s="539">
        <v>0</v>
      </c>
      <c r="AH434" s="539"/>
      <c r="AI434" s="539"/>
      <c r="AJ434" s="539"/>
      <c r="AK434" s="539"/>
      <c r="AL434" s="539"/>
      <c r="AM434" s="539"/>
      <c r="AN434" s="539"/>
      <c r="AO434" s="539"/>
      <c r="AP434" s="539"/>
      <c r="AQ434" s="539"/>
      <c r="AR434" s="539"/>
      <c r="AS434" s="539">
        <v>0</v>
      </c>
      <c r="AT434" s="539"/>
      <c r="AU434" s="539"/>
      <c r="AV434" s="539">
        <v>0</v>
      </c>
      <c r="AW434" s="541"/>
      <c r="AX434" s="541"/>
      <c r="AY434" s="542"/>
      <c r="AZ434" s="542"/>
      <c r="BA434" s="542"/>
      <c r="BB434" s="542"/>
      <c r="BC434" s="542"/>
      <c r="BD434" s="542"/>
      <c r="BE434" s="539">
        <v>0</v>
      </c>
      <c r="BF434" s="539"/>
      <c r="BG434" s="539"/>
      <c r="BH434" s="539">
        <v>0</v>
      </c>
      <c r="BI434" s="539"/>
      <c r="BJ434" s="539"/>
      <c r="BK434" s="540">
        <v>0</v>
      </c>
      <c r="BL434" s="540"/>
      <c r="BM434" s="540"/>
      <c r="BN434" s="553"/>
      <c r="BO434" s="553"/>
      <c r="BP434" s="553"/>
      <c r="BQ434" s="539">
        <v>0</v>
      </c>
      <c r="BR434" s="541"/>
      <c r="BS434" s="541"/>
      <c r="BT434" s="541"/>
      <c r="BU434" s="541"/>
      <c r="BV434" s="541"/>
      <c r="BW434" s="541"/>
      <c r="BX434" s="541"/>
      <c r="BY434" s="541"/>
      <c r="BZ434" s="539">
        <f t="shared" si="382"/>
        <v>0</v>
      </c>
      <c r="CA434" s="539">
        <f t="shared" si="383"/>
        <v>0</v>
      </c>
      <c r="CB434" s="539">
        <f t="shared" si="384"/>
        <v>0</v>
      </c>
    </row>
    <row r="435" spans="1:80" s="11" customFormat="1" ht="96" customHeight="1" x14ac:dyDescent="0.2">
      <c r="A435" s="256"/>
      <c r="B435" s="54"/>
      <c r="C435" s="282">
        <v>17</v>
      </c>
      <c r="D435" s="70" t="s">
        <v>490</v>
      </c>
      <c r="E435" s="346">
        <v>0.63270000000000004</v>
      </c>
      <c r="F435" s="345">
        <v>0.5</v>
      </c>
      <c r="G435" s="64"/>
      <c r="H435" s="57">
        <v>100</v>
      </c>
      <c r="I435" s="56" t="s">
        <v>525</v>
      </c>
      <c r="J435" s="207">
        <v>0</v>
      </c>
      <c r="K435" s="237">
        <v>6</v>
      </c>
      <c r="L435" s="237">
        <v>11</v>
      </c>
      <c r="M435" s="851"/>
      <c r="N435" s="904"/>
      <c r="O435" s="857"/>
      <c r="P435" s="854"/>
      <c r="Q435" s="57" t="s">
        <v>51</v>
      </c>
      <c r="R435" s="539">
        <v>0</v>
      </c>
      <c r="S435" s="539"/>
      <c r="T435" s="539"/>
      <c r="U435" s="539">
        <v>0</v>
      </c>
      <c r="V435" s="539"/>
      <c r="W435" s="539"/>
      <c r="X435" s="539">
        <v>0</v>
      </c>
      <c r="Y435" s="539"/>
      <c r="Z435" s="539"/>
      <c r="AA435" s="539">
        <v>0</v>
      </c>
      <c r="AB435" s="539"/>
      <c r="AC435" s="539"/>
      <c r="AD435" s="539">
        <v>0</v>
      </c>
      <c r="AE435" s="539"/>
      <c r="AF435" s="539"/>
      <c r="AG435" s="539">
        <v>0</v>
      </c>
      <c r="AH435" s="539"/>
      <c r="AI435" s="539"/>
      <c r="AJ435" s="539"/>
      <c r="AK435" s="539"/>
      <c r="AL435" s="539"/>
      <c r="AM435" s="539"/>
      <c r="AN435" s="539"/>
      <c r="AO435" s="539"/>
      <c r="AP435" s="539"/>
      <c r="AQ435" s="539"/>
      <c r="AR435" s="539"/>
      <c r="AS435" s="539">
        <v>0</v>
      </c>
      <c r="AT435" s="539"/>
      <c r="AU435" s="539"/>
      <c r="AV435" s="539">
        <v>0</v>
      </c>
      <c r="AW435" s="541"/>
      <c r="AX435" s="541"/>
      <c r="AY435" s="542"/>
      <c r="AZ435" s="542"/>
      <c r="BA435" s="542"/>
      <c r="BB435" s="542"/>
      <c r="BC435" s="542"/>
      <c r="BD435" s="542"/>
      <c r="BE435" s="539">
        <v>0</v>
      </c>
      <c r="BF435" s="539"/>
      <c r="BG435" s="539"/>
      <c r="BH435" s="539">
        <v>0</v>
      </c>
      <c r="BI435" s="539"/>
      <c r="BJ435" s="539"/>
      <c r="BK435" s="540">
        <f>16050000+8025000</f>
        <v>24075000</v>
      </c>
      <c r="BL435" s="540">
        <v>16050000</v>
      </c>
      <c r="BM435" s="540">
        <v>2675000</v>
      </c>
      <c r="BN435" s="553"/>
      <c r="BO435" s="553"/>
      <c r="BP435" s="553"/>
      <c r="BQ435" s="539">
        <v>0</v>
      </c>
      <c r="BR435" s="541"/>
      <c r="BS435" s="541"/>
      <c r="BT435" s="541"/>
      <c r="BU435" s="541"/>
      <c r="BV435" s="541"/>
      <c r="BW435" s="541"/>
      <c r="BX435" s="541"/>
      <c r="BY435" s="541"/>
      <c r="BZ435" s="539">
        <f t="shared" si="382"/>
        <v>24075000</v>
      </c>
      <c r="CA435" s="539">
        <f t="shared" si="383"/>
        <v>16050000</v>
      </c>
      <c r="CB435" s="539">
        <f t="shared" si="384"/>
        <v>2675000</v>
      </c>
    </row>
    <row r="436" spans="1:80" s="11" customFormat="1" ht="81" customHeight="1" x14ac:dyDescent="0.2">
      <c r="A436" s="256"/>
      <c r="B436" s="54"/>
      <c r="C436" s="282"/>
      <c r="D436" s="64"/>
      <c r="E436" s="354"/>
      <c r="F436" s="362"/>
      <c r="G436" s="64"/>
      <c r="H436" s="57">
        <v>101</v>
      </c>
      <c r="I436" s="56" t="s">
        <v>526</v>
      </c>
      <c r="J436" s="207">
        <v>0</v>
      </c>
      <c r="K436" s="237">
        <v>54</v>
      </c>
      <c r="L436" s="237">
        <v>0</v>
      </c>
      <c r="M436" s="851"/>
      <c r="N436" s="904"/>
      <c r="O436" s="857"/>
      <c r="P436" s="854"/>
      <c r="Q436" s="57" t="s">
        <v>51</v>
      </c>
      <c r="R436" s="539">
        <v>0</v>
      </c>
      <c r="S436" s="539"/>
      <c r="T436" s="539"/>
      <c r="U436" s="539">
        <v>0</v>
      </c>
      <c r="V436" s="539"/>
      <c r="W436" s="539"/>
      <c r="X436" s="539">
        <v>0</v>
      </c>
      <c r="Y436" s="539"/>
      <c r="Z436" s="539"/>
      <c r="AA436" s="539">
        <v>0</v>
      </c>
      <c r="AB436" s="539"/>
      <c r="AC436" s="539"/>
      <c r="AD436" s="539">
        <v>0</v>
      </c>
      <c r="AE436" s="539"/>
      <c r="AF436" s="539"/>
      <c r="AG436" s="539">
        <v>0</v>
      </c>
      <c r="AH436" s="539"/>
      <c r="AI436" s="539"/>
      <c r="AJ436" s="539"/>
      <c r="AK436" s="539"/>
      <c r="AL436" s="539"/>
      <c r="AM436" s="539"/>
      <c r="AN436" s="539"/>
      <c r="AO436" s="539"/>
      <c r="AP436" s="539"/>
      <c r="AQ436" s="539"/>
      <c r="AR436" s="539"/>
      <c r="AS436" s="539">
        <v>0</v>
      </c>
      <c r="AT436" s="539"/>
      <c r="AU436" s="539"/>
      <c r="AV436" s="539">
        <v>0</v>
      </c>
      <c r="AW436" s="541"/>
      <c r="AX436" s="541"/>
      <c r="AY436" s="542"/>
      <c r="AZ436" s="542"/>
      <c r="BA436" s="542"/>
      <c r="BB436" s="542"/>
      <c r="BC436" s="542"/>
      <c r="BD436" s="542"/>
      <c r="BE436" s="539">
        <v>0</v>
      </c>
      <c r="BF436" s="539"/>
      <c r="BG436" s="539"/>
      <c r="BH436" s="539">
        <v>0</v>
      </c>
      <c r="BI436" s="539"/>
      <c r="BJ436" s="539"/>
      <c r="BK436" s="540">
        <v>0</v>
      </c>
      <c r="BL436" s="540"/>
      <c r="BM436" s="540"/>
      <c r="BN436" s="553"/>
      <c r="BO436" s="553"/>
      <c r="BP436" s="553"/>
      <c r="BQ436" s="539">
        <v>0</v>
      </c>
      <c r="BR436" s="541"/>
      <c r="BS436" s="541"/>
      <c r="BT436" s="541"/>
      <c r="BU436" s="541"/>
      <c r="BV436" s="541"/>
      <c r="BW436" s="541"/>
      <c r="BX436" s="541"/>
      <c r="BY436" s="541"/>
      <c r="BZ436" s="539">
        <f t="shared" si="382"/>
        <v>0</v>
      </c>
      <c r="CA436" s="539">
        <f t="shared" si="383"/>
        <v>0</v>
      </c>
      <c r="CB436" s="539">
        <f t="shared" si="384"/>
        <v>0</v>
      </c>
    </row>
    <row r="437" spans="1:80" s="11" customFormat="1" ht="77.25" customHeight="1" x14ac:dyDescent="0.2">
      <c r="A437" s="256"/>
      <c r="B437" s="54"/>
      <c r="C437" s="509"/>
      <c r="D437" s="64"/>
      <c r="E437" s="354"/>
      <c r="F437" s="354"/>
      <c r="G437" s="139"/>
      <c r="H437" s="57">
        <v>102</v>
      </c>
      <c r="I437" s="56" t="s">
        <v>527</v>
      </c>
      <c r="J437" s="207">
        <v>0</v>
      </c>
      <c r="K437" s="237">
        <v>2</v>
      </c>
      <c r="L437" s="237">
        <v>0</v>
      </c>
      <c r="M437" s="852"/>
      <c r="N437" s="905"/>
      <c r="O437" s="858"/>
      <c r="P437" s="855"/>
      <c r="Q437" s="57" t="s">
        <v>67</v>
      </c>
      <c r="R437" s="539">
        <v>0</v>
      </c>
      <c r="S437" s="539"/>
      <c r="T437" s="539"/>
      <c r="U437" s="539">
        <v>0</v>
      </c>
      <c r="V437" s="539"/>
      <c r="W437" s="539"/>
      <c r="X437" s="539">
        <v>0</v>
      </c>
      <c r="Y437" s="539"/>
      <c r="Z437" s="539"/>
      <c r="AA437" s="539">
        <v>0</v>
      </c>
      <c r="AB437" s="539"/>
      <c r="AC437" s="539"/>
      <c r="AD437" s="539">
        <v>0</v>
      </c>
      <c r="AE437" s="539"/>
      <c r="AF437" s="539"/>
      <c r="AG437" s="539">
        <v>0</v>
      </c>
      <c r="AH437" s="539"/>
      <c r="AI437" s="539"/>
      <c r="AJ437" s="539"/>
      <c r="AK437" s="539"/>
      <c r="AL437" s="539"/>
      <c r="AM437" s="539"/>
      <c r="AN437" s="539"/>
      <c r="AO437" s="539"/>
      <c r="AP437" s="539"/>
      <c r="AQ437" s="539"/>
      <c r="AR437" s="539"/>
      <c r="AS437" s="539">
        <v>0</v>
      </c>
      <c r="AT437" s="539"/>
      <c r="AU437" s="539"/>
      <c r="AV437" s="539">
        <v>0</v>
      </c>
      <c r="AW437" s="541"/>
      <c r="AX437" s="541"/>
      <c r="AY437" s="542"/>
      <c r="AZ437" s="542"/>
      <c r="BA437" s="542"/>
      <c r="BB437" s="542"/>
      <c r="BC437" s="542"/>
      <c r="BD437" s="542"/>
      <c r="BE437" s="539">
        <v>0</v>
      </c>
      <c r="BF437" s="539"/>
      <c r="BG437" s="539"/>
      <c r="BH437" s="539">
        <v>0</v>
      </c>
      <c r="BI437" s="539"/>
      <c r="BJ437" s="539"/>
      <c r="BK437" s="540">
        <f>0+20000000</f>
        <v>20000000</v>
      </c>
      <c r="BL437" s="540"/>
      <c r="BM437" s="540"/>
      <c r="BN437" s="553"/>
      <c r="BO437" s="553"/>
      <c r="BP437" s="553"/>
      <c r="BQ437" s="539">
        <v>0</v>
      </c>
      <c r="BR437" s="541"/>
      <c r="BS437" s="541"/>
      <c r="BT437" s="541"/>
      <c r="BU437" s="541"/>
      <c r="BV437" s="541"/>
      <c r="BW437" s="541"/>
      <c r="BX437" s="541"/>
      <c r="BY437" s="541"/>
      <c r="BZ437" s="539">
        <f t="shared" si="382"/>
        <v>20000000</v>
      </c>
      <c r="CA437" s="539">
        <f t="shared" si="383"/>
        <v>0</v>
      </c>
      <c r="CB437" s="539">
        <f t="shared" si="384"/>
        <v>0</v>
      </c>
    </row>
    <row r="438" spans="1:80" s="459" customFormat="1" ht="15.75" x14ac:dyDescent="0.2">
      <c r="A438" s="256"/>
      <c r="B438" s="54"/>
      <c r="C438" s="259"/>
      <c r="D438" s="209"/>
      <c r="E438" s="365"/>
      <c r="F438" s="365"/>
      <c r="G438" s="77"/>
      <c r="H438" s="78"/>
      <c r="I438" s="77"/>
      <c r="J438" s="240"/>
      <c r="K438" s="246"/>
      <c r="L438" s="371"/>
      <c r="M438" s="246"/>
      <c r="N438" s="246"/>
      <c r="O438" s="78"/>
      <c r="P438" s="77"/>
      <c r="Q438" s="78"/>
      <c r="R438" s="548">
        <f t="shared" ref="R438:BY438" si="385">SUM(R433:R437)</f>
        <v>0</v>
      </c>
      <c r="S438" s="548">
        <f t="shared" si="385"/>
        <v>0</v>
      </c>
      <c r="T438" s="548">
        <f t="shared" si="385"/>
        <v>0</v>
      </c>
      <c r="U438" s="548">
        <f t="shared" si="385"/>
        <v>0</v>
      </c>
      <c r="V438" s="548">
        <f t="shared" si="385"/>
        <v>0</v>
      </c>
      <c r="W438" s="548">
        <f t="shared" si="385"/>
        <v>0</v>
      </c>
      <c r="X438" s="548">
        <f t="shared" si="385"/>
        <v>0</v>
      </c>
      <c r="Y438" s="548">
        <f t="shared" si="385"/>
        <v>0</v>
      </c>
      <c r="Z438" s="548">
        <f t="shared" si="385"/>
        <v>0</v>
      </c>
      <c r="AA438" s="548">
        <f t="shared" si="385"/>
        <v>0</v>
      </c>
      <c r="AB438" s="548">
        <f t="shared" si="385"/>
        <v>0</v>
      </c>
      <c r="AC438" s="548">
        <f t="shared" si="385"/>
        <v>0</v>
      </c>
      <c r="AD438" s="548">
        <f t="shared" si="385"/>
        <v>0</v>
      </c>
      <c r="AE438" s="548">
        <f t="shared" si="385"/>
        <v>0</v>
      </c>
      <c r="AF438" s="548">
        <f t="shared" si="385"/>
        <v>0</v>
      </c>
      <c r="AG438" s="548">
        <f t="shared" si="385"/>
        <v>0</v>
      </c>
      <c r="AH438" s="548">
        <f t="shared" si="385"/>
        <v>0</v>
      </c>
      <c r="AI438" s="548">
        <f t="shared" si="385"/>
        <v>0</v>
      </c>
      <c r="AJ438" s="548">
        <f t="shared" si="385"/>
        <v>0</v>
      </c>
      <c r="AK438" s="548">
        <f t="shared" si="385"/>
        <v>0</v>
      </c>
      <c r="AL438" s="548">
        <f t="shared" si="385"/>
        <v>0</v>
      </c>
      <c r="AM438" s="548">
        <f t="shared" si="385"/>
        <v>0</v>
      </c>
      <c r="AN438" s="548">
        <f t="shared" si="385"/>
        <v>0</v>
      </c>
      <c r="AO438" s="548">
        <f t="shared" si="385"/>
        <v>0</v>
      </c>
      <c r="AP438" s="548">
        <f t="shared" si="385"/>
        <v>0</v>
      </c>
      <c r="AQ438" s="548">
        <f t="shared" si="385"/>
        <v>0</v>
      </c>
      <c r="AR438" s="548">
        <f t="shared" si="385"/>
        <v>0</v>
      </c>
      <c r="AS438" s="548">
        <f t="shared" si="385"/>
        <v>0</v>
      </c>
      <c r="AT438" s="548">
        <f t="shared" si="385"/>
        <v>0</v>
      </c>
      <c r="AU438" s="548">
        <f t="shared" si="385"/>
        <v>0</v>
      </c>
      <c r="AV438" s="548">
        <f t="shared" si="385"/>
        <v>0</v>
      </c>
      <c r="AW438" s="548">
        <f t="shared" si="385"/>
        <v>0</v>
      </c>
      <c r="AX438" s="548">
        <f t="shared" si="385"/>
        <v>0</v>
      </c>
      <c r="AY438" s="548">
        <f t="shared" si="385"/>
        <v>0</v>
      </c>
      <c r="AZ438" s="548">
        <f t="shared" si="385"/>
        <v>0</v>
      </c>
      <c r="BA438" s="548">
        <f t="shared" si="385"/>
        <v>0</v>
      </c>
      <c r="BB438" s="548">
        <f t="shared" si="385"/>
        <v>0</v>
      </c>
      <c r="BC438" s="548">
        <f t="shared" si="385"/>
        <v>0</v>
      </c>
      <c r="BD438" s="548">
        <f t="shared" si="385"/>
        <v>0</v>
      </c>
      <c r="BE438" s="548">
        <f t="shared" si="385"/>
        <v>0</v>
      </c>
      <c r="BF438" s="548">
        <f t="shared" si="385"/>
        <v>0</v>
      </c>
      <c r="BG438" s="548">
        <f t="shared" si="385"/>
        <v>0</v>
      </c>
      <c r="BH438" s="548">
        <f t="shared" si="385"/>
        <v>0</v>
      </c>
      <c r="BI438" s="548">
        <f t="shared" si="385"/>
        <v>0</v>
      </c>
      <c r="BJ438" s="548">
        <f t="shared" si="385"/>
        <v>0</v>
      </c>
      <c r="BK438" s="548">
        <f t="shared" si="385"/>
        <v>44075000</v>
      </c>
      <c r="BL438" s="548">
        <f t="shared" si="385"/>
        <v>16050000</v>
      </c>
      <c r="BM438" s="548">
        <f t="shared" si="385"/>
        <v>2675000</v>
      </c>
      <c r="BN438" s="548">
        <f t="shared" si="385"/>
        <v>0</v>
      </c>
      <c r="BO438" s="548">
        <f t="shared" si="385"/>
        <v>0</v>
      </c>
      <c r="BP438" s="548">
        <f t="shared" si="385"/>
        <v>0</v>
      </c>
      <c r="BQ438" s="548">
        <f t="shared" si="385"/>
        <v>0</v>
      </c>
      <c r="BR438" s="548">
        <f t="shared" si="385"/>
        <v>0</v>
      </c>
      <c r="BS438" s="548">
        <f t="shared" si="385"/>
        <v>0</v>
      </c>
      <c r="BT438" s="548">
        <f t="shared" si="385"/>
        <v>0</v>
      </c>
      <c r="BU438" s="548">
        <f t="shared" si="385"/>
        <v>0</v>
      </c>
      <c r="BV438" s="548">
        <f t="shared" si="385"/>
        <v>0</v>
      </c>
      <c r="BW438" s="548">
        <f t="shared" si="385"/>
        <v>0</v>
      </c>
      <c r="BX438" s="548">
        <f t="shared" si="385"/>
        <v>0</v>
      </c>
      <c r="BY438" s="548">
        <f t="shared" si="385"/>
        <v>0</v>
      </c>
      <c r="BZ438" s="548">
        <f>SUM(BZ433:BZ437)</f>
        <v>44075000</v>
      </c>
      <c r="CA438" s="548">
        <f t="shared" ref="CA438:CB438" si="386">SUM(CA433:CA437)</f>
        <v>16050000</v>
      </c>
      <c r="CB438" s="548">
        <f t="shared" si="386"/>
        <v>2675000</v>
      </c>
    </row>
    <row r="439" spans="1:80" s="459" customFormat="1" ht="15.75" x14ac:dyDescent="0.2">
      <c r="A439" s="256"/>
      <c r="B439" s="54"/>
      <c r="C439" s="92"/>
      <c r="D439" s="91"/>
      <c r="E439" s="333"/>
      <c r="F439" s="333"/>
      <c r="G439" s="91"/>
      <c r="H439" s="92"/>
      <c r="I439" s="91"/>
      <c r="J439" s="244"/>
      <c r="K439" s="247"/>
      <c r="L439" s="353"/>
      <c r="M439" s="257"/>
      <c r="N439" s="258"/>
      <c r="O439" s="499"/>
      <c r="P439" s="124"/>
      <c r="Q439" s="92"/>
      <c r="R439" s="543"/>
      <c r="S439" s="543"/>
      <c r="T439" s="543"/>
      <c r="U439" s="543"/>
      <c r="V439" s="543"/>
      <c r="W439" s="543"/>
      <c r="X439" s="543"/>
      <c r="Y439" s="543"/>
      <c r="Z439" s="543"/>
      <c r="AA439" s="543"/>
      <c r="AB439" s="543"/>
      <c r="AC439" s="543"/>
      <c r="AD439" s="543"/>
      <c r="AE439" s="543"/>
      <c r="AF439" s="543"/>
      <c r="AG439" s="543"/>
      <c r="AH439" s="543"/>
      <c r="AI439" s="543"/>
      <c r="AJ439" s="543"/>
      <c r="AK439" s="543"/>
      <c r="AL439" s="543"/>
      <c r="AM439" s="543"/>
      <c r="AN439" s="543"/>
      <c r="AO439" s="543"/>
      <c r="AP439" s="543"/>
      <c r="AQ439" s="543"/>
      <c r="AR439" s="543"/>
      <c r="AS439" s="543"/>
      <c r="AT439" s="543"/>
      <c r="AU439" s="543"/>
      <c r="AV439" s="543"/>
      <c r="AW439" s="543"/>
      <c r="AX439" s="543"/>
      <c r="AY439" s="543"/>
      <c r="AZ439" s="543"/>
      <c r="BA439" s="543"/>
      <c r="BB439" s="543"/>
      <c r="BC439" s="543"/>
      <c r="BD439" s="543"/>
      <c r="BE439" s="543"/>
      <c r="BF439" s="543"/>
      <c r="BG439" s="543"/>
      <c r="BH439" s="543"/>
      <c r="BI439" s="543"/>
      <c r="BJ439" s="543"/>
      <c r="BK439" s="545"/>
      <c r="BL439" s="545"/>
      <c r="BM439" s="545"/>
      <c r="BN439" s="543"/>
      <c r="BO439" s="543"/>
      <c r="BP439" s="543"/>
      <c r="BQ439" s="543"/>
      <c r="BR439" s="543"/>
      <c r="BS439" s="543"/>
      <c r="BT439" s="543"/>
      <c r="BU439" s="543"/>
      <c r="BV439" s="543"/>
      <c r="BW439" s="543"/>
      <c r="BX439" s="543"/>
      <c r="BY439" s="543"/>
      <c r="BZ439" s="547"/>
      <c r="CA439" s="547"/>
      <c r="CB439" s="547"/>
    </row>
    <row r="440" spans="1:80" s="459" customFormat="1" ht="15.75" x14ac:dyDescent="0.2">
      <c r="A440" s="256"/>
      <c r="B440" s="54"/>
      <c r="C440" s="508"/>
      <c r="D440" s="229"/>
      <c r="E440" s="525"/>
      <c r="F440" s="525"/>
      <c r="G440" s="98">
        <v>24</v>
      </c>
      <c r="H440" s="100" t="s">
        <v>528</v>
      </c>
      <c r="I440" s="100"/>
      <c r="J440" s="100"/>
      <c r="K440" s="186"/>
      <c r="L440" s="278"/>
      <c r="M440" s="186"/>
      <c r="N440" s="100"/>
      <c r="O440" s="212"/>
      <c r="P440" s="100"/>
      <c r="Q440" s="100"/>
      <c r="R440" s="336"/>
      <c r="S440" s="336"/>
      <c r="T440" s="336"/>
      <c r="U440" s="336"/>
      <c r="V440" s="336"/>
      <c r="W440" s="336"/>
      <c r="X440" s="336"/>
      <c r="Y440" s="336"/>
      <c r="Z440" s="336"/>
      <c r="AA440" s="336"/>
      <c r="AB440" s="336"/>
      <c r="AC440" s="336"/>
      <c r="AD440" s="336"/>
      <c r="AE440" s="336"/>
      <c r="AF440" s="336"/>
      <c r="AG440" s="336"/>
      <c r="AH440" s="336"/>
      <c r="AI440" s="336"/>
      <c r="AJ440" s="336"/>
      <c r="AK440" s="336"/>
      <c r="AL440" s="336"/>
      <c r="AM440" s="336"/>
      <c r="AN440" s="336"/>
      <c r="AO440" s="336"/>
      <c r="AP440" s="336"/>
      <c r="AQ440" s="336"/>
      <c r="AR440" s="336"/>
      <c r="AS440" s="336"/>
      <c r="AT440" s="336"/>
      <c r="AU440" s="336"/>
      <c r="AV440" s="336"/>
      <c r="AW440" s="336"/>
      <c r="AX440" s="336"/>
      <c r="AY440" s="336"/>
      <c r="AZ440" s="336"/>
      <c r="BA440" s="336"/>
      <c r="BB440" s="336"/>
      <c r="BC440" s="336"/>
      <c r="BD440" s="336"/>
      <c r="BE440" s="336"/>
      <c r="BF440" s="336"/>
      <c r="BG440" s="336"/>
      <c r="BH440" s="336"/>
      <c r="BI440" s="336"/>
      <c r="BJ440" s="336"/>
      <c r="BK440" s="552"/>
      <c r="BL440" s="552"/>
      <c r="BM440" s="552"/>
      <c r="BN440" s="336"/>
      <c r="BO440" s="336"/>
      <c r="BP440" s="336"/>
      <c r="BQ440" s="336"/>
      <c r="BR440" s="336"/>
      <c r="BS440" s="336"/>
      <c r="BT440" s="336"/>
      <c r="BU440" s="336"/>
      <c r="BV440" s="336"/>
      <c r="BW440" s="336"/>
      <c r="BX440" s="336"/>
      <c r="BY440" s="336"/>
      <c r="BZ440" s="338"/>
      <c r="CA440" s="338"/>
      <c r="CB440" s="338"/>
    </row>
    <row r="441" spans="1:80" s="468" customFormat="1" ht="47.25" customHeight="1" x14ac:dyDescent="0.2">
      <c r="A441" s="256"/>
      <c r="B441" s="256"/>
      <c r="C441" s="509"/>
      <c r="D441" s="517"/>
      <c r="E441" s="526"/>
      <c r="F441" s="523"/>
      <c r="G441" s="27"/>
      <c r="H441" s="57">
        <v>103</v>
      </c>
      <c r="I441" s="56" t="s">
        <v>529</v>
      </c>
      <c r="J441" s="207">
        <v>3</v>
      </c>
      <c r="K441" s="237">
        <v>3</v>
      </c>
      <c r="L441" s="237">
        <v>3</v>
      </c>
      <c r="M441" s="850">
        <v>2017003630032</v>
      </c>
      <c r="N441" s="914" t="s">
        <v>458</v>
      </c>
      <c r="O441" s="856" t="s">
        <v>530</v>
      </c>
      <c r="P441" s="853" t="s">
        <v>531</v>
      </c>
      <c r="Q441" s="57" t="s">
        <v>67</v>
      </c>
      <c r="R441" s="539">
        <v>0</v>
      </c>
      <c r="S441" s="539"/>
      <c r="T441" s="539"/>
      <c r="U441" s="539">
        <v>0</v>
      </c>
      <c r="V441" s="539"/>
      <c r="W441" s="539"/>
      <c r="X441" s="539">
        <v>0</v>
      </c>
      <c r="Y441" s="539"/>
      <c r="Z441" s="539"/>
      <c r="AA441" s="539">
        <v>0</v>
      </c>
      <c r="AB441" s="539"/>
      <c r="AC441" s="539"/>
      <c r="AD441" s="539">
        <v>0</v>
      </c>
      <c r="AE441" s="539"/>
      <c r="AF441" s="539"/>
      <c r="AG441" s="539">
        <v>0</v>
      </c>
      <c r="AH441" s="539"/>
      <c r="AI441" s="539"/>
      <c r="AJ441" s="539">
        <v>0</v>
      </c>
      <c r="AK441" s="539"/>
      <c r="AL441" s="539"/>
      <c r="AM441" s="539"/>
      <c r="AN441" s="539"/>
      <c r="AO441" s="539"/>
      <c r="AP441" s="539"/>
      <c r="AQ441" s="539"/>
      <c r="AR441" s="539"/>
      <c r="AS441" s="539">
        <v>0</v>
      </c>
      <c r="AT441" s="539"/>
      <c r="AU441" s="539"/>
      <c r="AV441" s="539">
        <v>0</v>
      </c>
      <c r="AW441" s="539"/>
      <c r="AX441" s="539"/>
      <c r="AY441" s="540"/>
      <c r="AZ441" s="540"/>
      <c r="BA441" s="540"/>
      <c r="BB441" s="540"/>
      <c r="BC441" s="540"/>
      <c r="BD441" s="540"/>
      <c r="BE441" s="539">
        <v>0</v>
      </c>
      <c r="BF441" s="539"/>
      <c r="BG441" s="539"/>
      <c r="BH441" s="539">
        <v>0</v>
      </c>
      <c r="BI441" s="539"/>
      <c r="BJ441" s="539"/>
      <c r="BK441" s="540">
        <f>10000000</f>
        <v>10000000</v>
      </c>
      <c r="BL441" s="646"/>
      <c r="BM441" s="645"/>
      <c r="BN441" s="631"/>
      <c r="BO441" s="631"/>
      <c r="BP441" s="631"/>
      <c r="BQ441" s="539">
        <v>0</v>
      </c>
      <c r="BR441" s="541"/>
      <c r="BS441" s="541"/>
      <c r="BT441" s="541"/>
      <c r="BU441" s="541"/>
      <c r="BV441" s="541"/>
      <c r="BW441" s="541">
        <v>0</v>
      </c>
      <c r="BX441" s="541"/>
      <c r="BY441" s="541"/>
      <c r="BZ441" s="539">
        <f t="shared" ref="BZ441:BZ445" si="387">R441+U441+X441+AA441+AD441+AG441+AJ441+AM441+AP441+AS441+AV441+AY441+BB441+BE441+BH441+BK441+BN441+BQ441+BT441+BW441</f>
        <v>10000000</v>
      </c>
      <c r="CA441" s="539">
        <f t="shared" ref="CA441:CA445" si="388">S441+V441+Y441+AB441+AE441+AH441+AK441+AN441+AQ441+AT441+AW441+AZ441+BC441+BF441+BI441+BL441+BO441+BR441+BU441+BX441</f>
        <v>0</v>
      </c>
      <c r="CB441" s="539">
        <f t="shared" ref="CB441:CB445" si="389">T441+W441+Z441+AC441+AF441+AI441+AL441+AO441+AR441+AU441+AX441+BA441+BD441+BG441+BJ441+BM441+BP441+BS441+BV441+BY441</f>
        <v>0</v>
      </c>
    </row>
    <row r="442" spans="1:80" s="468" customFormat="1" ht="50.25" customHeight="1" x14ac:dyDescent="0.25">
      <c r="A442" s="256"/>
      <c r="B442" s="256"/>
      <c r="C442" s="28">
        <v>17</v>
      </c>
      <c r="D442" s="70" t="s">
        <v>532</v>
      </c>
      <c r="E442" s="346">
        <v>0.63270000000000004</v>
      </c>
      <c r="F442" s="349">
        <v>0.5</v>
      </c>
      <c r="G442" s="28"/>
      <c r="H442" s="57">
        <v>104</v>
      </c>
      <c r="I442" s="56" t="s">
        <v>533</v>
      </c>
      <c r="J442" s="207">
        <v>4</v>
      </c>
      <c r="K442" s="237">
        <v>44</v>
      </c>
      <c r="L442" s="237">
        <v>48</v>
      </c>
      <c r="M442" s="851"/>
      <c r="N442" s="915"/>
      <c r="O442" s="857"/>
      <c r="P442" s="854"/>
      <c r="Q442" s="57" t="s">
        <v>67</v>
      </c>
      <c r="R442" s="539">
        <v>0</v>
      </c>
      <c r="S442" s="539"/>
      <c r="T442" s="539"/>
      <c r="U442" s="539">
        <v>0</v>
      </c>
      <c r="V442" s="539"/>
      <c r="W442" s="539"/>
      <c r="X442" s="539">
        <v>0</v>
      </c>
      <c r="Y442" s="539"/>
      <c r="Z442" s="539"/>
      <c r="AA442" s="539">
        <v>0</v>
      </c>
      <c r="AB442" s="539"/>
      <c r="AC442" s="539"/>
      <c r="AD442" s="539">
        <v>0</v>
      </c>
      <c r="AE442" s="539"/>
      <c r="AF442" s="539"/>
      <c r="AG442" s="539">
        <v>0</v>
      </c>
      <c r="AH442" s="539"/>
      <c r="AI442" s="539"/>
      <c r="AJ442" s="539"/>
      <c r="AK442" s="539"/>
      <c r="AL442" s="539"/>
      <c r="AM442" s="539"/>
      <c r="AN442" s="539"/>
      <c r="AO442" s="539"/>
      <c r="AP442" s="539"/>
      <c r="AQ442" s="539"/>
      <c r="AR442" s="539"/>
      <c r="AS442" s="539">
        <v>0</v>
      </c>
      <c r="AT442" s="539"/>
      <c r="AU442" s="539"/>
      <c r="AV442" s="539">
        <v>0</v>
      </c>
      <c r="AW442" s="539"/>
      <c r="AX442" s="539"/>
      <c r="AY442" s="540"/>
      <c r="AZ442" s="540"/>
      <c r="BA442" s="540"/>
      <c r="BB442" s="540"/>
      <c r="BC442" s="540"/>
      <c r="BD442" s="540"/>
      <c r="BE442" s="539">
        <v>0</v>
      </c>
      <c r="BF442" s="539"/>
      <c r="BG442" s="539"/>
      <c r="BH442" s="539">
        <v>0</v>
      </c>
      <c r="BI442" s="539"/>
      <c r="BJ442" s="539"/>
      <c r="BK442" s="540">
        <v>10000000</v>
      </c>
      <c r="BL442" s="542"/>
      <c r="BM442" s="540"/>
      <c r="BN442" s="553"/>
      <c r="BO442" s="553"/>
      <c r="BP442" s="553"/>
      <c r="BQ442" s="539">
        <v>0</v>
      </c>
      <c r="BR442" s="541"/>
      <c r="BS442" s="541"/>
      <c r="BT442" s="541"/>
      <c r="BU442" s="541"/>
      <c r="BV442" s="541"/>
      <c r="BW442" s="541">
        <v>0</v>
      </c>
      <c r="BX442" s="541"/>
      <c r="BY442" s="541"/>
      <c r="BZ442" s="539">
        <f t="shared" si="387"/>
        <v>10000000</v>
      </c>
      <c r="CA442" s="539">
        <f t="shared" si="388"/>
        <v>0</v>
      </c>
      <c r="CB442" s="539">
        <f t="shared" si="389"/>
        <v>0</v>
      </c>
    </row>
    <row r="443" spans="1:80" s="468" customFormat="1" ht="68.25" customHeight="1" x14ac:dyDescent="0.25">
      <c r="A443" s="256"/>
      <c r="B443" s="256"/>
      <c r="C443" s="28">
        <v>18</v>
      </c>
      <c r="D443" s="70" t="s">
        <v>534</v>
      </c>
      <c r="E443" s="348">
        <v>6</v>
      </c>
      <c r="F443" s="364">
        <v>12</v>
      </c>
      <c r="G443" s="28"/>
      <c r="H443" s="57">
        <v>105</v>
      </c>
      <c r="I443" s="56" t="s">
        <v>535</v>
      </c>
      <c r="J443" s="207">
        <v>43</v>
      </c>
      <c r="K443" s="237">
        <v>47</v>
      </c>
      <c r="L443" s="237">
        <v>49</v>
      </c>
      <c r="M443" s="851"/>
      <c r="N443" s="915"/>
      <c r="O443" s="857"/>
      <c r="P443" s="854"/>
      <c r="Q443" s="57" t="s">
        <v>51</v>
      </c>
      <c r="R443" s="539">
        <v>0</v>
      </c>
      <c r="S443" s="539"/>
      <c r="T443" s="539"/>
      <c r="U443" s="539">
        <v>0</v>
      </c>
      <c r="V443" s="539"/>
      <c r="W443" s="539"/>
      <c r="X443" s="539">
        <v>0</v>
      </c>
      <c r="Y443" s="539"/>
      <c r="Z443" s="539"/>
      <c r="AA443" s="539">
        <v>0</v>
      </c>
      <c r="AB443" s="539"/>
      <c r="AC443" s="539"/>
      <c r="AD443" s="539">
        <v>0</v>
      </c>
      <c r="AE443" s="539"/>
      <c r="AF443" s="539"/>
      <c r="AG443" s="539">
        <v>0</v>
      </c>
      <c r="AH443" s="539"/>
      <c r="AI443" s="539"/>
      <c r="AJ443" s="539"/>
      <c r="AK443" s="539"/>
      <c r="AL443" s="539"/>
      <c r="AM443" s="539"/>
      <c r="AN443" s="539"/>
      <c r="AO443" s="539"/>
      <c r="AP443" s="539"/>
      <c r="AQ443" s="539"/>
      <c r="AR443" s="539"/>
      <c r="AS443" s="539">
        <v>0</v>
      </c>
      <c r="AT443" s="539"/>
      <c r="AU443" s="539"/>
      <c r="AV443" s="539">
        <v>0</v>
      </c>
      <c r="AW443" s="539"/>
      <c r="AX443" s="539"/>
      <c r="AY443" s="540">
        <f>24300000-24300000</f>
        <v>0</v>
      </c>
      <c r="AZ443" s="540"/>
      <c r="BA443" s="540"/>
      <c r="BB443" s="540"/>
      <c r="BC443" s="540"/>
      <c r="BD443" s="540"/>
      <c r="BE443" s="539">
        <v>0</v>
      </c>
      <c r="BF443" s="539"/>
      <c r="BG443" s="539"/>
      <c r="BH443" s="539">
        <v>0</v>
      </c>
      <c r="BI443" s="539"/>
      <c r="BJ443" s="539"/>
      <c r="BK443" s="540">
        <f>10000000+270000000</f>
        <v>280000000</v>
      </c>
      <c r="BL443" s="540">
        <v>279532576</v>
      </c>
      <c r="BM443" s="540"/>
      <c r="BN443" s="540"/>
      <c r="BO443" s="540"/>
      <c r="BP443" s="540"/>
      <c r="BQ443" s="539">
        <v>0</v>
      </c>
      <c r="BR443" s="541"/>
      <c r="BS443" s="541"/>
      <c r="BT443" s="541"/>
      <c r="BU443" s="541"/>
      <c r="BV443" s="541"/>
      <c r="BW443" s="541">
        <v>0</v>
      </c>
      <c r="BX443" s="541"/>
      <c r="BY443" s="541"/>
      <c r="BZ443" s="539">
        <f t="shared" si="387"/>
        <v>280000000</v>
      </c>
      <c r="CA443" s="539">
        <f t="shared" si="388"/>
        <v>279532576</v>
      </c>
      <c r="CB443" s="539">
        <f t="shared" si="389"/>
        <v>0</v>
      </c>
    </row>
    <row r="444" spans="1:80" s="468" customFormat="1" ht="67.5" customHeight="1" x14ac:dyDescent="0.25">
      <c r="A444" s="256"/>
      <c r="B444" s="256"/>
      <c r="C444" s="28">
        <v>20</v>
      </c>
      <c r="D444" s="70" t="s">
        <v>536</v>
      </c>
      <c r="E444" s="346" t="s">
        <v>894</v>
      </c>
      <c r="F444" s="346" t="s">
        <v>895</v>
      </c>
      <c r="G444" s="28"/>
      <c r="H444" s="27">
        <v>106</v>
      </c>
      <c r="I444" s="67" t="s">
        <v>537</v>
      </c>
      <c r="J444" s="208">
        <v>0</v>
      </c>
      <c r="K444" s="361">
        <v>1</v>
      </c>
      <c r="L444" s="818">
        <v>0.25</v>
      </c>
      <c r="M444" s="852"/>
      <c r="N444" s="915"/>
      <c r="O444" s="857"/>
      <c r="P444" s="854"/>
      <c r="Q444" s="27" t="s">
        <v>51</v>
      </c>
      <c r="R444" s="580">
        <v>0</v>
      </c>
      <c r="S444" s="580"/>
      <c r="T444" s="580"/>
      <c r="U444" s="580">
        <v>0</v>
      </c>
      <c r="V444" s="580"/>
      <c r="W444" s="580"/>
      <c r="X444" s="580">
        <v>0</v>
      </c>
      <c r="Y444" s="580"/>
      <c r="Z444" s="580"/>
      <c r="AA444" s="580">
        <v>0</v>
      </c>
      <c r="AB444" s="580"/>
      <c r="AC444" s="580"/>
      <c r="AD444" s="580">
        <v>0</v>
      </c>
      <c r="AE444" s="580"/>
      <c r="AF444" s="580"/>
      <c r="AG444" s="580">
        <v>0</v>
      </c>
      <c r="AH444" s="580"/>
      <c r="AI444" s="580"/>
      <c r="AJ444" s="580"/>
      <c r="AK444" s="580"/>
      <c r="AL444" s="580"/>
      <c r="AM444" s="580"/>
      <c r="AN444" s="580"/>
      <c r="AO444" s="580"/>
      <c r="AP444" s="580"/>
      <c r="AQ444" s="580"/>
      <c r="AR444" s="580"/>
      <c r="AS444" s="580">
        <v>0</v>
      </c>
      <c r="AT444" s="580"/>
      <c r="AU444" s="580"/>
      <c r="AV444" s="580">
        <v>0</v>
      </c>
      <c r="AW444" s="580"/>
      <c r="AX444" s="580"/>
      <c r="AY444" s="540">
        <f>40500000-40500000</f>
        <v>0</v>
      </c>
      <c r="AZ444" s="601"/>
      <c r="BA444" s="601"/>
      <c r="BB444" s="601"/>
      <c r="BC444" s="601"/>
      <c r="BD444" s="601"/>
      <c r="BE444" s="580">
        <v>0</v>
      </c>
      <c r="BF444" s="580"/>
      <c r="BG444" s="580"/>
      <c r="BH444" s="580">
        <v>0</v>
      </c>
      <c r="BI444" s="580"/>
      <c r="BJ444" s="580"/>
      <c r="BK444" s="540">
        <f>16000000+30000000</f>
        <v>46000000</v>
      </c>
      <c r="BL444" s="601">
        <v>46000000</v>
      </c>
      <c r="BM444" s="601"/>
      <c r="BN444" s="601"/>
      <c r="BO444" s="601"/>
      <c r="BP444" s="601"/>
      <c r="BQ444" s="580">
        <v>0</v>
      </c>
      <c r="BR444" s="613"/>
      <c r="BS444" s="613"/>
      <c r="BT444" s="613"/>
      <c r="BU444" s="613"/>
      <c r="BV444" s="613"/>
      <c r="BW444" s="613">
        <v>0</v>
      </c>
      <c r="BX444" s="613"/>
      <c r="BY444" s="613"/>
      <c r="BZ444" s="539">
        <f t="shared" si="387"/>
        <v>46000000</v>
      </c>
      <c r="CA444" s="539">
        <f t="shared" si="388"/>
        <v>46000000</v>
      </c>
      <c r="CB444" s="539">
        <f t="shared" si="389"/>
        <v>0</v>
      </c>
    </row>
    <row r="445" spans="1:80" s="468" customFormat="1" ht="123" customHeight="1" x14ac:dyDescent="0.25">
      <c r="A445" s="256"/>
      <c r="B445" s="256"/>
      <c r="C445" s="508">
        <v>20</v>
      </c>
      <c r="D445" s="516" t="s">
        <v>536</v>
      </c>
      <c r="E445" s="525" t="s">
        <v>894</v>
      </c>
      <c r="F445" s="525" t="s">
        <v>895</v>
      </c>
      <c r="G445" s="57"/>
      <c r="H445" s="57">
        <v>107</v>
      </c>
      <c r="I445" s="56" t="s">
        <v>538</v>
      </c>
      <c r="J445" s="207">
        <v>1</v>
      </c>
      <c r="K445" s="237">
        <v>1</v>
      </c>
      <c r="L445" s="818">
        <v>0.13</v>
      </c>
      <c r="M445" s="237"/>
      <c r="N445" s="137" t="s">
        <v>458</v>
      </c>
      <c r="O445" s="132" t="s">
        <v>539</v>
      </c>
      <c r="P445" s="56" t="s">
        <v>540</v>
      </c>
      <c r="Q445" s="57" t="s">
        <v>51</v>
      </c>
      <c r="R445" s="539"/>
      <c r="S445" s="539"/>
      <c r="T445" s="539"/>
      <c r="U445" s="539"/>
      <c r="V445" s="539"/>
      <c r="W445" s="539"/>
      <c r="X445" s="539"/>
      <c r="Y445" s="539"/>
      <c r="Z445" s="539"/>
      <c r="AA445" s="539"/>
      <c r="AB445" s="539"/>
      <c r="AC445" s="539"/>
      <c r="AD445" s="539"/>
      <c r="AE445" s="539"/>
      <c r="AF445" s="539"/>
      <c r="AG445" s="539"/>
      <c r="AH445" s="539"/>
      <c r="AI445" s="539"/>
      <c r="AJ445" s="539"/>
      <c r="AK445" s="539"/>
      <c r="AL445" s="539"/>
      <c r="AM445" s="539"/>
      <c r="AN445" s="539"/>
      <c r="AO445" s="539"/>
      <c r="AP445" s="539"/>
      <c r="AQ445" s="539"/>
      <c r="AR445" s="539"/>
      <c r="AS445" s="539"/>
      <c r="AT445" s="539"/>
      <c r="AU445" s="539"/>
      <c r="AV445" s="539"/>
      <c r="AW445" s="539"/>
      <c r="AX445" s="539"/>
      <c r="AY445" s="540">
        <f>790000-790000</f>
        <v>0</v>
      </c>
      <c r="AZ445" s="540"/>
      <c r="BA445" s="540"/>
      <c r="BB445" s="540"/>
      <c r="BC445" s="540"/>
      <c r="BD445" s="540"/>
      <c r="BE445" s="539"/>
      <c r="BF445" s="539"/>
      <c r="BG445" s="539"/>
      <c r="BH445" s="539"/>
      <c r="BI445" s="541"/>
      <c r="BJ445" s="541"/>
      <c r="BK445" s="628">
        <v>45000000</v>
      </c>
      <c r="BL445" s="628">
        <v>5800000</v>
      </c>
      <c r="BM445" s="628">
        <v>5800000</v>
      </c>
      <c r="BN445" s="553"/>
      <c r="BO445" s="553"/>
      <c r="BP445" s="553"/>
      <c r="BQ445" s="539"/>
      <c r="BR445" s="539"/>
      <c r="BS445" s="539"/>
      <c r="BT445" s="539"/>
      <c r="BU445" s="539"/>
      <c r="BV445" s="539"/>
      <c r="BW445" s="539"/>
      <c r="BX445" s="539"/>
      <c r="BY445" s="539"/>
      <c r="BZ445" s="539">
        <f t="shared" si="387"/>
        <v>45000000</v>
      </c>
      <c r="CA445" s="539">
        <f t="shared" si="388"/>
        <v>5800000</v>
      </c>
      <c r="CB445" s="539">
        <f t="shared" si="389"/>
        <v>5800000</v>
      </c>
    </row>
    <row r="446" spans="1:80" s="469" customFormat="1" ht="15.75" x14ac:dyDescent="0.25">
      <c r="A446" s="256"/>
      <c r="B446" s="74"/>
      <c r="C446" s="259"/>
      <c r="D446" s="518"/>
      <c r="E446" s="527"/>
      <c r="F446" s="365"/>
      <c r="G446" s="366"/>
      <c r="H446" s="367"/>
      <c r="I446" s="366"/>
      <c r="J446" s="368"/>
      <c r="K446" s="369"/>
      <c r="L446" s="820"/>
      <c r="M446" s="369"/>
      <c r="N446" s="369"/>
      <c r="O446" s="367"/>
      <c r="P446" s="366"/>
      <c r="Q446" s="367"/>
      <c r="R446" s="647">
        <f t="shared" ref="R446:BY446" si="390">SUM(R441:R445)</f>
        <v>0</v>
      </c>
      <c r="S446" s="647">
        <f t="shared" si="390"/>
        <v>0</v>
      </c>
      <c r="T446" s="647">
        <f t="shared" si="390"/>
        <v>0</v>
      </c>
      <c r="U446" s="647">
        <f t="shared" si="390"/>
        <v>0</v>
      </c>
      <c r="V446" s="647">
        <f t="shared" si="390"/>
        <v>0</v>
      </c>
      <c r="W446" s="647">
        <f t="shared" si="390"/>
        <v>0</v>
      </c>
      <c r="X446" s="647">
        <f t="shared" si="390"/>
        <v>0</v>
      </c>
      <c r="Y446" s="647">
        <f t="shared" si="390"/>
        <v>0</v>
      </c>
      <c r="Z446" s="647">
        <f t="shared" si="390"/>
        <v>0</v>
      </c>
      <c r="AA446" s="647">
        <f t="shared" si="390"/>
        <v>0</v>
      </c>
      <c r="AB446" s="647">
        <f t="shared" si="390"/>
        <v>0</v>
      </c>
      <c r="AC446" s="647">
        <f t="shared" si="390"/>
        <v>0</v>
      </c>
      <c r="AD446" s="647">
        <f t="shared" si="390"/>
        <v>0</v>
      </c>
      <c r="AE446" s="647">
        <f t="shared" si="390"/>
        <v>0</v>
      </c>
      <c r="AF446" s="647">
        <f t="shared" si="390"/>
        <v>0</v>
      </c>
      <c r="AG446" s="647">
        <f t="shared" si="390"/>
        <v>0</v>
      </c>
      <c r="AH446" s="647">
        <f t="shared" si="390"/>
        <v>0</v>
      </c>
      <c r="AI446" s="647">
        <f t="shared" si="390"/>
        <v>0</v>
      </c>
      <c r="AJ446" s="647">
        <f t="shared" si="390"/>
        <v>0</v>
      </c>
      <c r="AK446" s="647">
        <f t="shared" si="390"/>
        <v>0</v>
      </c>
      <c r="AL446" s="647">
        <f t="shared" si="390"/>
        <v>0</v>
      </c>
      <c r="AM446" s="647">
        <f t="shared" si="390"/>
        <v>0</v>
      </c>
      <c r="AN446" s="647">
        <f t="shared" si="390"/>
        <v>0</v>
      </c>
      <c r="AO446" s="647">
        <f t="shared" si="390"/>
        <v>0</v>
      </c>
      <c r="AP446" s="647">
        <f t="shared" si="390"/>
        <v>0</v>
      </c>
      <c r="AQ446" s="647">
        <f t="shared" si="390"/>
        <v>0</v>
      </c>
      <c r="AR446" s="647">
        <f t="shared" si="390"/>
        <v>0</v>
      </c>
      <c r="AS446" s="647">
        <f t="shared" si="390"/>
        <v>0</v>
      </c>
      <c r="AT446" s="647">
        <f t="shared" si="390"/>
        <v>0</v>
      </c>
      <c r="AU446" s="647">
        <f t="shared" si="390"/>
        <v>0</v>
      </c>
      <c r="AV446" s="647">
        <f t="shared" si="390"/>
        <v>0</v>
      </c>
      <c r="AW446" s="647">
        <f t="shared" si="390"/>
        <v>0</v>
      </c>
      <c r="AX446" s="647">
        <f t="shared" si="390"/>
        <v>0</v>
      </c>
      <c r="AY446" s="647">
        <f t="shared" si="390"/>
        <v>0</v>
      </c>
      <c r="AZ446" s="647">
        <f t="shared" si="390"/>
        <v>0</v>
      </c>
      <c r="BA446" s="647">
        <f t="shared" si="390"/>
        <v>0</v>
      </c>
      <c r="BB446" s="647">
        <f t="shared" si="390"/>
        <v>0</v>
      </c>
      <c r="BC446" s="647">
        <f t="shared" si="390"/>
        <v>0</v>
      </c>
      <c r="BD446" s="647">
        <f t="shared" si="390"/>
        <v>0</v>
      </c>
      <c r="BE446" s="647">
        <f t="shared" si="390"/>
        <v>0</v>
      </c>
      <c r="BF446" s="647">
        <f t="shared" si="390"/>
        <v>0</v>
      </c>
      <c r="BG446" s="647">
        <f t="shared" si="390"/>
        <v>0</v>
      </c>
      <c r="BH446" s="647">
        <f t="shared" si="390"/>
        <v>0</v>
      </c>
      <c r="BI446" s="647">
        <f t="shared" si="390"/>
        <v>0</v>
      </c>
      <c r="BJ446" s="647">
        <f t="shared" si="390"/>
        <v>0</v>
      </c>
      <c r="BK446" s="647">
        <f t="shared" si="390"/>
        <v>391000000</v>
      </c>
      <c r="BL446" s="647">
        <f t="shared" si="390"/>
        <v>331332576</v>
      </c>
      <c r="BM446" s="647">
        <f t="shared" si="390"/>
        <v>5800000</v>
      </c>
      <c r="BN446" s="647">
        <f t="shared" si="390"/>
        <v>0</v>
      </c>
      <c r="BO446" s="647">
        <f t="shared" si="390"/>
        <v>0</v>
      </c>
      <c r="BP446" s="647">
        <f t="shared" si="390"/>
        <v>0</v>
      </c>
      <c r="BQ446" s="647">
        <f t="shared" si="390"/>
        <v>0</v>
      </c>
      <c r="BR446" s="647">
        <f t="shared" si="390"/>
        <v>0</v>
      </c>
      <c r="BS446" s="647">
        <f t="shared" si="390"/>
        <v>0</v>
      </c>
      <c r="BT446" s="647">
        <f t="shared" si="390"/>
        <v>0</v>
      </c>
      <c r="BU446" s="647">
        <f t="shared" si="390"/>
        <v>0</v>
      </c>
      <c r="BV446" s="647">
        <f t="shared" si="390"/>
        <v>0</v>
      </c>
      <c r="BW446" s="647">
        <f t="shared" si="390"/>
        <v>0</v>
      </c>
      <c r="BX446" s="647">
        <f t="shared" si="390"/>
        <v>0</v>
      </c>
      <c r="BY446" s="647">
        <f t="shared" si="390"/>
        <v>0</v>
      </c>
      <c r="BZ446" s="647">
        <f>SUM(BZ441:BZ445)</f>
        <v>391000000</v>
      </c>
      <c r="CA446" s="647">
        <f t="shared" ref="CA446:CB446" si="391">SUM(CA441:CA445)</f>
        <v>331332576</v>
      </c>
      <c r="CB446" s="647">
        <f t="shared" si="391"/>
        <v>5800000</v>
      </c>
    </row>
    <row r="447" spans="1:80" s="469" customFormat="1" ht="15.75" x14ac:dyDescent="0.25">
      <c r="A447" s="54"/>
      <c r="B447" s="370"/>
      <c r="C447" s="82"/>
      <c r="D447" s="81"/>
      <c r="E447" s="340"/>
      <c r="F447" s="340"/>
      <c r="G447" s="81"/>
      <c r="H447" s="82"/>
      <c r="I447" s="81"/>
      <c r="J447" s="261"/>
      <c r="K447" s="251"/>
      <c r="L447" s="821"/>
      <c r="M447" s="251"/>
      <c r="N447" s="251"/>
      <c r="O447" s="82"/>
      <c r="P447" s="81"/>
      <c r="Q447" s="82"/>
      <c r="R447" s="554">
        <f t="shared" ref="R447:BY447" si="392">R446+R438</f>
        <v>0</v>
      </c>
      <c r="S447" s="554">
        <f t="shared" si="392"/>
        <v>0</v>
      </c>
      <c r="T447" s="554">
        <f t="shared" si="392"/>
        <v>0</v>
      </c>
      <c r="U447" s="554">
        <f t="shared" si="392"/>
        <v>0</v>
      </c>
      <c r="V447" s="554">
        <f t="shared" si="392"/>
        <v>0</v>
      </c>
      <c r="W447" s="554">
        <f t="shared" si="392"/>
        <v>0</v>
      </c>
      <c r="X447" s="554">
        <f t="shared" si="392"/>
        <v>0</v>
      </c>
      <c r="Y447" s="554">
        <f t="shared" si="392"/>
        <v>0</v>
      </c>
      <c r="Z447" s="554">
        <f t="shared" si="392"/>
        <v>0</v>
      </c>
      <c r="AA447" s="554">
        <f t="shared" si="392"/>
        <v>0</v>
      </c>
      <c r="AB447" s="554">
        <f t="shared" si="392"/>
        <v>0</v>
      </c>
      <c r="AC447" s="554">
        <f t="shared" si="392"/>
        <v>0</v>
      </c>
      <c r="AD447" s="554">
        <f t="shared" si="392"/>
        <v>0</v>
      </c>
      <c r="AE447" s="554">
        <f t="shared" si="392"/>
        <v>0</v>
      </c>
      <c r="AF447" s="554">
        <f t="shared" si="392"/>
        <v>0</v>
      </c>
      <c r="AG447" s="554">
        <f t="shared" si="392"/>
        <v>0</v>
      </c>
      <c r="AH447" s="554">
        <f t="shared" si="392"/>
        <v>0</v>
      </c>
      <c r="AI447" s="554">
        <f t="shared" si="392"/>
        <v>0</v>
      </c>
      <c r="AJ447" s="554">
        <f t="shared" si="392"/>
        <v>0</v>
      </c>
      <c r="AK447" s="554">
        <f t="shared" si="392"/>
        <v>0</v>
      </c>
      <c r="AL447" s="554">
        <f t="shared" si="392"/>
        <v>0</v>
      </c>
      <c r="AM447" s="554">
        <f t="shared" si="392"/>
        <v>0</v>
      </c>
      <c r="AN447" s="554">
        <f t="shared" si="392"/>
        <v>0</v>
      </c>
      <c r="AO447" s="554">
        <f t="shared" si="392"/>
        <v>0</v>
      </c>
      <c r="AP447" s="554">
        <f t="shared" si="392"/>
        <v>0</v>
      </c>
      <c r="AQ447" s="554">
        <f t="shared" si="392"/>
        <v>0</v>
      </c>
      <c r="AR447" s="554">
        <f t="shared" si="392"/>
        <v>0</v>
      </c>
      <c r="AS447" s="554">
        <f t="shared" si="392"/>
        <v>0</v>
      </c>
      <c r="AT447" s="554">
        <f t="shared" si="392"/>
        <v>0</v>
      </c>
      <c r="AU447" s="554">
        <f t="shared" si="392"/>
        <v>0</v>
      </c>
      <c r="AV447" s="554">
        <f t="shared" si="392"/>
        <v>0</v>
      </c>
      <c r="AW447" s="554">
        <f t="shared" si="392"/>
        <v>0</v>
      </c>
      <c r="AX447" s="554">
        <f t="shared" si="392"/>
        <v>0</v>
      </c>
      <c r="AY447" s="554">
        <f t="shared" si="392"/>
        <v>0</v>
      </c>
      <c r="AZ447" s="554">
        <f t="shared" si="392"/>
        <v>0</v>
      </c>
      <c r="BA447" s="554">
        <f t="shared" si="392"/>
        <v>0</v>
      </c>
      <c r="BB447" s="554">
        <f t="shared" si="392"/>
        <v>0</v>
      </c>
      <c r="BC447" s="554">
        <f t="shared" si="392"/>
        <v>0</v>
      </c>
      <c r="BD447" s="554">
        <f t="shared" si="392"/>
        <v>0</v>
      </c>
      <c r="BE447" s="554">
        <f t="shared" si="392"/>
        <v>0</v>
      </c>
      <c r="BF447" s="554">
        <f t="shared" si="392"/>
        <v>0</v>
      </c>
      <c r="BG447" s="554">
        <f t="shared" si="392"/>
        <v>0</v>
      </c>
      <c r="BH447" s="554">
        <f t="shared" si="392"/>
        <v>0</v>
      </c>
      <c r="BI447" s="554">
        <f t="shared" si="392"/>
        <v>0</v>
      </c>
      <c r="BJ447" s="554">
        <f t="shared" si="392"/>
        <v>0</v>
      </c>
      <c r="BK447" s="554">
        <f t="shared" si="392"/>
        <v>435075000</v>
      </c>
      <c r="BL447" s="554">
        <f t="shared" si="392"/>
        <v>347382576</v>
      </c>
      <c r="BM447" s="554">
        <f t="shared" si="392"/>
        <v>8475000</v>
      </c>
      <c r="BN447" s="554">
        <f t="shared" si="392"/>
        <v>0</v>
      </c>
      <c r="BO447" s="554">
        <f t="shared" si="392"/>
        <v>0</v>
      </c>
      <c r="BP447" s="554">
        <f t="shared" si="392"/>
        <v>0</v>
      </c>
      <c r="BQ447" s="554">
        <f t="shared" si="392"/>
        <v>0</v>
      </c>
      <c r="BR447" s="554">
        <f t="shared" si="392"/>
        <v>0</v>
      </c>
      <c r="BS447" s="554">
        <f t="shared" si="392"/>
        <v>0</v>
      </c>
      <c r="BT447" s="554">
        <f t="shared" si="392"/>
        <v>0</v>
      </c>
      <c r="BU447" s="554">
        <f t="shared" si="392"/>
        <v>0</v>
      </c>
      <c r="BV447" s="554">
        <f t="shared" si="392"/>
        <v>0</v>
      </c>
      <c r="BW447" s="554">
        <f t="shared" si="392"/>
        <v>0</v>
      </c>
      <c r="BX447" s="554">
        <f t="shared" si="392"/>
        <v>0</v>
      </c>
      <c r="BY447" s="554">
        <f t="shared" si="392"/>
        <v>0</v>
      </c>
      <c r="BZ447" s="554">
        <f>BZ446+BZ438</f>
        <v>435075000</v>
      </c>
      <c r="CA447" s="554">
        <f t="shared" ref="CA447:CB447" si="393">CA446+CA438</f>
        <v>347382576</v>
      </c>
      <c r="CB447" s="554">
        <f t="shared" si="393"/>
        <v>8475000</v>
      </c>
    </row>
    <row r="448" spans="1:80" s="468" customFormat="1" ht="15.75" x14ac:dyDescent="0.2">
      <c r="A448" s="54"/>
      <c r="B448" s="91"/>
      <c r="C448" s="92"/>
      <c r="D448" s="91"/>
      <c r="E448" s="333"/>
      <c r="F448" s="333"/>
      <c r="G448" s="91"/>
      <c r="H448" s="92"/>
      <c r="I448" s="91"/>
      <c r="J448" s="245"/>
      <c r="K448" s="245"/>
      <c r="L448" s="341"/>
      <c r="M448" s="335"/>
      <c r="N448" s="335"/>
      <c r="O448" s="499"/>
      <c r="P448" s="124"/>
      <c r="Q448" s="92"/>
      <c r="R448" s="543"/>
      <c r="S448" s="543"/>
      <c r="T448" s="543"/>
      <c r="U448" s="543"/>
      <c r="V448" s="543"/>
      <c r="W448" s="543"/>
      <c r="X448" s="543"/>
      <c r="Y448" s="543"/>
      <c r="Z448" s="543"/>
      <c r="AA448" s="543"/>
      <c r="AB448" s="543"/>
      <c r="AC448" s="543"/>
      <c r="AD448" s="543"/>
      <c r="AE448" s="543"/>
      <c r="AF448" s="543"/>
      <c r="AG448" s="543"/>
      <c r="AH448" s="570"/>
      <c r="AI448" s="570"/>
      <c r="AJ448" s="570"/>
      <c r="AK448" s="570"/>
      <c r="AL448" s="570"/>
      <c r="AM448" s="543"/>
      <c r="AN448" s="543"/>
      <c r="AO448" s="543"/>
      <c r="AP448" s="543"/>
      <c r="AQ448" s="543"/>
      <c r="AR448" s="543"/>
      <c r="AS448" s="543"/>
      <c r="AT448" s="543"/>
      <c r="AU448" s="543"/>
      <c r="AV448" s="543"/>
      <c r="AW448" s="543"/>
      <c r="AX448" s="543"/>
      <c r="AY448" s="543"/>
      <c r="AZ448" s="543"/>
      <c r="BA448" s="543"/>
      <c r="BB448" s="543"/>
      <c r="BC448" s="543"/>
      <c r="BD448" s="543"/>
      <c r="BE448" s="543"/>
      <c r="BF448" s="543"/>
      <c r="BG448" s="543"/>
      <c r="BH448" s="543"/>
      <c r="BI448" s="570"/>
      <c r="BJ448" s="570"/>
      <c r="BK448" s="630" t="s">
        <v>62</v>
      </c>
      <c r="BL448" s="630"/>
      <c r="BM448" s="630"/>
      <c r="BN448" s="570"/>
      <c r="BO448" s="570"/>
      <c r="BP448" s="570"/>
      <c r="BQ448" s="543"/>
      <c r="BR448" s="543"/>
      <c r="BS448" s="543"/>
      <c r="BT448" s="543"/>
      <c r="BU448" s="543"/>
      <c r="BV448" s="543"/>
      <c r="BW448" s="543"/>
      <c r="BX448" s="543"/>
      <c r="BY448" s="543"/>
      <c r="BZ448" s="547"/>
      <c r="CA448" s="547"/>
      <c r="CB448" s="547"/>
    </row>
    <row r="449" spans="1:80" s="468" customFormat="1" ht="15.75" x14ac:dyDescent="0.25">
      <c r="A449" s="54"/>
      <c r="B449" s="152">
        <v>8</v>
      </c>
      <c r="C449" s="49" t="s">
        <v>541</v>
      </c>
      <c r="D449" s="50"/>
      <c r="E449" s="50"/>
      <c r="F449" s="50"/>
      <c r="G449" s="50"/>
      <c r="H449" s="51"/>
      <c r="I449" s="50"/>
      <c r="J449" s="50"/>
      <c r="K449" s="252"/>
      <c r="L449" s="284"/>
      <c r="M449" s="252"/>
      <c r="N449" s="50"/>
      <c r="O449" s="51"/>
      <c r="P449" s="50"/>
      <c r="Q449" s="50"/>
      <c r="R449" s="550"/>
      <c r="S449" s="550"/>
      <c r="T449" s="550"/>
      <c r="U449" s="550"/>
      <c r="V449" s="550"/>
      <c r="W449" s="550"/>
      <c r="X449" s="550"/>
      <c r="Y449" s="550"/>
      <c r="Z449" s="550"/>
      <c r="AA449" s="550"/>
      <c r="AB449" s="550"/>
      <c r="AC449" s="550"/>
      <c r="AD449" s="550"/>
      <c r="AE449" s="550"/>
      <c r="AF449" s="550"/>
      <c r="AG449" s="550"/>
      <c r="AH449" s="550"/>
      <c r="AI449" s="550"/>
      <c r="AJ449" s="550"/>
      <c r="AK449" s="550"/>
      <c r="AL449" s="550"/>
      <c r="AM449" s="550"/>
      <c r="AN449" s="550"/>
      <c r="AO449" s="550"/>
      <c r="AP449" s="550"/>
      <c r="AQ449" s="550"/>
      <c r="AR449" s="550"/>
      <c r="AS449" s="550"/>
      <c r="AT449" s="550"/>
      <c r="AU449" s="550"/>
      <c r="AV449" s="550"/>
      <c r="AW449" s="550"/>
      <c r="AX449" s="550"/>
      <c r="AY449" s="550"/>
      <c r="AZ449" s="550"/>
      <c r="BA449" s="550"/>
      <c r="BB449" s="550"/>
      <c r="BC449" s="550"/>
      <c r="BD449" s="550"/>
      <c r="BE449" s="550"/>
      <c r="BF449" s="550"/>
      <c r="BG449" s="550"/>
      <c r="BH449" s="550"/>
      <c r="BI449" s="550"/>
      <c r="BJ449" s="550"/>
      <c r="BK449" s="551"/>
      <c r="BL449" s="551"/>
      <c r="BM449" s="551"/>
      <c r="BN449" s="550"/>
      <c r="BO449" s="550"/>
      <c r="BP449" s="550"/>
      <c r="BQ449" s="550"/>
      <c r="BR449" s="550"/>
      <c r="BS449" s="550"/>
      <c r="BT449" s="550"/>
      <c r="BU449" s="550"/>
      <c r="BV449" s="550"/>
      <c r="BW449" s="550"/>
      <c r="BX449" s="550"/>
      <c r="BY449" s="550"/>
      <c r="BZ449" s="555"/>
      <c r="CA449" s="555"/>
      <c r="CB449" s="555"/>
    </row>
    <row r="450" spans="1:80" s="468" customFormat="1" ht="15.75" x14ac:dyDescent="0.25">
      <c r="A450" s="54"/>
      <c r="B450" s="96"/>
      <c r="C450" s="508"/>
      <c r="D450" s="516"/>
      <c r="E450" s="508"/>
      <c r="F450" s="508"/>
      <c r="G450" s="274">
        <v>25</v>
      </c>
      <c r="H450" s="100" t="s">
        <v>542</v>
      </c>
      <c r="I450" s="100"/>
      <c r="J450" s="100"/>
      <c r="K450" s="186"/>
      <c r="L450" s="278"/>
      <c r="M450" s="186"/>
      <c r="N450" s="100"/>
      <c r="O450" s="212"/>
      <c r="P450" s="100"/>
      <c r="Q450" s="100"/>
      <c r="R450" s="336"/>
      <c r="S450" s="336"/>
      <c r="T450" s="336"/>
      <c r="U450" s="336"/>
      <c r="V450" s="336"/>
      <c r="W450" s="336"/>
      <c r="X450" s="336"/>
      <c r="Y450" s="336"/>
      <c r="Z450" s="336"/>
      <c r="AA450" s="336"/>
      <c r="AB450" s="336"/>
      <c r="AC450" s="336"/>
      <c r="AD450" s="336"/>
      <c r="AE450" s="336"/>
      <c r="AF450" s="336"/>
      <c r="AG450" s="336"/>
      <c r="AH450" s="336"/>
      <c r="AI450" s="336"/>
      <c r="AJ450" s="336"/>
      <c r="AK450" s="336"/>
      <c r="AL450" s="336"/>
      <c r="AM450" s="336"/>
      <c r="AN450" s="336"/>
      <c r="AO450" s="336"/>
      <c r="AP450" s="336"/>
      <c r="AQ450" s="336"/>
      <c r="AR450" s="336"/>
      <c r="AS450" s="336"/>
      <c r="AT450" s="336"/>
      <c r="AU450" s="336"/>
      <c r="AV450" s="336"/>
      <c r="AW450" s="336"/>
      <c r="AX450" s="336"/>
      <c r="AY450" s="336"/>
      <c r="AZ450" s="336"/>
      <c r="BA450" s="336"/>
      <c r="BB450" s="336"/>
      <c r="BC450" s="336"/>
      <c r="BD450" s="336"/>
      <c r="BE450" s="336"/>
      <c r="BF450" s="336"/>
      <c r="BG450" s="336"/>
      <c r="BH450" s="336"/>
      <c r="BI450" s="336"/>
      <c r="BJ450" s="336"/>
      <c r="BK450" s="552"/>
      <c r="BL450" s="552"/>
      <c r="BM450" s="552"/>
      <c r="BN450" s="336"/>
      <c r="BO450" s="336"/>
      <c r="BP450" s="336"/>
      <c r="BQ450" s="336"/>
      <c r="BR450" s="336"/>
      <c r="BS450" s="336"/>
      <c r="BT450" s="336"/>
      <c r="BU450" s="336"/>
      <c r="BV450" s="336"/>
      <c r="BW450" s="336"/>
      <c r="BX450" s="336"/>
      <c r="BY450" s="336"/>
      <c r="BZ450" s="338"/>
      <c r="CA450" s="338"/>
      <c r="CB450" s="338"/>
    </row>
    <row r="451" spans="1:80" s="468" customFormat="1" ht="85.5" customHeight="1" x14ac:dyDescent="0.25">
      <c r="A451" s="54"/>
      <c r="B451" s="54"/>
      <c r="C451" s="857" t="s">
        <v>896</v>
      </c>
      <c r="D451" s="854" t="s">
        <v>477</v>
      </c>
      <c r="E451" s="883" t="s">
        <v>897</v>
      </c>
      <c r="F451" s="883" t="s">
        <v>898</v>
      </c>
      <c r="G451" s="58"/>
      <c r="H451" s="57">
        <v>108</v>
      </c>
      <c r="I451" s="56" t="s">
        <v>543</v>
      </c>
      <c r="J451" s="207">
        <v>4</v>
      </c>
      <c r="K451" s="237">
        <v>4</v>
      </c>
      <c r="L451" s="237">
        <v>4</v>
      </c>
      <c r="M451" s="850">
        <v>2017003630088</v>
      </c>
      <c r="N451" s="903" t="s">
        <v>458</v>
      </c>
      <c r="O451" s="856" t="s">
        <v>544</v>
      </c>
      <c r="P451" s="853" t="s">
        <v>545</v>
      </c>
      <c r="Q451" s="57" t="s">
        <v>51</v>
      </c>
      <c r="R451" s="612">
        <v>0</v>
      </c>
      <c r="S451" s="612"/>
      <c r="T451" s="612"/>
      <c r="U451" s="612">
        <v>0</v>
      </c>
      <c r="V451" s="612"/>
      <c r="W451" s="612"/>
      <c r="X451" s="612">
        <v>0</v>
      </c>
      <c r="Y451" s="612"/>
      <c r="Z451" s="612"/>
      <c r="AA451" s="612">
        <v>0</v>
      </c>
      <c r="AB451" s="612"/>
      <c r="AC451" s="612"/>
      <c r="AD451" s="612">
        <v>0</v>
      </c>
      <c r="AE451" s="612"/>
      <c r="AF451" s="612"/>
      <c r="AG451" s="612">
        <v>0</v>
      </c>
      <c r="AH451" s="612"/>
      <c r="AI451" s="612"/>
      <c r="AJ451" s="612">
        <v>0</v>
      </c>
      <c r="AK451" s="612"/>
      <c r="AL451" s="612"/>
      <c r="AM451" s="612"/>
      <c r="AN451" s="612"/>
      <c r="AO451" s="612"/>
      <c r="AP451" s="612"/>
      <c r="AQ451" s="612"/>
      <c r="AR451" s="612"/>
      <c r="AS451" s="612">
        <v>0</v>
      </c>
      <c r="AT451" s="612"/>
      <c r="AU451" s="612"/>
      <c r="AV451" s="612">
        <v>0</v>
      </c>
      <c r="AW451" s="612"/>
      <c r="AX451" s="612"/>
      <c r="AY451" s="612"/>
      <c r="AZ451" s="612"/>
      <c r="BA451" s="612"/>
      <c r="BB451" s="612"/>
      <c r="BC451" s="612"/>
      <c r="BD451" s="612"/>
      <c r="BE451" s="612">
        <v>0</v>
      </c>
      <c r="BF451" s="612"/>
      <c r="BG451" s="612"/>
      <c r="BH451" s="612">
        <v>0</v>
      </c>
      <c r="BI451" s="648"/>
      <c r="BJ451" s="648"/>
      <c r="BK451" s="649">
        <f>10000000+10000000</f>
        <v>20000000</v>
      </c>
      <c r="BL451" s="649"/>
      <c r="BM451" s="649"/>
      <c r="BN451" s="559"/>
      <c r="BO451" s="559"/>
      <c r="BP451" s="559"/>
      <c r="BQ451" s="612">
        <v>0</v>
      </c>
      <c r="BR451" s="648"/>
      <c r="BS451" s="648"/>
      <c r="BT451" s="648"/>
      <c r="BU451" s="648"/>
      <c r="BV451" s="648"/>
      <c r="BW451" s="648"/>
      <c r="BX451" s="648"/>
      <c r="BY451" s="648"/>
      <c r="BZ451" s="539">
        <f t="shared" ref="BZ451:BZ452" si="394">R451+U451+X451+AA451+AD451+AG451+AJ451+AM451+AP451+AS451+AV451+AY451+BB451+BE451+BH451+BK451+BN451+BQ451+BT451+BW451</f>
        <v>20000000</v>
      </c>
      <c r="CA451" s="539">
        <f t="shared" ref="CA451:CA452" si="395">S451+V451+Y451+AB451+AE451+AH451+AK451+AN451+AQ451+AT451+AW451+AZ451+BC451+BF451+BI451+BL451+BO451+BR451+BU451+BX451</f>
        <v>0</v>
      </c>
      <c r="CB451" s="539">
        <f t="shared" ref="CB451:CB452" si="396">T451+W451+Z451+AC451+AF451+AI451+AL451+AO451+AR451+AU451+AX451+BA451+BD451+BG451+BJ451+BM451+BP451+BS451+BV451+BY451</f>
        <v>0</v>
      </c>
    </row>
    <row r="452" spans="1:80" s="468" customFormat="1" ht="93.75" customHeight="1" x14ac:dyDescent="0.25">
      <c r="A452" s="54"/>
      <c r="B452" s="54"/>
      <c r="C452" s="857"/>
      <c r="D452" s="854"/>
      <c r="E452" s="883"/>
      <c r="F452" s="883"/>
      <c r="G452" s="139"/>
      <c r="H452" s="57">
        <v>109</v>
      </c>
      <c r="I452" s="56" t="s">
        <v>546</v>
      </c>
      <c r="J452" s="207">
        <v>0</v>
      </c>
      <c r="K452" s="237">
        <v>52</v>
      </c>
      <c r="L452" s="237">
        <v>54</v>
      </c>
      <c r="M452" s="852"/>
      <c r="N452" s="905"/>
      <c r="O452" s="858"/>
      <c r="P452" s="855"/>
      <c r="Q452" s="57" t="s">
        <v>51</v>
      </c>
      <c r="R452" s="612">
        <v>0</v>
      </c>
      <c r="S452" s="612"/>
      <c r="T452" s="612"/>
      <c r="U452" s="612">
        <v>0</v>
      </c>
      <c r="V452" s="612"/>
      <c r="W452" s="612"/>
      <c r="X452" s="612">
        <v>0</v>
      </c>
      <c r="Y452" s="612"/>
      <c r="Z452" s="612"/>
      <c r="AA452" s="612">
        <v>0</v>
      </c>
      <c r="AB452" s="612"/>
      <c r="AC452" s="612"/>
      <c r="AD452" s="612">
        <v>0</v>
      </c>
      <c r="AE452" s="612"/>
      <c r="AF452" s="612"/>
      <c r="AG452" s="612">
        <v>0</v>
      </c>
      <c r="AH452" s="612"/>
      <c r="AI452" s="612"/>
      <c r="AJ452" s="612">
        <v>0</v>
      </c>
      <c r="AK452" s="612"/>
      <c r="AL452" s="612"/>
      <c r="AM452" s="612"/>
      <c r="AN452" s="612"/>
      <c r="AO452" s="612"/>
      <c r="AP452" s="612"/>
      <c r="AQ452" s="612"/>
      <c r="AR452" s="612"/>
      <c r="AS452" s="612">
        <v>0</v>
      </c>
      <c r="AT452" s="612"/>
      <c r="AU452" s="612"/>
      <c r="AV452" s="612">
        <v>0</v>
      </c>
      <c r="AW452" s="612"/>
      <c r="AX452" s="612"/>
      <c r="AY452" s="612"/>
      <c r="AZ452" s="612"/>
      <c r="BA452" s="612"/>
      <c r="BB452" s="612"/>
      <c r="BC452" s="612"/>
      <c r="BD452" s="612"/>
      <c r="BE452" s="612">
        <v>0</v>
      </c>
      <c r="BF452" s="612"/>
      <c r="BG452" s="612"/>
      <c r="BH452" s="612">
        <v>0</v>
      </c>
      <c r="BI452" s="648"/>
      <c r="BJ452" s="648"/>
      <c r="BK452" s="649">
        <v>37000000</v>
      </c>
      <c r="BL452" s="649">
        <v>23940000</v>
      </c>
      <c r="BM452" s="649"/>
      <c r="BN452" s="559"/>
      <c r="BO452" s="559"/>
      <c r="BP452" s="559"/>
      <c r="BQ452" s="612">
        <v>0</v>
      </c>
      <c r="BR452" s="648"/>
      <c r="BS452" s="648"/>
      <c r="BT452" s="648"/>
      <c r="BU452" s="648"/>
      <c r="BV452" s="648"/>
      <c r="BW452" s="648"/>
      <c r="BX452" s="648"/>
      <c r="BY452" s="648"/>
      <c r="BZ452" s="539">
        <f t="shared" si="394"/>
        <v>37000000</v>
      </c>
      <c r="CA452" s="539">
        <f t="shared" si="395"/>
        <v>23940000</v>
      </c>
      <c r="CB452" s="539">
        <f t="shared" si="396"/>
        <v>0</v>
      </c>
    </row>
    <row r="453" spans="1:80" s="469" customFormat="1" ht="15.75" x14ac:dyDescent="0.25">
      <c r="A453" s="54"/>
      <c r="B453" s="54"/>
      <c r="C453" s="510"/>
      <c r="D453" s="518"/>
      <c r="E453" s="524"/>
      <c r="F453" s="524"/>
      <c r="G453" s="77"/>
      <c r="H453" s="78"/>
      <c r="I453" s="77"/>
      <c r="J453" s="240"/>
      <c r="K453" s="246"/>
      <c r="L453" s="371"/>
      <c r="M453" s="246"/>
      <c r="N453" s="246"/>
      <c r="O453" s="78"/>
      <c r="P453" s="77"/>
      <c r="Q453" s="78"/>
      <c r="R453" s="650">
        <f t="shared" ref="R453:BY453" si="397">SUM(R451:R452)</f>
        <v>0</v>
      </c>
      <c r="S453" s="650">
        <f t="shared" si="397"/>
        <v>0</v>
      </c>
      <c r="T453" s="650">
        <f t="shared" si="397"/>
        <v>0</v>
      </c>
      <c r="U453" s="650">
        <f t="shared" si="397"/>
        <v>0</v>
      </c>
      <c r="V453" s="650">
        <f t="shared" si="397"/>
        <v>0</v>
      </c>
      <c r="W453" s="650">
        <f t="shared" si="397"/>
        <v>0</v>
      </c>
      <c r="X453" s="650">
        <f t="shared" si="397"/>
        <v>0</v>
      </c>
      <c r="Y453" s="650">
        <f t="shared" si="397"/>
        <v>0</v>
      </c>
      <c r="Z453" s="650">
        <f t="shared" si="397"/>
        <v>0</v>
      </c>
      <c r="AA453" s="650">
        <f t="shared" si="397"/>
        <v>0</v>
      </c>
      <c r="AB453" s="650">
        <f t="shared" si="397"/>
        <v>0</v>
      </c>
      <c r="AC453" s="650">
        <f t="shared" si="397"/>
        <v>0</v>
      </c>
      <c r="AD453" s="650">
        <f t="shared" si="397"/>
        <v>0</v>
      </c>
      <c r="AE453" s="650">
        <f t="shared" si="397"/>
        <v>0</v>
      </c>
      <c r="AF453" s="650">
        <f t="shared" si="397"/>
        <v>0</v>
      </c>
      <c r="AG453" s="650">
        <f t="shared" si="397"/>
        <v>0</v>
      </c>
      <c r="AH453" s="650">
        <f t="shared" si="397"/>
        <v>0</v>
      </c>
      <c r="AI453" s="650">
        <f t="shared" si="397"/>
        <v>0</v>
      </c>
      <c r="AJ453" s="650">
        <f t="shared" si="397"/>
        <v>0</v>
      </c>
      <c r="AK453" s="650">
        <f t="shared" si="397"/>
        <v>0</v>
      </c>
      <c r="AL453" s="650">
        <f t="shared" si="397"/>
        <v>0</v>
      </c>
      <c r="AM453" s="650">
        <f t="shared" si="397"/>
        <v>0</v>
      </c>
      <c r="AN453" s="650">
        <f t="shared" si="397"/>
        <v>0</v>
      </c>
      <c r="AO453" s="650">
        <f t="shared" si="397"/>
        <v>0</v>
      </c>
      <c r="AP453" s="650">
        <f t="shared" si="397"/>
        <v>0</v>
      </c>
      <c r="AQ453" s="650">
        <f t="shared" si="397"/>
        <v>0</v>
      </c>
      <c r="AR453" s="650">
        <f t="shared" si="397"/>
        <v>0</v>
      </c>
      <c r="AS453" s="650">
        <f t="shared" si="397"/>
        <v>0</v>
      </c>
      <c r="AT453" s="650">
        <f t="shared" si="397"/>
        <v>0</v>
      </c>
      <c r="AU453" s="650">
        <f t="shared" si="397"/>
        <v>0</v>
      </c>
      <c r="AV453" s="650">
        <f t="shared" si="397"/>
        <v>0</v>
      </c>
      <c r="AW453" s="650">
        <f t="shared" si="397"/>
        <v>0</v>
      </c>
      <c r="AX453" s="650">
        <f t="shared" si="397"/>
        <v>0</v>
      </c>
      <c r="AY453" s="650">
        <f t="shared" si="397"/>
        <v>0</v>
      </c>
      <c r="AZ453" s="650">
        <f t="shared" si="397"/>
        <v>0</v>
      </c>
      <c r="BA453" s="650">
        <f t="shared" si="397"/>
        <v>0</v>
      </c>
      <c r="BB453" s="650">
        <f t="shared" si="397"/>
        <v>0</v>
      </c>
      <c r="BC453" s="650">
        <f t="shared" si="397"/>
        <v>0</v>
      </c>
      <c r="BD453" s="650">
        <f t="shared" si="397"/>
        <v>0</v>
      </c>
      <c r="BE453" s="650">
        <f t="shared" si="397"/>
        <v>0</v>
      </c>
      <c r="BF453" s="650">
        <f t="shared" si="397"/>
        <v>0</v>
      </c>
      <c r="BG453" s="650">
        <f t="shared" si="397"/>
        <v>0</v>
      </c>
      <c r="BH453" s="650">
        <f t="shared" si="397"/>
        <v>0</v>
      </c>
      <c r="BI453" s="650">
        <f t="shared" si="397"/>
        <v>0</v>
      </c>
      <c r="BJ453" s="650">
        <f t="shared" si="397"/>
        <v>0</v>
      </c>
      <c r="BK453" s="650">
        <f t="shared" si="397"/>
        <v>57000000</v>
      </c>
      <c r="BL453" s="650">
        <f t="shared" si="397"/>
        <v>23940000</v>
      </c>
      <c r="BM453" s="650">
        <f t="shared" si="397"/>
        <v>0</v>
      </c>
      <c r="BN453" s="650">
        <f t="shared" si="397"/>
        <v>0</v>
      </c>
      <c r="BO453" s="650">
        <f t="shared" si="397"/>
        <v>0</v>
      </c>
      <c r="BP453" s="650">
        <f t="shared" si="397"/>
        <v>0</v>
      </c>
      <c r="BQ453" s="650">
        <f t="shared" si="397"/>
        <v>0</v>
      </c>
      <c r="BR453" s="650">
        <f t="shared" si="397"/>
        <v>0</v>
      </c>
      <c r="BS453" s="650">
        <f t="shared" si="397"/>
        <v>0</v>
      </c>
      <c r="BT453" s="650">
        <f t="shared" si="397"/>
        <v>0</v>
      </c>
      <c r="BU453" s="650">
        <f t="shared" si="397"/>
        <v>0</v>
      </c>
      <c r="BV453" s="650">
        <f t="shared" si="397"/>
        <v>0</v>
      </c>
      <c r="BW453" s="650">
        <f t="shared" si="397"/>
        <v>0</v>
      </c>
      <c r="BX453" s="650">
        <f t="shared" si="397"/>
        <v>0</v>
      </c>
      <c r="BY453" s="650">
        <f t="shared" si="397"/>
        <v>0</v>
      </c>
      <c r="BZ453" s="650">
        <f t="shared" ref="BZ453" si="398">SUM(BZ451:BZ452)</f>
        <v>57000000</v>
      </c>
      <c r="CA453" s="650">
        <f t="shared" ref="CA453:CB453" si="399">SUM(CA451:CA452)</f>
        <v>23940000</v>
      </c>
      <c r="CB453" s="650">
        <f t="shared" si="399"/>
        <v>0</v>
      </c>
    </row>
    <row r="454" spans="1:80" s="469" customFormat="1" ht="15.75" x14ac:dyDescent="0.25">
      <c r="A454" s="54"/>
      <c r="B454" s="54"/>
      <c r="C454" s="92"/>
      <c r="D454" s="91"/>
      <c r="E454" s="333"/>
      <c r="F454" s="333"/>
      <c r="G454" s="91"/>
      <c r="H454" s="92"/>
      <c r="I454" s="91"/>
      <c r="J454" s="245"/>
      <c r="K454" s="245"/>
      <c r="L454" s="341"/>
      <c r="M454" s="335"/>
      <c r="N454" s="335"/>
      <c r="O454" s="499"/>
      <c r="P454" s="124"/>
      <c r="Q454" s="92"/>
      <c r="R454" s="543"/>
      <c r="S454" s="543"/>
      <c r="T454" s="543"/>
      <c r="U454" s="543"/>
      <c r="V454" s="543"/>
      <c r="W454" s="543"/>
      <c r="X454" s="543"/>
      <c r="Y454" s="543"/>
      <c r="Z454" s="543"/>
      <c r="AA454" s="543"/>
      <c r="AB454" s="543"/>
      <c r="AC454" s="543"/>
      <c r="AD454" s="543"/>
      <c r="AE454" s="543"/>
      <c r="AF454" s="543"/>
      <c r="AG454" s="543"/>
      <c r="AH454" s="570"/>
      <c r="AI454" s="570"/>
      <c r="AJ454" s="570"/>
      <c r="AK454" s="570"/>
      <c r="AL454" s="570"/>
      <c r="AM454" s="543"/>
      <c r="AN454" s="543"/>
      <c r="AO454" s="543"/>
      <c r="AP454" s="543"/>
      <c r="AQ454" s="543"/>
      <c r="AR454" s="543"/>
      <c r="AS454" s="543"/>
      <c r="AT454" s="543"/>
      <c r="AU454" s="543"/>
      <c r="AV454" s="543"/>
      <c r="AW454" s="543"/>
      <c r="AX454" s="543"/>
      <c r="AY454" s="543"/>
      <c r="AZ454" s="543"/>
      <c r="BA454" s="543"/>
      <c r="BB454" s="543"/>
      <c r="BC454" s="543"/>
      <c r="BD454" s="543"/>
      <c r="BE454" s="543"/>
      <c r="BF454" s="543"/>
      <c r="BG454" s="543"/>
      <c r="BH454" s="543"/>
      <c r="BI454" s="570"/>
      <c r="BJ454" s="570"/>
      <c r="BK454" s="591" t="s">
        <v>62</v>
      </c>
      <c r="BL454" s="591"/>
      <c r="BM454" s="591"/>
      <c r="BN454" s="570"/>
      <c r="BO454" s="570"/>
      <c r="BP454" s="570"/>
      <c r="BQ454" s="543"/>
      <c r="BR454" s="543"/>
      <c r="BS454" s="543"/>
      <c r="BT454" s="543"/>
      <c r="BU454" s="543"/>
      <c r="BV454" s="543"/>
      <c r="BW454" s="543"/>
      <c r="BX454" s="543"/>
      <c r="BY454" s="543"/>
      <c r="BZ454" s="547"/>
      <c r="CA454" s="547"/>
      <c r="CB454" s="547"/>
    </row>
    <row r="455" spans="1:80" s="469" customFormat="1" ht="15.75" x14ac:dyDescent="0.25">
      <c r="A455" s="54"/>
      <c r="B455" s="54"/>
      <c r="C455" s="508"/>
      <c r="D455" s="516"/>
      <c r="E455" s="522"/>
      <c r="F455" s="522"/>
      <c r="G455" s="274">
        <v>26</v>
      </c>
      <c r="H455" s="100" t="s">
        <v>547</v>
      </c>
      <c r="I455" s="100"/>
      <c r="J455" s="100"/>
      <c r="K455" s="186"/>
      <c r="L455" s="278"/>
      <c r="M455" s="186"/>
      <c r="N455" s="100"/>
      <c r="O455" s="212"/>
      <c r="P455" s="100"/>
      <c r="Q455" s="100"/>
      <c r="R455" s="336"/>
      <c r="S455" s="336"/>
      <c r="T455" s="336"/>
      <c r="U455" s="336"/>
      <c r="V455" s="336"/>
      <c r="W455" s="336"/>
      <c r="X455" s="336" t="s">
        <v>62</v>
      </c>
      <c r="Y455" s="336"/>
      <c r="Z455" s="336"/>
      <c r="AA455" s="336"/>
      <c r="AB455" s="336"/>
      <c r="AC455" s="336"/>
      <c r="AD455" s="336"/>
      <c r="AE455" s="336"/>
      <c r="AF455" s="336"/>
      <c r="AG455" s="336"/>
      <c r="AH455" s="336"/>
      <c r="AI455" s="336"/>
      <c r="AJ455" s="336"/>
      <c r="AK455" s="336"/>
      <c r="AL455" s="336"/>
      <c r="AM455" s="336"/>
      <c r="AN455" s="336"/>
      <c r="AO455" s="336"/>
      <c r="AP455" s="336"/>
      <c r="AQ455" s="336"/>
      <c r="AR455" s="336"/>
      <c r="AS455" s="336"/>
      <c r="AT455" s="336"/>
      <c r="AU455" s="336"/>
      <c r="AV455" s="336"/>
      <c r="AW455" s="336"/>
      <c r="AX455" s="336"/>
      <c r="AY455" s="336"/>
      <c r="AZ455" s="336"/>
      <c r="BA455" s="336"/>
      <c r="BB455" s="336"/>
      <c r="BC455" s="336"/>
      <c r="BD455" s="336"/>
      <c r="BE455" s="336"/>
      <c r="BF455" s="336"/>
      <c r="BG455" s="336"/>
      <c r="BH455" s="336"/>
      <c r="BI455" s="336"/>
      <c r="BJ455" s="336"/>
      <c r="BK455" s="552"/>
      <c r="BL455" s="552"/>
      <c r="BM455" s="552"/>
      <c r="BN455" s="336"/>
      <c r="BO455" s="336"/>
      <c r="BP455" s="336"/>
      <c r="BQ455" s="336"/>
      <c r="BR455" s="336"/>
      <c r="BS455" s="336"/>
      <c r="BT455" s="336"/>
      <c r="BU455" s="336"/>
      <c r="BV455" s="336"/>
      <c r="BW455" s="336"/>
      <c r="BX455" s="336"/>
      <c r="BY455" s="336"/>
      <c r="BZ455" s="338"/>
      <c r="CA455" s="338"/>
      <c r="CB455" s="338"/>
    </row>
    <row r="456" spans="1:80" s="468" customFormat="1" ht="239.25" customHeight="1" x14ac:dyDescent="0.25">
      <c r="A456" s="54"/>
      <c r="B456" s="54"/>
      <c r="C456" s="509" t="s">
        <v>899</v>
      </c>
      <c r="D456" s="517" t="s">
        <v>548</v>
      </c>
      <c r="E456" s="526" t="s">
        <v>900</v>
      </c>
      <c r="F456" s="526" t="s">
        <v>901</v>
      </c>
      <c r="G456" s="56"/>
      <c r="H456" s="57">
        <v>110</v>
      </c>
      <c r="I456" s="56" t="s">
        <v>549</v>
      </c>
      <c r="J456" s="207">
        <v>180</v>
      </c>
      <c r="K456" s="237">
        <v>200</v>
      </c>
      <c r="L456" s="237">
        <v>94</v>
      </c>
      <c r="M456" s="61">
        <v>2017003630096</v>
      </c>
      <c r="N456" s="237" t="s">
        <v>458</v>
      </c>
      <c r="O456" s="498" t="s">
        <v>550</v>
      </c>
      <c r="P456" s="56" t="s">
        <v>551</v>
      </c>
      <c r="Q456" s="57" t="s">
        <v>51</v>
      </c>
      <c r="R456" s="612">
        <v>0</v>
      </c>
      <c r="S456" s="612"/>
      <c r="T456" s="612"/>
      <c r="U456" s="612">
        <v>0</v>
      </c>
      <c r="V456" s="612"/>
      <c r="W456" s="612"/>
      <c r="X456" s="612">
        <v>0</v>
      </c>
      <c r="Y456" s="612"/>
      <c r="Z456" s="612"/>
      <c r="AA456" s="612">
        <v>0</v>
      </c>
      <c r="AB456" s="612"/>
      <c r="AC456" s="612"/>
      <c r="AD456" s="612">
        <v>0</v>
      </c>
      <c r="AE456" s="612"/>
      <c r="AF456" s="612"/>
      <c r="AG456" s="612">
        <v>0</v>
      </c>
      <c r="AH456" s="612"/>
      <c r="AI456" s="612"/>
      <c r="AJ456" s="612">
        <v>0</v>
      </c>
      <c r="AK456" s="612"/>
      <c r="AL456" s="612"/>
      <c r="AM456" s="612"/>
      <c r="AN456" s="612"/>
      <c r="AO456" s="612"/>
      <c r="AP456" s="612"/>
      <c r="AQ456" s="612"/>
      <c r="AR456" s="612"/>
      <c r="AS456" s="612">
        <v>0</v>
      </c>
      <c r="AT456" s="612"/>
      <c r="AU456" s="612"/>
      <c r="AV456" s="612">
        <v>0</v>
      </c>
      <c r="AW456" s="612"/>
      <c r="AX456" s="612"/>
      <c r="AY456" s="612">
        <v>2758000000</v>
      </c>
      <c r="AZ456" s="612">
        <v>89012718</v>
      </c>
      <c r="BA456" s="612">
        <v>7380000</v>
      </c>
      <c r="BB456" s="612"/>
      <c r="BC456" s="612"/>
      <c r="BD456" s="612"/>
      <c r="BE456" s="612">
        <v>0</v>
      </c>
      <c r="BF456" s="612"/>
      <c r="BG456" s="612"/>
      <c r="BH456" s="612">
        <v>0</v>
      </c>
      <c r="BI456" s="612"/>
      <c r="BJ456" s="612"/>
      <c r="BK456" s="163">
        <v>0</v>
      </c>
      <c r="BL456" s="163"/>
      <c r="BM456" s="163"/>
      <c r="BN456" s="559"/>
      <c r="BO456" s="559"/>
      <c r="BP456" s="559"/>
      <c r="BQ456" s="612">
        <v>0</v>
      </c>
      <c r="BR456" s="648"/>
      <c r="BS456" s="648"/>
      <c r="BT456" s="648"/>
      <c r="BU456" s="648"/>
      <c r="BV456" s="648"/>
      <c r="BW456" s="648"/>
      <c r="BX456" s="648"/>
      <c r="BY456" s="648"/>
      <c r="BZ456" s="539">
        <f>R456+U456+X456+AA456+AD456+AG456+AJ456+AM456+AP456+AS456+AV456+AY456+BB456+BE456+BH456+BK456+BN456+BQ456+BT456+BW456</f>
        <v>2758000000</v>
      </c>
      <c r="CA456" s="539">
        <f t="shared" ref="CA456" si="400">S456+V456+Y456+AB456+AE456+AH456+AK456+AN456+AQ456+AT456+AW456+AZ456+BC456+BF456+BI456+BL456+BO456+BR456+BU456+BX456</f>
        <v>89012718</v>
      </c>
      <c r="CB456" s="539">
        <f t="shared" ref="CB456" si="401">T456+W456+Z456+AC456+AF456+AI456+AL456+AO456+AR456+AU456+AX456+BA456+BD456+BG456+BJ456+BM456+BP456+BS456+BV456+BY456</f>
        <v>7380000</v>
      </c>
    </row>
    <row r="457" spans="1:80" s="469" customFormat="1" ht="15.75" x14ac:dyDescent="0.25">
      <c r="A457" s="54"/>
      <c r="B457" s="54"/>
      <c r="C457" s="510"/>
      <c r="D457" s="209"/>
      <c r="E457" s="527"/>
      <c r="F457" s="527"/>
      <c r="G457" s="77"/>
      <c r="H457" s="78"/>
      <c r="I457" s="77"/>
      <c r="J457" s="240"/>
      <c r="K457" s="371"/>
      <c r="L457" s="371"/>
      <c r="M457" s="371"/>
      <c r="N457" s="246"/>
      <c r="O457" s="78"/>
      <c r="P457" s="77"/>
      <c r="Q457" s="78"/>
      <c r="R457" s="650">
        <f t="shared" ref="R457:BY457" si="402">SUM(R456)</f>
        <v>0</v>
      </c>
      <c r="S457" s="650">
        <f t="shared" si="402"/>
        <v>0</v>
      </c>
      <c r="T457" s="650">
        <f t="shared" si="402"/>
        <v>0</v>
      </c>
      <c r="U457" s="650">
        <f t="shared" si="402"/>
        <v>0</v>
      </c>
      <c r="V457" s="650">
        <f t="shared" si="402"/>
        <v>0</v>
      </c>
      <c r="W457" s="650">
        <f t="shared" si="402"/>
        <v>0</v>
      </c>
      <c r="X457" s="650">
        <f t="shared" si="402"/>
        <v>0</v>
      </c>
      <c r="Y457" s="650">
        <f t="shared" si="402"/>
        <v>0</v>
      </c>
      <c r="Z457" s="650">
        <f t="shared" si="402"/>
        <v>0</v>
      </c>
      <c r="AA457" s="650">
        <f t="shared" si="402"/>
        <v>0</v>
      </c>
      <c r="AB457" s="650">
        <f t="shared" si="402"/>
        <v>0</v>
      </c>
      <c r="AC457" s="650">
        <f t="shared" si="402"/>
        <v>0</v>
      </c>
      <c r="AD457" s="650">
        <f t="shared" si="402"/>
        <v>0</v>
      </c>
      <c r="AE457" s="650">
        <f t="shared" si="402"/>
        <v>0</v>
      </c>
      <c r="AF457" s="650">
        <f t="shared" si="402"/>
        <v>0</v>
      </c>
      <c r="AG457" s="650">
        <f t="shared" si="402"/>
        <v>0</v>
      </c>
      <c r="AH457" s="650">
        <f t="shared" si="402"/>
        <v>0</v>
      </c>
      <c r="AI457" s="650">
        <f t="shared" si="402"/>
        <v>0</v>
      </c>
      <c r="AJ457" s="650">
        <f t="shared" si="402"/>
        <v>0</v>
      </c>
      <c r="AK457" s="650">
        <f t="shared" si="402"/>
        <v>0</v>
      </c>
      <c r="AL457" s="650">
        <f t="shared" si="402"/>
        <v>0</v>
      </c>
      <c r="AM457" s="650">
        <f t="shared" si="402"/>
        <v>0</v>
      </c>
      <c r="AN457" s="650">
        <f t="shared" si="402"/>
        <v>0</v>
      </c>
      <c r="AO457" s="650">
        <f t="shared" si="402"/>
        <v>0</v>
      </c>
      <c r="AP457" s="650">
        <f t="shared" si="402"/>
        <v>0</v>
      </c>
      <c r="AQ457" s="650">
        <f t="shared" si="402"/>
        <v>0</v>
      </c>
      <c r="AR457" s="650">
        <f t="shared" si="402"/>
        <v>0</v>
      </c>
      <c r="AS457" s="650">
        <f t="shared" si="402"/>
        <v>0</v>
      </c>
      <c r="AT457" s="650">
        <f t="shared" si="402"/>
        <v>0</v>
      </c>
      <c r="AU457" s="650">
        <f t="shared" si="402"/>
        <v>0</v>
      </c>
      <c r="AV457" s="650">
        <f t="shared" si="402"/>
        <v>0</v>
      </c>
      <c r="AW457" s="650">
        <f t="shared" si="402"/>
        <v>0</v>
      </c>
      <c r="AX457" s="650">
        <f t="shared" si="402"/>
        <v>0</v>
      </c>
      <c r="AY457" s="650">
        <f t="shared" si="402"/>
        <v>2758000000</v>
      </c>
      <c r="AZ457" s="650">
        <f t="shared" si="402"/>
        <v>89012718</v>
      </c>
      <c r="BA457" s="650">
        <f t="shared" si="402"/>
        <v>7380000</v>
      </c>
      <c r="BB457" s="650">
        <f t="shared" si="402"/>
        <v>0</v>
      </c>
      <c r="BC457" s="650">
        <f t="shared" si="402"/>
        <v>0</v>
      </c>
      <c r="BD457" s="650">
        <f t="shared" si="402"/>
        <v>0</v>
      </c>
      <c r="BE457" s="650">
        <f t="shared" si="402"/>
        <v>0</v>
      </c>
      <c r="BF457" s="650">
        <f t="shared" si="402"/>
        <v>0</v>
      </c>
      <c r="BG457" s="650">
        <f t="shared" si="402"/>
        <v>0</v>
      </c>
      <c r="BH457" s="650">
        <f t="shared" si="402"/>
        <v>0</v>
      </c>
      <c r="BI457" s="650">
        <f t="shared" si="402"/>
        <v>0</v>
      </c>
      <c r="BJ457" s="650">
        <f t="shared" si="402"/>
        <v>0</v>
      </c>
      <c r="BK457" s="650">
        <f t="shared" si="402"/>
        <v>0</v>
      </c>
      <c r="BL457" s="650">
        <f t="shared" si="402"/>
        <v>0</v>
      </c>
      <c r="BM457" s="650">
        <f t="shared" si="402"/>
        <v>0</v>
      </c>
      <c r="BN457" s="650">
        <f t="shared" si="402"/>
        <v>0</v>
      </c>
      <c r="BO457" s="650">
        <f t="shared" si="402"/>
        <v>0</v>
      </c>
      <c r="BP457" s="650">
        <f t="shared" si="402"/>
        <v>0</v>
      </c>
      <c r="BQ457" s="650">
        <f t="shared" si="402"/>
        <v>0</v>
      </c>
      <c r="BR457" s="650">
        <f t="shared" si="402"/>
        <v>0</v>
      </c>
      <c r="BS457" s="650">
        <f t="shared" si="402"/>
        <v>0</v>
      </c>
      <c r="BT457" s="650">
        <f t="shared" si="402"/>
        <v>0</v>
      </c>
      <c r="BU457" s="650">
        <f t="shared" si="402"/>
        <v>0</v>
      </c>
      <c r="BV457" s="650">
        <f t="shared" si="402"/>
        <v>0</v>
      </c>
      <c r="BW457" s="650">
        <f t="shared" si="402"/>
        <v>0</v>
      </c>
      <c r="BX457" s="650">
        <f t="shared" si="402"/>
        <v>0</v>
      </c>
      <c r="BY457" s="650">
        <f t="shared" si="402"/>
        <v>0</v>
      </c>
      <c r="BZ457" s="650">
        <f t="shared" ref="BZ457" si="403">SUM(BZ456)</f>
        <v>2758000000</v>
      </c>
      <c r="CA457" s="650">
        <f t="shared" ref="CA457:CB457" si="404">SUM(CA456)</f>
        <v>89012718</v>
      </c>
      <c r="CB457" s="650">
        <f t="shared" si="404"/>
        <v>7380000</v>
      </c>
    </row>
    <row r="458" spans="1:80" s="469" customFormat="1" ht="15.75" x14ac:dyDescent="0.25">
      <c r="A458" s="54"/>
      <c r="B458" s="54"/>
      <c r="C458" s="92"/>
      <c r="D458" s="91"/>
      <c r="E458" s="333"/>
      <c r="F458" s="333"/>
      <c r="G458" s="91"/>
      <c r="H458" s="92"/>
      <c r="I458" s="91"/>
      <c r="J458" s="245"/>
      <c r="K458" s="280"/>
      <c r="L458" s="341"/>
      <c r="M458" s="341"/>
      <c r="N458" s="335"/>
      <c r="O458" s="499"/>
      <c r="P458" s="124"/>
      <c r="Q458" s="92"/>
      <c r="R458" s="543"/>
      <c r="S458" s="543"/>
      <c r="T458" s="543"/>
      <c r="U458" s="544"/>
      <c r="V458" s="544"/>
      <c r="W458" s="544"/>
      <c r="X458" s="543"/>
      <c r="Y458" s="543"/>
      <c r="Z458" s="543"/>
      <c r="AA458" s="543"/>
      <c r="AB458" s="543"/>
      <c r="AC458" s="543"/>
      <c r="AD458" s="543"/>
      <c r="AE458" s="543"/>
      <c r="AF458" s="543"/>
      <c r="AG458" s="543"/>
      <c r="AH458" s="570"/>
      <c r="AI458" s="570"/>
      <c r="AJ458" s="570"/>
      <c r="AK458" s="570"/>
      <c r="AL458" s="570"/>
      <c r="AM458" s="543"/>
      <c r="AN458" s="543"/>
      <c r="AO458" s="543"/>
      <c r="AP458" s="543"/>
      <c r="AQ458" s="543"/>
      <c r="AR458" s="543"/>
      <c r="AS458" s="543"/>
      <c r="AT458" s="543"/>
      <c r="AU458" s="543"/>
      <c r="AV458" s="543"/>
      <c r="AW458" s="543"/>
      <c r="AX458" s="543"/>
      <c r="AY458" s="544"/>
      <c r="AZ458" s="544"/>
      <c r="BA458" s="544"/>
      <c r="BB458" s="544"/>
      <c r="BC458" s="544"/>
      <c r="BD458" s="544"/>
      <c r="BE458" s="543"/>
      <c r="BF458" s="543"/>
      <c r="BG458" s="543"/>
      <c r="BH458" s="543"/>
      <c r="BI458" s="570"/>
      <c r="BJ458" s="570"/>
      <c r="BK458" s="591"/>
      <c r="BL458" s="591"/>
      <c r="BM458" s="591"/>
      <c r="BN458" s="570"/>
      <c r="BO458" s="570"/>
      <c r="BP458" s="570"/>
      <c r="BQ458" s="543"/>
      <c r="BR458" s="543"/>
      <c r="BS458" s="543"/>
      <c r="BT458" s="543"/>
      <c r="BU458" s="543"/>
      <c r="BV458" s="543"/>
      <c r="BW458" s="543"/>
      <c r="BX458" s="543"/>
      <c r="BY458" s="543"/>
      <c r="BZ458" s="547"/>
      <c r="CA458" s="547"/>
      <c r="CB458" s="547"/>
    </row>
    <row r="459" spans="1:80" s="469" customFormat="1" ht="15.75" x14ac:dyDescent="0.25">
      <c r="A459" s="54"/>
      <c r="B459" s="54"/>
      <c r="C459" s="508"/>
      <c r="D459" s="516"/>
      <c r="E459" s="522"/>
      <c r="F459" s="522"/>
      <c r="G459" s="274">
        <v>27</v>
      </c>
      <c r="H459" s="100" t="s">
        <v>552</v>
      </c>
      <c r="I459" s="100"/>
      <c r="J459" s="100"/>
      <c r="K459" s="278"/>
      <c r="L459" s="278"/>
      <c r="M459" s="278"/>
      <c r="N459" s="100"/>
      <c r="O459" s="212"/>
      <c r="P459" s="100"/>
      <c r="Q459" s="100"/>
      <c r="R459" s="336"/>
      <c r="S459" s="336"/>
      <c r="T459" s="336"/>
      <c r="U459" s="336"/>
      <c r="V459" s="336"/>
      <c r="W459" s="336"/>
      <c r="X459" s="336"/>
      <c r="Y459" s="336"/>
      <c r="Z459" s="336"/>
      <c r="AA459" s="336"/>
      <c r="AB459" s="336"/>
      <c r="AC459" s="336"/>
      <c r="AD459" s="336"/>
      <c r="AE459" s="336"/>
      <c r="AF459" s="336"/>
      <c r="AG459" s="336"/>
      <c r="AH459" s="336"/>
      <c r="AI459" s="336"/>
      <c r="AJ459" s="336"/>
      <c r="AK459" s="336"/>
      <c r="AL459" s="336"/>
      <c r="AM459" s="336"/>
      <c r="AN459" s="336"/>
      <c r="AO459" s="336"/>
      <c r="AP459" s="336"/>
      <c r="AQ459" s="336"/>
      <c r="AR459" s="336"/>
      <c r="AS459" s="336"/>
      <c r="AT459" s="336"/>
      <c r="AU459" s="336"/>
      <c r="AV459" s="336"/>
      <c r="AW459" s="336"/>
      <c r="AX459" s="336"/>
      <c r="AY459" s="336"/>
      <c r="AZ459" s="336"/>
      <c r="BA459" s="336"/>
      <c r="BB459" s="336">
        <v>17987346928</v>
      </c>
      <c r="BC459" s="336"/>
      <c r="BD459" s="336"/>
      <c r="BE459" s="336"/>
      <c r="BF459" s="336"/>
      <c r="BG459" s="336"/>
      <c r="BH459" s="336"/>
      <c r="BI459" s="336"/>
      <c r="BJ459" s="336"/>
      <c r="BK459" s="552"/>
      <c r="BL459" s="552"/>
      <c r="BM459" s="552"/>
      <c r="BN459" s="336"/>
      <c r="BO459" s="336"/>
      <c r="BP459" s="336"/>
      <c r="BQ459" s="336"/>
      <c r="BR459" s="336"/>
      <c r="BS459" s="336"/>
      <c r="BT459" s="336"/>
      <c r="BU459" s="336"/>
      <c r="BV459" s="336"/>
      <c r="BW459" s="336"/>
      <c r="BX459" s="336"/>
      <c r="BY459" s="336"/>
      <c r="BZ459" s="338"/>
      <c r="CA459" s="338"/>
      <c r="CB459" s="338"/>
    </row>
    <row r="460" spans="1:80" s="11" customFormat="1" ht="141.75" customHeight="1" x14ac:dyDescent="0.2">
      <c r="A460" s="54"/>
      <c r="B460" s="54"/>
      <c r="C460" s="509" t="s">
        <v>896</v>
      </c>
      <c r="D460" s="517" t="s">
        <v>477</v>
      </c>
      <c r="E460" s="526" t="s">
        <v>934</v>
      </c>
      <c r="F460" s="526" t="s">
        <v>898</v>
      </c>
      <c r="G460" s="58"/>
      <c r="H460" s="57">
        <v>111</v>
      </c>
      <c r="I460" s="56" t="s">
        <v>553</v>
      </c>
      <c r="J460" s="372">
        <v>1</v>
      </c>
      <c r="K460" s="373">
        <v>1</v>
      </c>
      <c r="L460" s="825">
        <v>0.25</v>
      </c>
      <c r="M460" s="61">
        <v>2017003630087</v>
      </c>
      <c r="N460" s="188" t="s">
        <v>458</v>
      </c>
      <c r="O460" s="498" t="s">
        <v>554</v>
      </c>
      <c r="P460" s="67" t="s">
        <v>555</v>
      </c>
      <c r="Q460" s="57" t="s">
        <v>51</v>
      </c>
      <c r="R460" s="612">
        <v>0</v>
      </c>
      <c r="S460" s="612"/>
      <c r="T460" s="612"/>
      <c r="U460" s="612">
        <v>0</v>
      </c>
      <c r="V460" s="612"/>
      <c r="W460" s="612"/>
      <c r="X460" s="612">
        <v>0</v>
      </c>
      <c r="Y460" s="612"/>
      <c r="Z460" s="612"/>
      <c r="AA460" s="612">
        <v>0</v>
      </c>
      <c r="AB460" s="612"/>
      <c r="AC460" s="612"/>
      <c r="AD460" s="612">
        <v>0</v>
      </c>
      <c r="AE460" s="612"/>
      <c r="AF460" s="612"/>
      <c r="AG460" s="612">
        <v>0</v>
      </c>
      <c r="AH460" s="612"/>
      <c r="AI460" s="612"/>
      <c r="AJ460" s="612">
        <v>0</v>
      </c>
      <c r="AK460" s="612"/>
      <c r="AL460" s="612"/>
      <c r="AM460" s="612"/>
      <c r="AN460" s="612"/>
      <c r="AO460" s="612"/>
      <c r="AP460" s="612"/>
      <c r="AQ460" s="612"/>
      <c r="AR460" s="612"/>
      <c r="AS460" s="612">
        <v>0</v>
      </c>
      <c r="AT460" s="612"/>
      <c r="AU460" s="612"/>
      <c r="AV460" s="612">
        <v>0</v>
      </c>
      <c r="AW460" s="612"/>
      <c r="AX460" s="612"/>
      <c r="AY460" s="598">
        <v>19000000000</v>
      </c>
      <c r="AZ460" s="598">
        <v>3204803518</v>
      </c>
      <c r="BA460" s="598">
        <v>3057050338</v>
      </c>
      <c r="BB460" s="651"/>
      <c r="BC460" s="651"/>
      <c r="BD460" s="651"/>
      <c r="BE460" s="612">
        <v>0</v>
      </c>
      <c r="BF460" s="612"/>
      <c r="BG460" s="612"/>
      <c r="BH460" s="612">
        <v>0</v>
      </c>
      <c r="BI460" s="612"/>
      <c r="BJ460" s="612"/>
      <c r="BK460" s="163">
        <v>0</v>
      </c>
      <c r="BL460" s="163"/>
      <c r="BM460" s="163"/>
      <c r="BN460" s="559"/>
      <c r="BO460" s="559"/>
      <c r="BP460" s="559"/>
      <c r="BQ460" s="612">
        <v>0</v>
      </c>
      <c r="BR460" s="648"/>
      <c r="BS460" s="648"/>
      <c r="BT460" s="648"/>
      <c r="BU460" s="648"/>
      <c r="BV460" s="648"/>
      <c r="BW460" s="648"/>
      <c r="BX460" s="648"/>
      <c r="BY460" s="648"/>
      <c r="BZ460" s="539">
        <f>R460+U460+X460+AA460+AD460+AG460+AJ460+AM460+AP460+AS460+AV460+AY460+BB460+BE460+BH460+BK460+BN460+BQ460+BT460+BW460</f>
        <v>19000000000</v>
      </c>
      <c r="CA460" s="539">
        <f t="shared" ref="CA460" si="405">S460+V460+Y460+AB460+AE460+AH460+AK460+AN460+AQ460+AT460+AW460+AZ460+BC460+BF460+BI460+BL460+BO460+BR460+BU460+BX460</f>
        <v>3204803518</v>
      </c>
      <c r="CB460" s="539">
        <f t="shared" ref="CB460" si="406">T460+W460+Z460+AC460+AF460+AI460+AL460+AO460+AR460+AU460+AX460+BA460+BD460+BG460+BJ460+BM460+BP460+BS460+BV460+BY460</f>
        <v>3057050338</v>
      </c>
    </row>
    <row r="461" spans="1:80" s="459" customFormat="1" ht="15.75" x14ac:dyDescent="0.2">
      <c r="A461" s="54"/>
      <c r="B461" s="54"/>
      <c r="C461" s="510"/>
      <c r="D461" s="209"/>
      <c r="E461" s="363"/>
      <c r="F461" s="363"/>
      <c r="G461" s="77"/>
      <c r="H461" s="78"/>
      <c r="I461" s="77"/>
      <c r="J461" s="374"/>
      <c r="K461" s="375"/>
      <c r="L461" s="822"/>
      <c r="M461" s="375"/>
      <c r="N461" s="374"/>
      <c r="O461" s="78"/>
      <c r="P461" s="77"/>
      <c r="Q461" s="78"/>
      <c r="R461" s="605">
        <f t="shared" ref="R461:AJ461" si="407">SUM(R460:R460)</f>
        <v>0</v>
      </c>
      <c r="S461" s="605"/>
      <c r="T461" s="605"/>
      <c r="U461" s="605">
        <f t="shared" si="407"/>
        <v>0</v>
      </c>
      <c r="V461" s="605"/>
      <c r="W461" s="605"/>
      <c r="X461" s="605">
        <f t="shared" si="407"/>
        <v>0</v>
      </c>
      <c r="Y461" s="605"/>
      <c r="Z461" s="605"/>
      <c r="AA461" s="605">
        <f t="shared" si="407"/>
        <v>0</v>
      </c>
      <c r="AB461" s="605"/>
      <c r="AC461" s="605"/>
      <c r="AD461" s="605">
        <f t="shared" si="407"/>
        <v>0</v>
      </c>
      <c r="AE461" s="605"/>
      <c r="AF461" s="605"/>
      <c r="AG461" s="605">
        <f t="shared" si="407"/>
        <v>0</v>
      </c>
      <c r="AH461" s="605"/>
      <c r="AI461" s="605"/>
      <c r="AJ461" s="605">
        <f t="shared" si="407"/>
        <v>0</v>
      </c>
      <c r="AK461" s="605"/>
      <c r="AL461" s="605"/>
      <c r="AM461" s="605"/>
      <c r="AN461" s="605"/>
      <c r="AO461" s="605"/>
      <c r="AP461" s="605"/>
      <c r="AQ461" s="605"/>
      <c r="AR461" s="605"/>
      <c r="AS461" s="605">
        <f>SUM(AS460:AS460)</f>
        <v>0</v>
      </c>
      <c r="AT461" s="605"/>
      <c r="AU461" s="605"/>
      <c r="AV461" s="605">
        <f t="shared" ref="AV461:BK461" si="408">SUM(AV460:AV460)</f>
        <v>0</v>
      </c>
      <c r="AW461" s="605"/>
      <c r="AX461" s="605"/>
      <c r="AY461" s="650">
        <f t="shared" si="408"/>
        <v>19000000000</v>
      </c>
      <c r="AZ461" s="650"/>
      <c r="BA461" s="650"/>
      <c r="BB461" s="650">
        <f t="shared" si="408"/>
        <v>0</v>
      </c>
      <c r="BC461" s="650"/>
      <c r="BD461" s="650"/>
      <c r="BE461" s="650">
        <f t="shared" si="408"/>
        <v>0</v>
      </c>
      <c r="BF461" s="650"/>
      <c r="BG461" s="650"/>
      <c r="BH461" s="650">
        <f t="shared" si="408"/>
        <v>0</v>
      </c>
      <c r="BI461" s="650"/>
      <c r="BJ461" s="650"/>
      <c r="BK461" s="652">
        <f t="shared" si="408"/>
        <v>0</v>
      </c>
      <c r="BL461" s="652"/>
      <c r="BM461" s="652"/>
      <c r="BN461" s="653"/>
      <c r="BO461" s="653"/>
      <c r="BP461" s="653"/>
      <c r="BQ461" s="650">
        <f>SUM(BQ460:BQ460)</f>
        <v>0</v>
      </c>
      <c r="BR461" s="650"/>
      <c r="BS461" s="650"/>
      <c r="BT461" s="650"/>
      <c r="BU461" s="650"/>
      <c r="BV461" s="650"/>
      <c r="BW461" s="650"/>
      <c r="BX461" s="650"/>
      <c r="BY461" s="650"/>
      <c r="BZ461" s="650">
        <f>SUM(BZ460:BZ460)</f>
        <v>19000000000</v>
      </c>
      <c r="CA461" s="650">
        <f t="shared" ref="CA461:CB461" si="409">SUM(CA460:CA460)</f>
        <v>3204803518</v>
      </c>
      <c r="CB461" s="650">
        <f t="shared" si="409"/>
        <v>3057050338</v>
      </c>
    </row>
    <row r="462" spans="1:80" s="459" customFormat="1" ht="15.75" x14ac:dyDescent="0.2">
      <c r="A462" s="54"/>
      <c r="B462" s="54"/>
      <c r="C462" s="92"/>
      <c r="D462" s="91"/>
      <c r="E462" s="333"/>
      <c r="F462" s="333"/>
      <c r="G462" s="91"/>
      <c r="H462" s="92"/>
      <c r="I462" s="91"/>
      <c r="J462" s="245"/>
      <c r="K462" s="245"/>
      <c r="L462" s="341"/>
      <c r="M462" s="335"/>
      <c r="N462" s="335"/>
      <c r="O462" s="499"/>
      <c r="P462" s="124"/>
      <c r="Q462" s="92"/>
      <c r="R462" s="543"/>
      <c r="S462" s="543"/>
      <c r="T462" s="543"/>
      <c r="U462" s="544"/>
      <c r="V462" s="544"/>
      <c r="W462" s="544"/>
      <c r="X462" s="543"/>
      <c r="Y462" s="543"/>
      <c r="Z462" s="543"/>
      <c r="AA462" s="543"/>
      <c r="AB462" s="543"/>
      <c r="AC462" s="543"/>
      <c r="AD462" s="543"/>
      <c r="AE462" s="543"/>
      <c r="AF462" s="543"/>
      <c r="AG462" s="543"/>
      <c r="AH462" s="570"/>
      <c r="AI462" s="570"/>
      <c r="AJ462" s="570"/>
      <c r="AK462" s="570"/>
      <c r="AL462" s="570"/>
      <c r="AM462" s="543"/>
      <c r="AN462" s="543"/>
      <c r="AO462" s="543"/>
      <c r="AP462" s="543"/>
      <c r="AQ462" s="543"/>
      <c r="AR462" s="543"/>
      <c r="AS462" s="543"/>
      <c r="AT462" s="543"/>
      <c r="AU462" s="543"/>
      <c r="AV462" s="543"/>
      <c r="AW462" s="543"/>
      <c r="AX462" s="543"/>
      <c r="AY462" s="543"/>
      <c r="AZ462" s="543"/>
      <c r="BA462" s="543"/>
      <c r="BB462" s="543"/>
      <c r="BC462" s="543"/>
      <c r="BD462" s="543"/>
      <c r="BE462" s="543"/>
      <c r="BF462" s="543"/>
      <c r="BG462" s="543"/>
      <c r="BH462" s="543"/>
      <c r="BI462" s="570"/>
      <c r="BJ462" s="570"/>
      <c r="BK462" s="591"/>
      <c r="BL462" s="591"/>
      <c r="BM462" s="591"/>
      <c r="BN462" s="570"/>
      <c r="BO462" s="570"/>
      <c r="BP462" s="570"/>
      <c r="BQ462" s="543"/>
      <c r="BR462" s="543"/>
      <c r="BS462" s="543"/>
      <c r="BT462" s="543"/>
      <c r="BU462" s="543"/>
      <c r="BV462" s="543"/>
      <c r="BW462" s="543"/>
      <c r="BX462" s="543"/>
      <c r="BY462" s="543"/>
      <c r="BZ462" s="547"/>
      <c r="CA462" s="547"/>
      <c r="CB462" s="547"/>
    </row>
    <row r="463" spans="1:80" s="459" customFormat="1" ht="15.75" x14ac:dyDescent="0.2">
      <c r="A463" s="54"/>
      <c r="B463" s="54"/>
      <c r="C463" s="508"/>
      <c r="D463" s="516"/>
      <c r="E463" s="522"/>
      <c r="F463" s="522"/>
      <c r="G463" s="274">
        <v>28</v>
      </c>
      <c r="H463" s="100" t="s">
        <v>556</v>
      </c>
      <c r="I463" s="100"/>
      <c r="J463" s="100"/>
      <c r="K463" s="186"/>
      <c r="L463" s="278"/>
      <c r="M463" s="186"/>
      <c r="N463" s="100"/>
      <c r="O463" s="212"/>
      <c r="P463" s="100"/>
      <c r="Q463" s="100"/>
      <c r="R463" s="336"/>
      <c r="S463" s="336"/>
      <c r="T463" s="336"/>
      <c r="U463" s="336"/>
      <c r="V463" s="336"/>
      <c r="W463" s="336"/>
      <c r="X463" s="336"/>
      <c r="Y463" s="336"/>
      <c r="Z463" s="336"/>
      <c r="AA463" s="336"/>
      <c r="AB463" s="336"/>
      <c r="AC463" s="336"/>
      <c r="AD463" s="336"/>
      <c r="AE463" s="336"/>
      <c r="AF463" s="336"/>
      <c r="AG463" s="336"/>
      <c r="AH463" s="336"/>
      <c r="AI463" s="336"/>
      <c r="AJ463" s="336"/>
      <c r="AK463" s="336"/>
      <c r="AL463" s="336"/>
      <c r="AM463" s="336"/>
      <c r="AN463" s="336"/>
      <c r="AO463" s="336"/>
      <c r="AP463" s="336"/>
      <c r="AQ463" s="336"/>
      <c r="AR463" s="336"/>
      <c r="AS463" s="336"/>
      <c r="AT463" s="336"/>
      <c r="AU463" s="336"/>
      <c r="AV463" s="336"/>
      <c r="AW463" s="336"/>
      <c r="AX463" s="336"/>
      <c r="AY463" s="336"/>
      <c r="AZ463" s="336"/>
      <c r="BA463" s="336"/>
      <c r="BB463" s="336"/>
      <c r="BC463" s="336"/>
      <c r="BD463" s="336"/>
      <c r="BE463" s="336"/>
      <c r="BF463" s="336"/>
      <c r="BG463" s="336"/>
      <c r="BH463" s="336"/>
      <c r="BI463" s="336"/>
      <c r="BJ463" s="336"/>
      <c r="BK463" s="552"/>
      <c r="BL463" s="552"/>
      <c r="BM463" s="552"/>
      <c r="BN463" s="336"/>
      <c r="BO463" s="336"/>
      <c r="BP463" s="336"/>
      <c r="BQ463" s="336"/>
      <c r="BR463" s="336"/>
      <c r="BS463" s="336"/>
      <c r="BT463" s="336"/>
      <c r="BU463" s="336"/>
      <c r="BV463" s="336"/>
      <c r="BW463" s="336"/>
      <c r="BX463" s="336"/>
      <c r="BY463" s="336"/>
      <c r="BZ463" s="338"/>
      <c r="CA463" s="338"/>
      <c r="CB463" s="338"/>
    </row>
    <row r="464" spans="1:80" s="11" customFormat="1" ht="69" customHeight="1" x14ac:dyDescent="0.2">
      <c r="A464" s="54"/>
      <c r="B464" s="54"/>
      <c r="C464" s="857" t="s">
        <v>896</v>
      </c>
      <c r="D464" s="854" t="s">
        <v>477</v>
      </c>
      <c r="E464" s="883" t="s">
        <v>897</v>
      </c>
      <c r="F464" s="883" t="s">
        <v>898</v>
      </c>
      <c r="G464" s="58"/>
      <c r="H464" s="57">
        <v>112</v>
      </c>
      <c r="I464" s="56" t="s">
        <v>557</v>
      </c>
      <c r="J464" s="207">
        <v>0</v>
      </c>
      <c r="K464" s="237">
        <v>20</v>
      </c>
      <c r="L464" s="237">
        <v>0</v>
      </c>
      <c r="M464" s="850">
        <v>2017003630026</v>
      </c>
      <c r="N464" s="914">
        <v>1</v>
      </c>
      <c r="O464" s="917" t="s">
        <v>558</v>
      </c>
      <c r="P464" s="853" t="s">
        <v>559</v>
      </c>
      <c r="Q464" s="57" t="s">
        <v>67</v>
      </c>
      <c r="R464" s="612">
        <v>0</v>
      </c>
      <c r="S464" s="612"/>
      <c r="T464" s="612"/>
      <c r="U464" s="612">
        <v>0</v>
      </c>
      <c r="V464" s="612"/>
      <c r="W464" s="612"/>
      <c r="X464" s="612">
        <v>0</v>
      </c>
      <c r="Y464" s="612"/>
      <c r="Z464" s="612"/>
      <c r="AA464" s="612">
        <v>0</v>
      </c>
      <c r="AB464" s="612"/>
      <c r="AC464" s="612"/>
      <c r="AD464" s="612">
        <v>0</v>
      </c>
      <c r="AE464" s="612"/>
      <c r="AF464" s="612"/>
      <c r="AG464" s="612">
        <v>0</v>
      </c>
      <c r="AH464" s="612"/>
      <c r="AI464" s="612"/>
      <c r="AJ464" s="568"/>
      <c r="AK464" s="568"/>
      <c r="AL464" s="568"/>
      <c r="AM464" s="612"/>
      <c r="AN464" s="612"/>
      <c r="AO464" s="612"/>
      <c r="AP464" s="612"/>
      <c r="AQ464" s="612"/>
      <c r="AR464" s="612"/>
      <c r="AS464" s="612">
        <v>0</v>
      </c>
      <c r="AT464" s="612"/>
      <c r="AU464" s="612"/>
      <c r="AV464" s="612">
        <v>0</v>
      </c>
      <c r="AW464" s="612"/>
      <c r="AX464" s="612"/>
      <c r="AY464" s="654"/>
      <c r="AZ464" s="654"/>
      <c r="BA464" s="654"/>
      <c r="BB464" s="655"/>
      <c r="BC464" s="655"/>
      <c r="BD464" s="655"/>
      <c r="BE464" s="612">
        <v>0</v>
      </c>
      <c r="BF464" s="612"/>
      <c r="BG464" s="612"/>
      <c r="BH464" s="612">
        <v>0</v>
      </c>
      <c r="BI464" s="612"/>
      <c r="BJ464" s="612"/>
      <c r="BK464" s="163">
        <v>10000000</v>
      </c>
      <c r="BL464" s="163"/>
      <c r="BM464" s="163"/>
      <c r="BN464" s="559"/>
      <c r="BO464" s="559"/>
      <c r="BP464" s="559"/>
      <c r="BQ464" s="612">
        <v>0</v>
      </c>
      <c r="BR464" s="648"/>
      <c r="BS464" s="648"/>
      <c r="BT464" s="648"/>
      <c r="BU464" s="648"/>
      <c r="BV464" s="648"/>
      <c r="BW464" s="648"/>
      <c r="BX464" s="648"/>
      <c r="BY464" s="648"/>
      <c r="BZ464" s="539">
        <f t="shared" ref="BZ464:BZ465" si="410">R464+U464+X464+AA464+AD464+AG464+AJ464+AM464+AP464+AS464+AV464+AY464+BB464+BE464+BH464+BK464+BN464+BQ464+BT464+BW464</f>
        <v>10000000</v>
      </c>
      <c r="CA464" s="539">
        <f t="shared" ref="CA464:CA465" si="411">S464+V464+Y464+AB464+AE464+AH464+AK464+AN464+AQ464+AT464+AW464+AZ464+BC464+BF464+BI464+BL464+BO464+BR464+BU464+BX464</f>
        <v>0</v>
      </c>
      <c r="CB464" s="539">
        <f t="shared" ref="CB464:CB465" si="412">T464+W464+Z464+AC464+AF464+AI464+AL464+AO464+AR464+AU464+AX464+BA464+BD464+BG464+BJ464+BM464+BP464+BS464+BV464+BY464</f>
        <v>0</v>
      </c>
    </row>
    <row r="465" spans="1:80" s="11" customFormat="1" ht="90.75" customHeight="1" x14ac:dyDescent="0.2">
      <c r="A465" s="54"/>
      <c r="B465" s="54"/>
      <c r="C465" s="857"/>
      <c r="D465" s="854"/>
      <c r="E465" s="883"/>
      <c r="F465" s="883"/>
      <c r="G465" s="139"/>
      <c r="H465" s="57">
        <v>113</v>
      </c>
      <c r="I465" s="56" t="s">
        <v>560</v>
      </c>
      <c r="J465" s="207">
        <v>0</v>
      </c>
      <c r="K465" s="237">
        <v>3</v>
      </c>
      <c r="L465" s="237">
        <v>0</v>
      </c>
      <c r="M465" s="852"/>
      <c r="N465" s="916"/>
      <c r="O465" s="918"/>
      <c r="P465" s="855"/>
      <c r="Q465" s="57" t="s">
        <v>67</v>
      </c>
      <c r="R465" s="612">
        <v>0</v>
      </c>
      <c r="S465" s="612"/>
      <c r="T465" s="612"/>
      <c r="U465" s="612">
        <v>0</v>
      </c>
      <c r="V465" s="612"/>
      <c r="W465" s="612"/>
      <c r="X465" s="612">
        <v>0</v>
      </c>
      <c r="Y465" s="612"/>
      <c r="Z465" s="612"/>
      <c r="AA465" s="612">
        <v>0</v>
      </c>
      <c r="AB465" s="612"/>
      <c r="AC465" s="612"/>
      <c r="AD465" s="612">
        <v>0</v>
      </c>
      <c r="AE465" s="612"/>
      <c r="AF465" s="612"/>
      <c r="AG465" s="612">
        <v>0</v>
      </c>
      <c r="AH465" s="612"/>
      <c r="AI465" s="612"/>
      <c r="AJ465" s="568"/>
      <c r="AK465" s="568"/>
      <c r="AL465" s="568"/>
      <c r="AM465" s="612"/>
      <c r="AN465" s="612"/>
      <c r="AO465" s="612"/>
      <c r="AP465" s="612"/>
      <c r="AQ465" s="612"/>
      <c r="AR465" s="612"/>
      <c r="AS465" s="612">
        <v>0</v>
      </c>
      <c r="AT465" s="612"/>
      <c r="AU465" s="612"/>
      <c r="AV465" s="612">
        <v>0</v>
      </c>
      <c r="AW465" s="612"/>
      <c r="AX465" s="612"/>
      <c r="AY465" s="163"/>
      <c r="AZ465" s="163"/>
      <c r="BA465" s="163"/>
      <c r="BB465" s="163"/>
      <c r="BC465" s="163"/>
      <c r="BD465" s="163"/>
      <c r="BE465" s="612">
        <v>0</v>
      </c>
      <c r="BF465" s="612"/>
      <c r="BG465" s="612"/>
      <c r="BH465" s="612">
        <v>0</v>
      </c>
      <c r="BI465" s="612"/>
      <c r="BJ465" s="612"/>
      <c r="BK465" s="163">
        <v>11000000</v>
      </c>
      <c r="BL465" s="163"/>
      <c r="BM465" s="163"/>
      <c r="BN465" s="559"/>
      <c r="BO465" s="559"/>
      <c r="BP465" s="559"/>
      <c r="BQ465" s="612">
        <v>0</v>
      </c>
      <c r="BR465" s="648"/>
      <c r="BS465" s="648"/>
      <c r="BT465" s="648"/>
      <c r="BU465" s="648"/>
      <c r="BV465" s="648"/>
      <c r="BW465" s="648"/>
      <c r="BX465" s="648"/>
      <c r="BY465" s="648"/>
      <c r="BZ465" s="539">
        <f t="shared" si="410"/>
        <v>11000000</v>
      </c>
      <c r="CA465" s="539">
        <f t="shared" si="411"/>
        <v>0</v>
      </c>
      <c r="CB465" s="539">
        <f t="shared" si="412"/>
        <v>0</v>
      </c>
    </row>
    <row r="466" spans="1:80" s="12" customFormat="1" ht="20.25" x14ac:dyDescent="0.25">
      <c r="A466" s="377"/>
      <c r="B466" s="378"/>
      <c r="C466" s="510"/>
      <c r="D466" s="698"/>
      <c r="E466" s="511"/>
      <c r="F466" s="511"/>
      <c r="G466" s="3"/>
      <c r="H466" s="78"/>
      <c r="I466" s="3"/>
      <c r="J466" s="376"/>
      <c r="K466" s="379"/>
      <c r="L466" s="823"/>
      <c r="M466" s="379"/>
      <c r="N466" s="379"/>
      <c r="O466" s="78"/>
      <c r="P466" s="3"/>
      <c r="Q466" s="3"/>
      <c r="R466" s="650">
        <f t="shared" ref="R466:BY466" si="413">SUM(R464:R465)</f>
        <v>0</v>
      </c>
      <c r="S466" s="650">
        <f t="shared" si="413"/>
        <v>0</v>
      </c>
      <c r="T466" s="650">
        <f t="shared" si="413"/>
        <v>0</v>
      </c>
      <c r="U466" s="650">
        <f t="shared" si="413"/>
        <v>0</v>
      </c>
      <c r="V466" s="650">
        <f t="shared" si="413"/>
        <v>0</v>
      </c>
      <c r="W466" s="650">
        <f t="shared" si="413"/>
        <v>0</v>
      </c>
      <c r="X466" s="650">
        <f t="shared" si="413"/>
        <v>0</v>
      </c>
      <c r="Y466" s="650">
        <f t="shared" si="413"/>
        <v>0</v>
      </c>
      <c r="Z466" s="650">
        <f t="shared" si="413"/>
        <v>0</v>
      </c>
      <c r="AA466" s="650">
        <f t="shared" si="413"/>
        <v>0</v>
      </c>
      <c r="AB466" s="650">
        <f t="shared" si="413"/>
        <v>0</v>
      </c>
      <c r="AC466" s="650">
        <f t="shared" si="413"/>
        <v>0</v>
      </c>
      <c r="AD466" s="650">
        <f t="shared" si="413"/>
        <v>0</v>
      </c>
      <c r="AE466" s="650">
        <f t="shared" si="413"/>
        <v>0</v>
      </c>
      <c r="AF466" s="650">
        <f t="shared" si="413"/>
        <v>0</v>
      </c>
      <c r="AG466" s="650">
        <f t="shared" si="413"/>
        <v>0</v>
      </c>
      <c r="AH466" s="650">
        <f t="shared" si="413"/>
        <v>0</v>
      </c>
      <c r="AI466" s="650">
        <f t="shared" si="413"/>
        <v>0</v>
      </c>
      <c r="AJ466" s="650">
        <f t="shared" si="413"/>
        <v>0</v>
      </c>
      <c r="AK466" s="650">
        <f t="shared" si="413"/>
        <v>0</v>
      </c>
      <c r="AL466" s="650">
        <f t="shared" si="413"/>
        <v>0</v>
      </c>
      <c r="AM466" s="650">
        <f t="shared" si="413"/>
        <v>0</v>
      </c>
      <c r="AN466" s="650">
        <f t="shared" si="413"/>
        <v>0</v>
      </c>
      <c r="AO466" s="650">
        <f t="shared" si="413"/>
        <v>0</v>
      </c>
      <c r="AP466" s="650">
        <f t="shared" si="413"/>
        <v>0</v>
      </c>
      <c r="AQ466" s="650">
        <f t="shared" si="413"/>
        <v>0</v>
      </c>
      <c r="AR466" s="650">
        <f t="shared" si="413"/>
        <v>0</v>
      </c>
      <c r="AS466" s="650">
        <f t="shared" si="413"/>
        <v>0</v>
      </c>
      <c r="AT466" s="650">
        <f t="shared" si="413"/>
        <v>0</v>
      </c>
      <c r="AU466" s="650">
        <f t="shared" si="413"/>
        <v>0</v>
      </c>
      <c r="AV466" s="650">
        <f t="shared" si="413"/>
        <v>0</v>
      </c>
      <c r="AW466" s="650">
        <f t="shared" si="413"/>
        <v>0</v>
      </c>
      <c r="AX466" s="650">
        <f t="shared" si="413"/>
        <v>0</v>
      </c>
      <c r="AY466" s="650">
        <f t="shared" si="413"/>
        <v>0</v>
      </c>
      <c r="AZ466" s="650">
        <f t="shared" si="413"/>
        <v>0</v>
      </c>
      <c r="BA466" s="650">
        <f t="shared" si="413"/>
        <v>0</v>
      </c>
      <c r="BB466" s="650">
        <f t="shared" si="413"/>
        <v>0</v>
      </c>
      <c r="BC466" s="650">
        <f t="shared" si="413"/>
        <v>0</v>
      </c>
      <c r="BD466" s="650">
        <f t="shared" si="413"/>
        <v>0</v>
      </c>
      <c r="BE466" s="650">
        <f t="shared" si="413"/>
        <v>0</v>
      </c>
      <c r="BF466" s="650">
        <f t="shared" si="413"/>
        <v>0</v>
      </c>
      <c r="BG466" s="650">
        <f t="shared" si="413"/>
        <v>0</v>
      </c>
      <c r="BH466" s="650">
        <f t="shared" si="413"/>
        <v>0</v>
      </c>
      <c r="BI466" s="650">
        <f t="shared" si="413"/>
        <v>0</v>
      </c>
      <c r="BJ466" s="650">
        <f t="shared" si="413"/>
        <v>0</v>
      </c>
      <c r="BK466" s="650">
        <f t="shared" si="413"/>
        <v>21000000</v>
      </c>
      <c r="BL466" s="650">
        <f t="shared" si="413"/>
        <v>0</v>
      </c>
      <c r="BM466" s="650">
        <f t="shared" si="413"/>
        <v>0</v>
      </c>
      <c r="BN466" s="650">
        <f t="shared" si="413"/>
        <v>0</v>
      </c>
      <c r="BO466" s="650">
        <f t="shared" si="413"/>
        <v>0</v>
      </c>
      <c r="BP466" s="650">
        <f t="shared" si="413"/>
        <v>0</v>
      </c>
      <c r="BQ466" s="650">
        <f t="shared" si="413"/>
        <v>0</v>
      </c>
      <c r="BR466" s="650">
        <f t="shared" si="413"/>
        <v>0</v>
      </c>
      <c r="BS466" s="650">
        <f t="shared" si="413"/>
        <v>0</v>
      </c>
      <c r="BT466" s="650">
        <f t="shared" si="413"/>
        <v>0</v>
      </c>
      <c r="BU466" s="650">
        <f t="shared" si="413"/>
        <v>0</v>
      </c>
      <c r="BV466" s="650">
        <f t="shared" si="413"/>
        <v>0</v>
      </c>
      <c r="BW466" s="650">
        <f t="shared" si="413"/>
        <v>0</v>
      </c>
      <c r="BX466" s="650">
        <f t="shared" si="413"/>
        <v>0</v>
      </c>
      <c r="BY466" s="650">
        <f t="shared" si="413"/>
        <v>0</v>
      </c>
      <c r="BZ466" s="650">
        <f t="shared" ref="BZ466" si="414">SUM(BZ464:BZ465)</f>
        <v>21000000</v>
      </c>
      <c r="CA466" s="650">
        <f t="shared" ref="CA466:CB466" si="415">SUM(CA464:CA465)</f>
        <v>0</v>
      </c>
      <c r="CB466" s="650">
        <f t="shared" si="415"/>
        <v>0</v>
      </c>
    </row>
    <row r="467" spans="1:80" s="470" customFormat="1" ht="15.75" x14ac:dyDescent="0.2">
      <c r="A467" s="377"/>
      <c r="B467" s="380"/>
      <c r="C467" s="82"/>
      <c r="D467" s="4"/>
      <c r="E467" s="4"/>
      <c r="F467" s="4"/>
      <c r="G467" s="4"/>
      <c r="H467" s="82"/>
      <c r="I467" s="4"/>
      <c r="J467" s="381"/>
      <c r="K467" s="382"/>
      <c r="L467" s="824"/>
      <c r="M467" s="382"/>
      <c r="N467" s="382"/>
      <c r="O467" s="82"/>
      <c r="P467" s="4"/>
      <c r="Q467" s="4"/>
      <c r="R467" s="656">
        <f t="shared" ref="R467:BY467" si="416">R466+R461+R457+R453</f>
        <v>0</v>
      </c>
      <c r="S467" s="656">
        <f t="shared" si="416"/>
        <v>0</v>
      </c>
      <c r="T467" s="656">
        <f t="shared" si="416"/>
        <v>0</v>
      </c>
      <c r="U467" s="656">
        <f t="shared" si="416"/>
        <v>0</v>
      </c>
      <c r="V467" s="656">
        <f t="shared" si="416"/>
        <v>0</v>
      </c>
      <c r="W467" s="656">
        <f t="shared" si="416"/>
        <v>0</v>
      </c>
      <c r="X467" s="656">
        <f t="shared" si="416"/>
        <v>0</v>
      </c>
      <c r="Y467" s="656">
        <f t="shared" si="416"/>
        <v>0</v>
      </c>
      <c r="Z467" s="656">
        <f t="shared" si="416"/>
        <v>0</v>
      </c>
      <c r="AA467" s="656">
        <f t="shared" si="416"/>
        <v>0</v>
      </c>
      <c r="AB467" s="656">
        <f t="shared" si="416"/>
        <v>0</v>
      </c>
      <c r="AC467" s="656">
        <f t="shared" si="416"/>
        <v>0</v>
      </c>
      <c r="AD467" s="656">
        <f t="shared" si="416"/>
        <v>0</v>
      </c>
      <c r="AE467" s="656">
        <f t="shared" si="416"/>
        <v>0</v>
      </c>
      <c r="AF467" s="656">
        <f t="shared" si="416"/>
        <v>0</v>
      </c>
      <c r="AG467" s="656">
        <f t="shared" si="416"/>
        <v>0</v>
      </c>
      <c r="AH467" s="656">
        <f t="shared" si="416"/>
        <v>0</v>
      </c>
      <c r="AI467" s="656">
        <f t="shared" si="416"/>
        <v>0</v>
      </c>
      <c r="AJ467" s="656">
        <f t="shared" si="416"/>
        <v>0</v>
      </c>
      <c r="AK467" s="656">
        <f t="shared" si="416"/>
        <v>0</v>
      </c>
      <c r="AL467" s="656">
        <f t="shared" si="416"/>
        <v>0</v>
      </c>
      <c r="AM467" s="656">
        <f t="shared" si="416"/>
        <v>0</v>
      </c>
      <c r="AN467" s="656">
        <f t="shared" si="416"/>
        <v>0</v>
      </c>
      <c r="AO467" s="656">
        <f t="shared" si="416"/>
        <v>0</v>
      </c>
      <c r="AP467" s="656">
        <f t="shared" si="416"/>
        <v>0</v>
      </c>
      <c r="AQ467" s="656">
        <f t="shared" si="416"/>
        <v>0</v>
      </c>
      <c r="AR467" s="656">
        <f t="shared" si="416"/>
        <v>0</v>
      </c>
      <c r="AS467" s="656">
        <f t="shared" si="416"/>
        <v>0</v>
      </c>
      <c r="AT467" s="656">
        <f t="shared" si="416"/>
        <v>0</v>
      </c>
      <c r="AU467" s="656">
        <f t="shared" si="416"/>
        <v>0</v>
      </c>
      <c r="AV467" s="656">
        <f t="shared" si="416"/>
        <v>0</v>
      </c>
      <c r="AW467" s="656">
        <f t="shared" si="416"/>
        <v>0</v>
      </c>
      <c r="AX467" s="656">
        <f t="shared" si="416"/>
        <v>0</v>
      </c>
      <c r="AY467" s="656">
        <f t="shared" si="416"/>
        <v>21758000000</v>
      </c>
      <c r="AZ467" s="656">
        <f t="shared" si="416"/>
        <v>89012718</v>
      </c>
      <c r="BA467" s="656">
        <f t="shared" si="416"/>
        <v>7380000</v>
      </c>
      <c r="BB467" s="656">
        <f t="shared" si="416"/>
        <v>0</v>
      </c>
      <c r="BC467" s="656">
        <f t="shared" si="416"/>
        <v>0</v>
      </c>
      <c r="BD467" s="656">
        <f t="shared" si="416"/>
        <v>0</v>
      </c>
      <c r="BE467" s="656">
        <f t="shared" si="416"/>
        <v>0</v>
      </c>
      <c r="BF467" s="656">
        <f t="shared" si="416"/>
        <v>0</v>
      </c>
      <c r="BG467" s="656">
        <f t="shared" si="416"/>
        <v>0</v>
      </c>
      <c r="BH467" s="656">
        <f t="shared" si="416"/>
        <v>0</v>
      </c>
      <c r="BI467" s="656">
        <f t="shared" si="416"/>
        <v>0</v>
      </c>
      <c r="BJ467" s="656">
        <f t="shared" si="416"/>
        <v>0</v>
      </c>
      <c r="BK467" s="656">
        <f t="shared" si="416"/>
        <v>78000000</v>
      </c>
      <c r="BL467" s="656">
        <f t="shared" si="416"/>
        <v>23940000</v>
      </c>
      <c r="BM467" s="656">
        <f t="shared" si="416"/>
        <v>0</v>
      </c>
      <c r="BN467" s="656">
        <f t="shared" si="416"/>
        <v>0</v>
      </c>
      <c r="BO467" s="656">
        <f t="shared" si="416"/>
        <v>0</v>
      </c>
      <c r="BP467" s="656">
        <f t="shared" si="416"/>
        <v>0</v>
      </c>
      <c r="BQ467" s="656">
        <f t="shared" si="416"/>
        <v>0</v>
      </c>
      <c r="BR467" s="656">
        <f t="shared" si="416"/>
        <v>0</v>
      </c>
      <c r="BS467" s="656">
        <f t="shared" si="416"/>
        <v>0</v>
      </c>
      <c r="BT467" s="656">
        <f t="shared" si="416"/>
        <v>0</v>
      </c>
      <c r="BU467" s="656">
        <f t="shared" si="416"/>
        <v>0</v>
      </c>
      <c r="BV467" s="656">
        <f t="shared" si="416"/>
        <v>0</v>
      </c>
      <c r="BW467" s="656">
        <f t="shared" si="416"/>
        <v>0</v>
      </c>
      <c r="BX467" s="656">
        <f t="shared" si="416"/>
        <v>0</v>
      </c>
      <c r="BY467" s="656">
        <f t="shared" si="416"/>
        <v>0</v>
      </c>
      <c r="BZ467" s="656">
        <f>BZ466+BZ461+BZ457+BZ453</f>
        <v>21836000000</v>
      </c>
      <c r="CA467" s="656">
        <f t="shared" ref="CA467:CB467" si="417">CA466+CA461+CA457+CA453</f>
        <v>3317756236</v>
      </c>
      <c r="CB467" s="656">
        <f t="shared" si="417"/>
        <v>3064430338</v>
      </c>
    </row>
    <row r="468" spans="1:80" s="459" customFormat="1" ht="15.75" x14ac:dyDescent="0.2">
      <c r="A468" s="54"/>
      <c r="B468" s="91"/>
      <c r="C468" s="92"/>
      <c r="D468" s="91"/>
      <c r="E468" s="333"/>
      <c r="F468" s="333"/>
      <c r="G468" s="91"/>
      <c r="H468" s="92"/>
      <c r="I468" s="91"/>
      <c r="J468" s="245"/>
      <c r="K468" s="245"/>
      <c r="L468" s="341"/>
      <c r="M468" s="335"/>
      <c r="N468" s="335"/>
      <c r="O468" s="499"/>
      <c r="P468" s="124"/>
      <c r="Q468" s="92"/>
      <c r="R468" s="543"/>
      <c r="S468" s="543"/>
      <c r="T468" s="543"/>
      <c r="U468" s="544"/>
      <c r="V468" s="544"/>
      <c r="W468" s="544"/>
      <c r="X468" s="543"/>
      <c r="Y468" s="543"/>
      <c r="Z468" s="543"/>
      <c r="AA468" s="543"/>
      <c r="AB468" s="543"/>
      <c r="AC468" s="543"/>
      <c r="AD468" s="543"/>
      <c r="AE468" s="543"/>
      <c r="AF468" s="543"/>
      <c r="AG468" s="543"/>
      <c r="AH468" s="570"/>
      <c r="AI468" s="570"/>
      <c r="AJ468" s="570"/>
      <c r="AK468" s="570"/>
      <c r="AL468" s="570"/>
      <c r="AM468" s="543"/>
      <c r="AN468" s="543"/>
      <c r="AO468" s="543"/>
      <c r="AP468" s="543"/>
      <c r="AQ468" s="543"/>
      <c r="AR468" s="543"/>
      <c r="AS468" s="543"/>
      <c r="AT468" s="543"/>
      <c r="AU468" s="543"/>
      <c r="AV468" s="543"/>
      <c r="AW468" s="543"/>
      <c r="AX468" s="543"/>
      <c r="AY468" s="543"/>
      <c r="AZ468" s="543"/>
      <c r="BA468" s="543"/>
      <c r="BB468" s="543"/>
      <c r="BC468" s="543"/>
      <c r="BD468" s="543"/>
      <c r="BE468" s="543"/>
      <c r="BF468" s="543"/>
      <c r="BG468" s="543"/>
      <c r="BH468" s="543"/>
      <c r="BI468" s="570"/>
      <c r="BJ468" s="570"/>
      <c r="BK468" s="591" t="s">
        <v>62</v>
      </c>
      <c r="BL468" s="591"/>
      <c r="BM468" s="591"/>
      <c r="BN468" s="570"/>
      <c r="BO468" s="570"/>
      <c r="BP468" s="570"/>
      <c r="BQ468" s="543"/>
      <c r="BR468" s="543"/>
      <c r="BS468" s="543"/>
      <c r="BT468" s="543"/>
      <c r="BU468" s="543"/>
      <c r="BV468" s="543"/>
      <c r="BW468" s="543"/>
      <c r="BX468" s="543"/>
      <c r="BY468" s="543"/>
      <c r="BZ468" s="543"/>
      <c r="CA468" s="543"/>
      <c r="CB468" s="543"/>
    </row>
    <row r="469" spans="1:80" s="459" customFormat="1" ht="15.75" x14ac:dyDescent="0.2">
      <c r="A469" s="54"/>
      <c r="B469" s="152">
        <v>16</v>
      </c>
      <c r="C469" s="49" t="s">
        <v>561</v>
      </c>
      <c r="D469" s="50"/>
      <c r="E469" s="50"/>
      <c r="F469" s="50"/>
      <c r="G469" s="50"/>
      <c r="H469" s="51"/>
      <c r="I469" s="50"/>
      <c r="J469" s="50"/>
      <c r="K469" s="252"/>
      <c r="L469" s="284"/>
      <c r="M469" s="252"/>
      <c r="N469" s="50"/>
      <c r="O469" s="51"/>
      <c r="P469" s="50"/>
      <c r="Q469" s="50"/>
      <c r="R469" s="550"/>
      <c r="S469" s="550"/>
      <c r="T469" s="550"/>
      <c r="U469" s="550"/>
      <c r="V469" s="550"/>
      <c r="W469" s="550"/>
      <c r="X469" s="550"/>
      <c r="Y469" s="550"/>
      <c r="Z469" s="550"/>
      <c r="AA469" s="550"/>
      <c r="AB469" s="550"/>
      <c r="AC469" s="550"/>
      <c r="AD469" s="550"/>
      <c r="AE469" s="550"/>
      <c r="AF469" s="550"/>
      <c r="AG469" s="550"/>
      <c r="AH469" s="550"/>
      <c r="AI469" s="550"/>
      <c r="AJ469" s="550"/>
      <c r="AK469" s="550"/>
      <c r="AL469" s="550"/>
      <c r="AM469" s="550"/>
      <c r="AN469" s="550"/>
      <c r="AO469" s="550"/>
      <c r="AP469" s="550"/>
      <c r="AQ469" s="550"/>
      <c r="AR469" s="550"/>
      <c r="AS469" s="550"/>
      <c r="AT469" s="550"/>
      <c r="AU469" s="550"/>
      <c r="AV469" s="550"/>
      <c r="AW469" s="550"/>
      <c r="AX469" s="550"/>
      <c r="AY469" s="550"/>
      <c r="AZ469" s="550"/>
      <c r="BA469" s="550"/>
      <c r="BB469" s="550"/>
      <c r="BC469" s="550"/>
      <c r="BD469" s="550"/>
      <c r="BE469" s="550"/>
      <c r="BF469" s="550"/>
      <c r="BG469" s="550"/>
      <c r="BH469" s="550"/>
      <c r="BI469" s="550"/>
      <c r="BJ469" s="550"/>
      <c r="BK469" s="551"/>
      <c r="BL469" s="551"/>
      <c r="BM469" s="551"/>
      <c r="BN469" s="550"/>
      <c r="BO469" s="550"/>
      <c r="BP469" s="550"/>
      <c r="BQ469" s="550"/>
      <c r="BR469" s="550"/>
      <c r="BS469" s="550"/>
      <c r="BT469" s="550"/>
      <c r="BU469" s="550"/>
      <c r="BV469" s="550"/>
      <c r="BW469" s="550"/>
      <c r="BX469" s="550"/>
      <c r="BY469" s="550"/>
      <c r="BZ469" s="555"/>
      <c r="CA469" s="555"/>
      <c r="CB469" s="555"/>
    </row>
    <row r="470" spans="1:80" s="459" customFormat="1" ht="15.75" x14ac:dyDescent="0.2">
      <c r="A470" s="54"/>
      <c r="B470" s="96"/>
      <c r="C470" s="508"/>
      <c r="D470" s="516"/>
      <c r="E470" s="508"/>
      <c r="F470" s="508"/>
      <c r="G470" s="274">
        <v>57</v>
      </c>
      <c r="H470" s="100" t="s">
        <v>562</v>
      </c>
      <c r="I470" s="100"/>
      <c r="J470" s="100"/>
      <c r="K470" s="186"/>
      <c r="L470" s="278"/>
      <c r="M470" s="186"/>
      <c r="N470" s="100"/>
      <c r="O470" s="212"/>
      <c r="P470" s="100"/>
      <c r="Q470" s="100"/>
      <c r="R470" s="336"/>
      <c r="S470" s="336"/>
      <c r="T470" s="336"/>
      <c r="U470" s="336"/>
      <c r="V470" s="336"/>
      <c r="W470" s="336"/>
      <c r="X470" s="336"/>
      <c r="Y470" s="336"/>
      <c r="Z470" s="336"/>
      <c r="AA470" s="336"/>
      <c r="AB470" s="336"/>
      <c r="AC470" s="336"/>
      <c r="AD470" s="336"/>
      <c r="AE470" s="336"/>
      <c r="AF470" s="336"/>
      <c r="AG470" s="336"/>
      <c r="AH470" s="336"/>
      <c r="AI470" s="336"/>
      <c r="AJ470" s="336"/>
      <c r="AK470" s="336"/>
      <c r="AL470" s="336"/>
      <c r="AM470" s="336"/>
      <c r="AN470" s="336"/>
      <c r="AO470" s="336"/>
      <c r="AP470" s="336"/>
      <c r="AQ470" s="336"/>
      <c r="AR470" s="336"/>
      <c r="AS470" s="336"/>
      <c r="AT470" s="336"/>
      <c r="AU470" s="336"/>
      <c r="AV470" s="336"/>
      <c r="AW470" s="336"/>
      <c r="AX470" s="336"/>
      <c r="AY470" s="336"/>
      <c r="AZ470" s="336"/>
      <c r="BA470" s="336"/>
      <c r="BB470" s="336"/>
      <c r="BC470" s="336"/>
      <c r="BD470" s="336"/>
      <c r="BE470" s="336"/>
      <c r="BF470" s="336"/>
      <c r="BG470" s="336"/>
      <c r="BH470" s="336"/>
      <c r="BI470" s="336"/>
      <c r="BJ470" s="336"/>
      <c r="BK470" s="552"/>
      <c r="BL470" s="552"/>
      <c r="BM470" s="552"/>
      <c r="BN470" s="336"/>
      <c r="BO470" s="336"/>
      <c r="BP470" s="336"/>
      <c r="BQ470" s="336"/>
      <c r="BR470" s="336"/>
      <c r="BS470" s="336"/>
      <c r="BT470" s="336"/>
      <c r="BU470" s="336"/>
      <c r="BV470" s="336"/>
      <c r="BW470" s="336"/>
      <c r="BX470" s="336"/>
      <c r="BY470" s="336"/>
      <c r="BZ470" s="338"/>
      <c r="CA470" s="338"/>
      <c r="CB470" s="338"/>
    </row>
    <row r="471" spans="1:80" s="11" customFormat="1" ht="239.25" customHeight="1" x14ac:dyDescent="0.2">
      <c r="A471" s="54"/>
      <c r="B471" s="54"/>
      <c r="C471" s="699" t="s">
        <v>902</v>
      </c>
      <c r="D471" s="700" t="s">
        <v>564</v>
      </c>
      <c r="E471" s="526" t="s">
        <v>903</v>
      </c>
      <c r="F471" s="526" t="s">
        <v>904</v>
      </c>
      <c r="G471" s="56"/>
      <c r="H471" s="57">
        <v>182</v>
      </c>
      <c r="I471" s="56" t="s">
        <v>567</v>
      </c>
      <c r="J471" s="207">
        <v>1</v>
      </c>
      <c r="K471" s="207">
        <v>1</v>
      </c>
      <c r="L471" s="489">
        <v>0.5</v>
      </c>
      <c r="M471" s="61">
        <v>2017003630003</v>
      </c>
      <c r="N471" s="207" t="s">
        <v>458</v>
      </c>
      <c r="O471" s="498" t="s">
        <v>568</v>
      </c>
      <c r="P471" s="56" t="s">
        <v>569</v>
      </c>
      <c r="Q471" s="57" t="s">
        <v>51</v>
      </c>
      <c r="R471" s="539">
        <v>0</v>
      </c>
      <c r="S471" s="539"/>
      <c r="T471" s="539"/>
      <c r="U471" s="539">
        <v>0</v>
      </c>
      <c r="V471" s="539"/>
      <c r="W471" s="539"/>
      <c r="X471" s="539">
        <v>0</v>
      </c>
      <c r="Y471" s="539"/>
      <c r="Z471" s="539"/>
      <c r="AA471" s="539">
        <v>0</v>
      </c>
      <c r="AB471" s="539"/>
      <c r="AC471" s="539"/>
      <c r="AD471" s="539">
        <v>0</v>
      </c>
      <c r="AE471" s="539"/>
      <c r="AF471" s="539"/>
      <c r="AG471" s="539">
        <v>0</v>
      </c>
      <c r="AH471" s="539"/>
      <c r="AI471" s="539"/>
      <c r="AJ471" s="539">
        <v>0</v>
      </c>
      <c r="AK471" s="539"/>
      <c r="AL471" s="539"/>
      <c r="AM471" s="539"/>
      <c r="AN471" s="539"/>
      <c r="AO471" s="539"/>
      <c r="AP471" s="539"/>
      <c r="AQ471" s="539"/>
      <c r="AR471" s="539"/>
      <c r="AS471" s="539">
        <v>0</v>
      </c>
      <c r="AT471" s="539"/>
      <c r="AU471" s="539"/>
      <c r="AV471" s="539">
        <v>0</v>
      </c>
      <c r="AW471" s="539"/>
      <c r="AX471" s="539"/>
      <c r="AY471" s="539"/>
      <c r="AZ471" s="539"/>
      <c r="BA471" s="539"/>
      <c r="BB471" s="539"/>
      <c r="BC471" s="539"/>
      <c r="BD471" s="539"/>
      <c r="BE471" s="539">
        <v>0</v>
      </c>
      <c r="BF471" s="539"/>
      <c r="BG471" s="539"/>
      <c r="BH471" s="539">
        <v>0</v>
      </c>
      <c r="BI471" s="541"/>
      <c r="BJ471" s="541"/>
      <c r="BK471" s="628">
        <v>29000000</v>
      </c>
      <c r="BL471" s="628"/>
      <c r="BM471" s="628"/>
      <c r="BN471" s="553"/>
      <c r="BO471" s="553"/>
      <c r="BP471" s="553"/>
      <c r="BQ471" s="539">
        <v>0</v>
      </c>
      <c r="BR471" s="541"/>
      <c r="BS471" s="541"/>
      <c r="BT471" s="541"/>
      <c r="BU471" s="541"/>
      <c r="BV471" s="541"/>
      <c r="BW471" s="541"/>
      <c r="BX471" s="541"/>
      <c r="BY471" s="541"/>
      <c r="BZ471" s="539">
        <f>R471+U471+X471+AA471+AD471+AG471+AJ471+AM471+AP471+AS471+AV471+AY471+BB471+BE471+BH471+BK471+BN471+BQ471+BT471+BW471</f>
        <v>29000000</v>
      </c>
      <c r="CA471" s="539">
        <f t="shared" ref="CA471" si="418">S471+V471+Y471+AB471+AE471+AH471+AK471+AN471+AQ471+AT471+AW471+AZ471+BC471+BF471+BI471+BL471+BO471+BR471+BU471+BX471</f>
        <v>0</v>
      </c>
      <c r="CB471" s="539">
        <f t="shared" ref="CB471" si="419">T471+W471+Z471+AC471+AF471+AI471+AL471+AO471+AR471+AU471+AX471+BA471+BD471+BG471+BJ471+BM471+BP471+BS471+BV471+BY471</f>
        <v>0</v>
      </c>
    </row>
    <row r="472" spans="1:80" s="459" customFormat="1" ht="19.5" customHeight="1" x14ac:dyDescent="0.2">
      <c r="A472" s="54"/>
      <c r="B472" s="74"/>
      <c r="C472" s="701"/>
      <c r="D472" s="528"/>
      <c r="E472" s="527"/>
      <c r="F472" s="527"/>
      <c r="G472" s="77"/>
      <c r="H472" s="78"/>
      <c r="I472" s="77"/>
      <c r="J472" s="240"/>
      <c r="K472" s="240"/>
      <c r="L472" s="240"/>
      <c r="M472" s="240"/>
      <c r="N472" s="240"/>
      <c r="O472" s="78"/>
      <c r="P472" s="77"/>
      <c r="Q472" s="78"/>
      <c r="R472" s="548">
        <f t="shared" ref="R472:BY472" si="420">SUM(R471)</f>
        <v>0</v>
      </c>
      <c r="S472" s="548">
        <f t="shared" si="420"/>
        <v>0</v>
      </c>
      <c r="T472" s="548">
        <f t="shared" si="420"/>
        <v>0</v>
      </c>
      <c r="U472" s="548">
        <f t="shared" si="420"/>
        <v>0</v>
      </c>
      <c r="V472" s="548">
        <f t="shared" si="420"/>
        <v>0</v>
      </c>
      <c r="W472" s="548">
        <f t="shared" si="420"/>
        <v>0</v>
      </c>
      <c r="X472" s="548">
        <f t="shared" si="420"/>
        <v>0</v>
      </c>
      <c r="Y472" s="548">
        <f t="shared" si="420"/>
        <v>0</v>
      </c>
      <c r="Z472" s="548">
        <f t="shared" si="420"/>
        <v>0</v>
      </c>
      <c r="AA472" s="548">
        <f t="shared" si="420"/>
        <v>0</v>
      </c>
      <c r="AB472" s="548">
        <f t="shared" si="420"/>
        <v>0</v>
      </c>
      <c r="AC472" s="548">
        <f t="shared" si="420"/>
        <v>0</v>
      </c>
      <c r="AD472" s="548">
        <f t="shared" si="420"/>
        <v>0</v>
      </c>
      <c r="AE472" s="548">
        <f t="shared" si="420"/>
        <v>0</v>
      </c>
      <c r="AF472" s="548">
        <f t="shared" si="420"/>
        <v>0</v>
      </c>
      <c r="AG472" s="548">
        <f t="shared" si="420"/>
        <v>0</v>
      </c>
      <c r="AH472" s="548">
        <f t="shared" si="420"/>
        <v>0</v>
      </c>
      <c r="AI472" s="548">
        <f t="shared" si="420"/>
        <v>0</v>
      </c>
      <c r="AJ472" s="548">
        <f t="shared" si="420"/>
        <v>0</v>
      </c>
      <c r="AK472" s="548">
        <f t="shared" si="420"/>
        <v>0</v>
      </c>
      <c r="AL472" s="548">
        <f t="shared" si="420"/>
        <v>0</v>
      </c>
      <c r="AM472" s="548">
        <f t="shared" si="420"/>
        <v>0</v>
      </c>
      <c r="AN472" s="548">
        <f t="shared" si="420"/>
        <v>0</v>
      </c>
      <c r="AO472" s="548">
        <f t="shared" si="420"/>
        <v>0</v>
      </c>
      <c r="AP472" s="548">
        <f t="shared" si="420"/>
        <v>0</v>
      </c>
      <c r="AQ472" s="548">
        <f t="shared" si="420"/>
        <v>0</v>
      </c>
      <c r="AR472" s="548">
        <f t="shared" si="420"/>
        <v>0</v>
      </c>
      <c r="AS472" s="548">
        <f t="shared" si="420"/>
        <v>0</v>
      </c>
      <c r="AT472" s="548">
        <f t="shared" si="420"/>
        <v>0</v>
      </c>
      <c r="AU472" s="548">
        <f t="shared" si="420"/>
        <v>0</v>
      </c>
      <c r="AV472" s="548">
        <f t="shared" si="420"/>
        <v>0</v>
      </c>
      <c r="AW472" s="548">
        <f t="shared" si="420"/>
        <v>0</v>
      </c>
      <c r="AX472" s="548">
        <f t="shared" si="420"/>
        <v>0</v>
      </c>
      <c r="AY472" s="548">
        <f t="shared" si="420"/>
        <v>0</v>
      </c>
      <c r="AZ472" s="548">
        <f t="shared" si="420"/>
        <v>0</v>
      </c>
      <c r="BA472" s="548">
        <f t="shared" si="420"/>
        <v>0</v>
      </c>
      <c r="BB472" s="548">
        <f t="shared" si="420"/>
        <v>0</v>
      </c>
      <c r="BC472" s="548">
        <f t="shared" si="420"/>
        <v>0</v>
      </c>
      <c r="BD472" s="548">
        <f t="shared" si="420"/>
        <v>0</v>
      </c>
      <c r="BE472" s="548">
        <f t="shared" si="420"/>
        <v>0</v>
      </c>
      <c r="BF472" s="548">
        <f t="shared" si="420"/>
        <v>0</v>
      </c>
      <c r="BG472" s="548">
        <f t="shared" si="420"/>
        <v>0</v>
      </c>
      <c r="BH472" s="548">
        <f t="shared" si="420"/>
        <v>0</v>
      </c>
      <c r="BI472" s="548">
        <f t="shared" si="420"/>
        <v>0</v>
      </c>
      <c r="BJ472" s="548">
        <f t="shared" si="420"/>
        <v>0</v>
      </c>
      <c r="BK472" s="548">
        <f t="shared" si="420"/>
        <v>29000000</v>
      </c>
      <c r="BL472" s="548">
        <f t="shared" si="420"/>
        <v>0</v>
      </c>
      <c r="BM472" s="548">
        <f t="shared" si="420"/>
        <v>0</v>
      </c>
      <c r="BN472" s="548">
        <f t="shared" si="420"/>
        <v>0</v>
      </c>
      <c r="BO472" s="548">
        <f t="shared" si="420"/>
        <v>0</v>
      </c>
      <c r="BP472" s="548">
        <f t="shared" si="420"/>
        <v>0</v>
      </c>
      <c r="BQ472" s="548">
        <f t="shared" si="420"/>
        <v>0</v>
      </c>
      <c r="BR472" s="548">
        <f t="shared" si="420"/>
        <v>0</v>
      </c>
      <c r="BS472" s="548">
        <f t="shared" si="420"/>
        <v>0</v>
      </c>
      <c r="BT472" s="548">
        <f t="shared" si="420"/>
        <v>0</v>
      </c>
      <c r="BU472" s="548">
        <f t="shared" si="420"/>
        <v>0</v>
      </c>
      <c r="BV472" s="548">
        <f t="shared" si="420"/>
        <v>0</v>
      </c>
      <c r="BW472" s="548">
        <f t="shared" si="420"/>
        <v>0</v>
      </c>
      <c r="BX472" s="548">
        <f t="shared" si="420"/>
        <v>0</v>
      </c>
      <c r="BY472" s="548">
        <f t="shared" si="420"/>
        <v>0</v>
      </c>
      <c r="BZ472" s="548">
        <f>SUM(BZ471)</f>
        <v>29000000</v>
      </c>
      <c r="CA472" s="548">
        <f t="shared" ref="CA472:CB472" si="421">SUM(CA471)</f>
        <v>0</v>
      </c>
      <c r="CB472" s="548">
        <f t="shared" si="421"/>
        <v>0</v>
      </c>
    </row>
    <row r="473" spans="1:80" s="471" customFormat="1" ht="23.25" customHeight="1" x14ac:dyDescent="0.2">
      <c r="A473" s="74"/>
      <c r="B473" s="383"/>
      <c r="C473" s="384"/>
      <c r="D473" s="385"/>
      <c r="E473" s="340"/>
      <c r="F473" s="340"/>
      <c r="G473" s="81"/>
      <c r="H473" s="82"/>
      <c r="I473" s="81"/>
      <c r="J473" s="261"/>
      <c r="K473" s="261"/>
      <c r="L473" s="261"/>
      <c r="M473" s="261"/>
      <c r="N473" s="261"/>
      <c r="O473" s="82"/>
      <c r="P473" s="81"/>
      <c r="Q473" s="82"/>
      <c r="R473" s="554">
        <f t="shared" ref="R473:BY473" si="422">R472</f>
        <v>0</v>
      </c>
      <c r="S473" s="554">
        <f t="shared" si="422"/>
        <v>0</v>
      </c>
      <c r="T473" s="554">
        <f t="shared" si="422"/>
        <v>0</v>
      </c>
      <c r="U473" s="554">
        <f t="shared" si="422"/>
        <v>0</v>
      </c>
      <c r="V473" s="554">
        <f t="shared" si="422"/>
        <v>0</v>
      </c>
      <c r="W473" s="554">
        <f t="shared" si="422"/>
        <v>0</v>
      </c>
      <c r="X473" s="554">
        <f t="shared" si="422"/>
        <v>0</v>
      </c>
      <c r="Y473" s="554">
        <f t="shared" si="422"/>
        <v>0</v>
      </c>
      <c r="Z473" s="554">
        <f t="shared" si="422"/>
        <v>0</v>
      </c>
      <c r="AA473" s="554">
        <f t="shared" si="422"/>
        <v>0</v>
      </c>
      <c r="AB473" s="554">
        <f t="shared" si="422"/>
        <v>0</v>
      </c>
      <c r="AC473" s="554">
        <f t="shared" si="422"/>
        <v>0</v>
      </c>
      <c r="AD473" s="554">
        <f t="shared" si="422"/>
        <v>0</v>
      </c>
      <c r="AE473" s="554">
        <f t="shared" si="422"/>
        <v>0</v>
      </c>
      <c r="AF473" s="554">
        <f t="shared" si="422"/>
        <v>0</v>
      </c>
      <c r="AG473" s="554">
        <f t="shared" si="422"/>
        <v>0</v>
      </c>
      <c r="AH473" s="554">
        <f t="shared" si="422"/>
        <v>0</v>
      </c>
      <c r="AI473" s="554">
        <f t="shared" si="422"/>
        <v>0</v>
      </c>
      <c r="AJ473" s="554">
        <f t="shared" si="422"/>
        <v>0</v>
      </c>
      <c r="AK473" s="554">
        <f t="shared" si="422"/>
        <v>0</v>
      </c>
      <c r="AL473" s="554">
        <f t="shared" si="422"/>
        <v>0</v>
      </c>
      <c r="AM473" s="554">
        <f t="shared" si="422"/>
        <v>0</v>
      </c>
      <c r="AN473" s="554">
        <f t="shared" si="422"/>
        <v>0</v>
      </c>
      <c r="AO473" s="554">
        <f t="shared" si="422"/>
        <v>0</v>
      </c>
      <c r="AP473" s="554">
        <f t="shared" si="422"/>
        <v>0</v>
      </c>
      <c r="AQ473" s="554">
        <f t="shared" si="422"/>
        <v>0</v>
      </c>
      <c r="AR473" s="554">
        <f t="shared" si="422"/>
        <v>0</v>
      </c>
      <c r="AS473" s="554">
        <f t="shared" si="422"/>
        <v>0</v>
      </c>
      <c r="AT473" s="554">
        <f t="shared" si="422"/>
        <v>0</v>
      </c>
      <c r="AU473" s="554">
        <f t="shared" si="422"/>
        <v>0</v>
      </c>
      <c r="AV473" s="554">
        <f t="shared" si="422"/>
        <v>0</v>
      </c>
      <c r="AW473" s="554">
        <f t="shared" si="422"/>
        <v>0</v>
      </c>
      <c r="AX473" s="554">
        <f t="shared" si="422"/>
        <v>0</v>
      </c>
      <c r="AY473" s="554">
        <f t="shared" si="422"/>
        <v>0</v>
      </c>
      <c r="AZ473" s="554">
        <f t="shared" si="422"/>
        <v>0</v>
      </c>
      <c r="BA473" s="554">
        <f t="shared" si="422"/>
        <v>0</v>
      </c>
      <c r="BB473" s="554">
        <f t="shared" si="422"/>
        <v>0</v>
      </c>
      <c r="BC473" s="554">
        <f t="shared" si="422"/>
        <v>0</v>
      </c>
      <c r="BD473" s="554">
        <f t="shared" si="422"/>
        <v>0</v>
      </c>
      <c r="BE473" s="554">
        <f t="shared" si="422"/>
        <v>0</v>
      </c>
      <c r="BF473" s="554">
        <f t="shared" si="422"/>
        <v>0</v>
      </c>
      <c r="BG473" s="554">
        <f t="shared" si="422"/>
        <v>0</v>
      </c>
      <c r="BH473" s="554">
        <f t="shared" si="422"/>
        <v>0</v>
      </c>
      <c r="BI473" s="554">
        <f t="shared" si="422"/>
        <v>0</v>
      </c>
      <c r="BJ473" s="554">
        <f t="shared" si="422"/>
        <v>0</v>
      </c>
      <c r="BK473" s="554">
        <f t="shared" si="422"/>
        <v>29000000</v>
      </c>
      <c r="BL473" s="554">
        <f t="shared" si="422"/>
        <v>0</v>
      </c>
      <c r="BM473" s="554">
        <f t="shared" si="422"/>
        <v>0</v>
      </c>
      <c r="BN473" s="554">
        <f t="shared" si="422"/>
        <v>0</v>
      </c>
      <c r="BO473" s="554">
        <f t="shared" si="422"/>
        <v>0</v>
      </c>
      <c r="BP473" s="554">
        <f t="shared" si="422"/>
        <v>0</v>
      </c>
      <c r="BQ473" s="554">
        <f t="shared" si="422"/>
        <v>0</v>
      </c>
      <c r="BR473" s="554">
        <f t="shared" si="422"/>
        <v>0</v>
      </c>
      <c r="BS473" s="554">
        <f t="shared" si="422"/>
        <v>0</v>
      </c>
      <c r="BT473" s="554">
        <f t="shared" si="422"/>
        <v>0</v>
      </c>
      <c r="BU473" s="554">
        <f t="shared" si="422"/>
        <v>0</v>
      </c>
      <c r="BV473" s="554">
        <f t="shared" si="422"/>
        <v>0</v>
      </c>
      <c r="BW473" s="554">
        <f t="shared" si="422"/>
        <v>0</v>
      </c>
      <c r="BX473" s="554">
        <f t="shared" si="422"/>
        <v>0</v>
      </c>
      <c r="BY473" s="554">
        <f t="shared" si="422"/>
        <v>0</v>
      </c>
      <c r="BZ473" s="554">
        <f>BZ472</f>
        <v>29000000</v>
      </c>
      <c r="CA473" s="554">
        <f t="shared" ref="CA473:CB473" si="423">CA472</f>
        <v>0</v>
      </c>
      <c r="CB473" s="554">
        <f t="shared" si="423"/>
        <v>0</v>
      </c>
    </row>
    <row r="474" spans="1:80" s="459" customFormat="1" ht="23.25" customHeight="1" x14ac:dyDescent="0.2">
      <c r="A474" s="180"/>
      <c r="B474" s="386"/>
      <c r="C474" s="387"/>
      <c r="D474" s="386"/>
      <c r="E474" s="388"/>
      <c r="F474" s="388"/>
      <c r="G474" s="84"/>
      <c r="H474" s="85"/>
      <c r="I474" s="84"/>
      <c r="J474" s="265"/>
      <c r="K474" s="265"/>
      <c r="L474" s="265"/>
      <c r="M474" s="265"/>
      <c r="N474" s="265"/>
      <c r="O474" s="85"/>
      <c r="P474" s="84"/>
      <c r="Q474" s="85"/>
      <c r="R474" s="560">
        <f t="shared" ref="R474:BY474" si="424">R473+R467+R447+R429+R392</f>
        <v>0</v>
      </c>
      <c r="S474" s="560">
        <f t="shared" si="424"/>
        <v>0</v>
      </c>
      <c r="T474" s="560">
        <f t="shared" si="424"/>
        <v>0</v>
      </c>
      <c r="U474" s="560">
        <f t="shared" si="424"/>
        <v>0</v>
      </c>
      <c r="V474" s="560">
        <f t="shared" si="424"/>
        <v>0</v>
      </c>
      <c r="W474" s="560">
        <f t="shared" si="424"/>
        <v>0</v>
      </c>
      <c r="X474" s="560">
        <f t="shared" si="424"/>
        <v>0</v>
      </c>
      <c r="Y474" s="560">
        <f t="shared" si="424"/>
        <v>0</v>
      </c>
      <c r="Z474" s="560">
        <f t="shared" si="424"/>
        <v>0</v>
      </c>
      <c r="AA474" s="560">
        <f t="shared" si="424"/>
        <v>0</v>
      </c>
      <c r="AB474" s="560">
        <f t="shared" si="424"/>
        <v>0</v>
      </c>
      <c r="AC474" s="560">
        <f t="shared" si="424"/>
        <v>0</v>
      </c>
      <c r="AD474" s="560">
        <f t="shared" si="424"/>
        <v>0</v>
      </c>
      <c r="AE474" s="560">
        <f t="shared" si="424"/>
        <v>0</v>
      </c>
      <c r="AF474" s="560">
        <f t="shared" si="424"/>
        <v>0</v>
      </c>
      <c r="AG474" s="560">
        <f t="shared" si="424"/>
        <v>0</v>
      </c>
      <c r="AH474" s="560">
        <f t="shared" si="424"/>
        <v>0</v>
      </c>
      <c r="AI474" s="560">
        <f t="shared" si="424"/>
        <v>0</v>
      </c>
      <c r="AJ474" s="560">
        <f t="shared" si="424"/>
        <v>3571563200</v>
      </c>
      <c r="AK474" s="560">
        <f t="shared" si="424"/>
        <v>1103369712</v>
      </c>
      <c r="AL474" s="560">
        <f t="shared" si="424"/>
        <v>227021662</v>
      </c>
      <c r="AM474" s="560">
        <f t="shared" si="424"/>
        <v>0</v>
      </c>
      <c r="AN474" s="560">
        <f t="shared" si="424"/>
        <v>0</v>
      </c>
      <c r="AO474" s="560">
        <f t="shared" si="424"/>
        <v>0</v>
      </c>
      <c r="AP474" s="560">
        <f t="shared" si="424"/>
        <v>0</v>
      </c>
      <c r="AQ474" s="560">
        <f t="shared" si="424"/>
        <v>0</v>
      </c>
      <c r="AR474" s="560">
        <f t="shared" si="424"/>
        <v>0</v>
      </c>
      <c r="AS474" s="560">
        <f t="shared" si="424"/>
        <v>0</v>
      </c>
      <c r="AT474" s="560">
        <f t="shared" si="424"/>
        <v>0</v>
      </c>
      <c r="AU474" s="560">
        <f t="shared" si="424"/>
        <v>0</v>
      </c>
      <c r="AV474" s="560">
        <f t="shared" si="424"/>
        <v>0</v>
      </c>
      <c r="AW474" s="560">
        <f t="shared" si="424"/>
        <v>0</v>
      </c>
      <c r="AX474" s="560">
        <f t="shared" si="424"/>
        <v>0</v>
      </c>
      <c r="AY474" s="560">
        <f t="shared" si="424"/>
        <v>136503889505</v>
      </c>
      <c r="AZ474" s="560">
        <f t="shared" si="424"/>
        <v>21107471740</v>
      </c>
      <c r="BA474" s="560">
        <f t="shared" si="424"/>
        <v>20400558152</v>
      </c>
      <c r="BB474" s="560">
        <f t="shared" si="424"/>
        <v>26281000000</v>
      </c>
      <c r="BC474" s="560">
        <f t="shared" si="424"/>
        <v>4254155507</v>
      </c>
      <c r="BD474" s="560">
        <f t="shared" si="424"/>
        <v>3036703013</v>
      </c>
      <c r="BE474" s="560">
        <f t="shared" si="424"/>
        <v>9045839438</v>
      </c>
      <c r="BF474" s="560">
        <f t="shared" si="424"/>
        <v>0</v>
      </c>
      <c r="BG474" s="560">
        <f t="shared" si="424"/>
        <v>0</v>
      </c>
      <c r="BH474" s="560">
        <f t="shared" si="424"/>
        <v>0</v>
      </c>
      <c r="BI474" s="560">
        <f t="shared" si="424"/>
        <v>0</v>
      </c>
      <c r="BJ474" s="560">
        <f t="shared" si="424"/>
        <v>0</v>
      </c>
      <c r="BK474" s="560">
        <f t="shared" si="424"/>
        <v>4872804607</v>
      </c>
      <c r="BL474" s="560">
        <f t="shared" si="424"/>
        <v>2334846527</v>
      </c>
      <c r="BM474" s="560">
        <f t="shared" si="424"/>
        <v>843278318</v>
      </c>
      <c r="BN474" s="560">
        <f t="shared" si="424"/>
        <v>0</v>
      </c>
      <c r="BO474" s="560">
        <f t="shared" si="424"/>
        <v>0</v>
      </c>
      <c r="BP474" s="560">
        <f t="shared" si="424"/>
        <v>0</v>
      </c>
      <c r="BQ474" s="560">
        <f t="shared" si="424"/>
        <v>79557</v>
      </c>
      <c r="BR474" s="560">
        <f t="shared" si="424"/>
        <v>0</v>
      </c>
      <c r="BS474" s="560">
        <f t="shared" si="424"/>
        <v>0</v>
      </c>
      <c r="BT474" s="560">
        <f t="shared" si="424"/>
        <v>0</v>
      </c>
      <c r="BU474" s="560">
        <f t="shared" si="424"/>
        <v>0</v>
      </c>
      <c r="BV474" s="560">
        <f t="shared" si="424"/>
        <v>0</v>
      </c>
      <c r="BW474" s="560">
        <f t="shared" si="424"/>
        <v>0</v>
      </c>
      <c r="BX474" s="560">
        <f t="shared" si="424"/>
        <v>0</v>
      </c>
      <c r="BY474" s="560">
        <f t="shared" si="424"/>
        <v>0</v>
      </c>
      <c r="BZ474" s="560">
        <f>BZ473+BZ467+BZ447+BZ429+BZ392</f>
        <v>180275176307</v>
      </c>
      <c r="CA474" s="560">
        <f t="shared" ref="CA474:CB474" si="425">CA473+CA467+CA447+CA429+CA392</f>
        <v>32004647004</v>
      </c>
      <c r="CB474" s="560">
        <f t="shared" si="425"/>
        <v>27564611483</v>
      </c>
    </row>
    <row r="475" spans="1:80" s="459" customFormat="1" ht="23.25" customHeight="1" x14ac:dyDescent="0.2">
      <c r="A475" s="87"/>
      <c r="B475" s="87"/>
      <c r="C475" s="88"/>
      <c r="D475" s="87"/>
      <c r="E475" s="88"/>
      <c r="F475" s="88"/>
      <c r="G475" s="87"/>
      <c r="H475" s="88"/>
      <c r="I475" s="87"/>
      <c r="J475" s="89"/>
      <c r="K475" s="389"/>
      <c r="L475" s="389"/>
      <c r="M475" s="389"/>
      <c r="N475" s="89"/>
      <c r="O475" s="88"/>
      <c r="P475" s="87"/>
      <c r="Q475" s="88"/>
      <c r="R475" s="561">
        <f t="shared" ref="R475:BY475" si="426">+R474</f>
        <v>0</v>
      </c>
      <c r="S475" s="561">
        <f t="shared" si="426"/>
        <v>0</v>
      </c>
      <c r="T475" s="561">
        <f t="shared" si="426"/>
        <v>0</v>
      </c>
      <c r="U475" s="561">
        <f t="shared" si="426"/>
        <v>0</v>
      </c>
      <c r="V475" s="561">
        <f t="shared" si="426"/>
        <v>0</v>
      </c>
      <c r="W475" s="561">
        <f t="shared" si="426"/>
        <v>0</v>
      </c>
      <c r="X475" s="561">
        <f t="shared" si="426"/>
        <v>0</v>
      </c>
      <c r="Y475" s="561">
        <f t="shared" si="426"/>
        <v>0</v>
      </c>
      <c r="Z475" s="561">
        <f t="shared" si="426"/>
        <v>0</v>
      </c>
      <c r="AA475" s="561">
        <f t="shared" si="426"/>
        <v>0</v>
      </c>
      <c r="AB475" s="561">
        <f t="shared" si="426"/>
        <v>0</v>
      </c>
      <c r="AC475" s="561">
        <f t="shared" si="426"/>
        <v>0</v>
      </c>
      <c r="AD475" s="561">
        <f t="shared" si="426"/>
        <v>0</v>
      </c>
      <c r="AE475" s="561">
        <f t="shared" si="426"/>
        <v>0</v>
      </c>
      <c r="AF475" s="561">
        <f t="shared" si="426"/>
        <v>0</v>
      </c>
      <c r="AG475" s="561">
        <f t="shared" si="426"/>
        <v>0</v>
      </c>
      <c r="AH475" s="561">
        <f t="shared" si="426"/>
        <v>0</v>
      </c>
      <c r="AI475" s="561">
        <f t="shared" si="426"/>
        <v>0</v>
      </c>
      <c r="AJ475" s="561">
        <f t="shared" si="426"/>
        <v>3571563200</v>
      </c>
      <c r="AK475" s="561">
        <f t="shared" si="426"/>
        <v>1103369712</v>
      </c>
      <c r="AL475" s="561">
        <f t="shared" si="426"/>
        <v>227021662</v>
      </c>
      <c r="AM475" s="561">
        <f t="shared" si="426"/>
        <v>0</v>
      </c>
      <c r="AN475" s="561">
        <f t="shared" si="426"/>
        <v>0</v>
      </c>
      <c r="AO475" s="561">
        <f t="shared" si="426"/>
        <v>0</v>
      </c>
      <c r="AP475" s="561">
        <f t="shared" si="426"/>
        <v>0</v>
      </c>
      <c r="AQ475" s="561">
        <f t="shared" si="426"/>
        <v>0</v>
      </c>
      <c r="AR475" s="561">
        <f t="shared" si="426"/>
        <v>0</v>
      </c>
      <c r="AS475" s="561">
        <f t="shared" si="426"/>
        <v>0</v>
      </c>
      <c r="AT475" s="561">
        <f t="shared" si="426"/>
        <v>0</v>
      </c>
      <c r="AU475" s="561">
        <f t="shared" si="426"/>
        <v>0</v>
      </c>
      <c r="AV475" s="561">
        <f t="shared" si="426"/>
        <v>0</v>
      </c>
      <c r="AW475" s="561">
        <f t="shared" si="426"/>
        <v>0</v>
      </c>
      <c r="AX475" s="561">
        <f t="shared" si="426"/>
        <v>0</v>
      </c>
      <c r="AY475" s="561">
        <f t="shared" si="426"/>
        <v>136503889505</v>
      </c>
      <c r="AZ475" s="561">
        <f t="shared" si="426"/>
        <v>21107471740</v>
      </c>
      <c r="BA475" s="561">
        <f t="shared" si="426"/>
        <v>20400558152</v>
      </c>
      <c r="BB475" s="561">
        <f t="shared" si="426"/>
        <v>26281000000</v>
      </c>
      <c r="BC475" s="561">
        <f t="shared" si="426"/>
        <v>4254155507</v>
      </c>
      <c r="BD475" s="561">
        <f t="shared" si="426"/>
        <v>3036703013</v>
      </c>
      <c r="BE475" s="561">
        <f t="shared" si="426"/>
        <v>9045839438</v>
      </c>
      <c r="BF475" s="561">
        <f t="shared" si="426"/>
        <v>0</v>
      </c>
      <c r="BG475" s="561">
        <f t="shared" si="426"/>
        <v>0</v>
      </c>
      <c r="BH475" s="561">
        <f t="shared" si="426"/>
        <v>0</v>
      </c>
      <c r="BI475" s="561">
        <f t="shared" si="426"/>
        <v>0</v>
      </c>
      <c r="BJ475" s="561">
        <f t="shared" si="426"/>
        <v>0</v>
      </c>
      <c r="BK475" s="561">
        <f t="shared" si="426"/>
        <v>4872804607</v>
      </c>
      <c r="BL475" s="561">
        <f t="shared" si="426"/>
        <v>2334846527</v>
      </c>
      <c r="BM475" s="561">
        <f t="shared" si="426"/>
        <v>843278318</v>
      </c>
      <c r="BN475" s="561">
        <f t="shared" si="426"/>
        <v>0</v>
      </c>
      <c r="BO475" s="561">
        <f t="shared" si="426"/>
        <v>0</v>
      </c>
      <c r="BP475" s="561">
        <f t="shared" si="426"/>
        <v>0</v>
      </c>
      <c r="BQ475" s="561">
        <f t="shared" si="426"/>
        <v>79557</v>
      </c>
      <c r="BR475" s="561">
        <f t="shared" si="426"/>
        <v>0</v>
      </c>
      <c r="BS475" s="561">
        <f t="shared" si="426"/>
        <v>0</v>
      </c>
      <c r="BT475" s="561">
        <f t="shared" si="426"/>
        <v>0</v>
      </c>
      <c r="BU475" s="561">
        <f t="shared" si="426"/>
        <v>0</v>
      </c>
      <c r="BV475" s="561">
        <f t="shared" si="426"/>
        <v>0</v>
      </c>
      <c r="BW475" s="561">
        <f t="shared" si="426"/>
        <v>0</v>
      </c>
      <c r="BX475" s="561">
        <f t="shared" si="426"/>
        <v>0</v>
      </c>
      <c r="BY475" s="561">
        <f t="shared" si="426"/>
        <v>0</v>
      </c>
      <c r="BZ475" s="561">
        <f>+BZ474</f>
        <v>180275176307</v>
      </c>
      <c r="CA475" s="561">
        <f t="shared" ref="CA475:CB475" si="427">+CA474</f>
        <v>32004647004</v>
      </c>
      <c r="CB475" s="561">
        <f t="shared" si="427"/>
        <v>27564611483</v>
      </c>
    </row>
    <row r="476" spans="1:80" s="11" customFormat="1" ht="18.75" customHeight="1" x14ac:dyDescent="0.2">
      <c r="A476" s="90"/>
      <c r="B476" s="91"/>
      <c r="C476" s="92"/>
      <c r="D476" s="91"/>
      <c r="E476" s="92"/>
      <c r="F476" s="92"/>
      <c r="G476" s="91"/>
      <c r="H476" s="92"/>
      <c r="I476" s="91"/>
      <c r="J476" s="93"/>
      <c r="K476" s="247"/>
      <c r="L476" s="247"/>
      <c r="M476" s="247"/>
      <c r="N476" s="93"/>
      <c r="O476" s="500"/>
      <c r="P476" s="91"/>
      <c r="Q476" s="92"/>
      <c r="R476" s="543"/>
      <c r="S476" s="543"/>
      <c r="T476" s="543"/>
      <c r="U476" s="544"/>
      <c r="V476" s="544"/>
      <c r="W476" s="544"/>
      <c r="X476" s="543"/>
      <c r="Y476" s="543"/>
      <c r="Z476" s="543"/>
      <c r="AA476" s="543"/>
      <c r="AB476" s="543"/>
      <c r="AC476" s="543"/>
      <c r="AD476" s="543"/>
      <c r="AE476" s="543"/>
      <c r="AF476" s="543"/>
      <c r="AG476" s="543"/>
      <c r="AH476" s="543"/>
      <c r="AI476" s="543"/>
      <c r="AJ476" s="543"/>
      <c r="AK476" s="543"/>
      <c r="AL476" s="543"/>
      <c r="AM476" s="543"/>
      <c r="AN476" s="543"/>
      <c r="AO476" s="543"/>
      <c r="AP476" s="543"/>
      <c r="AQ476" s="543"/>
      <c r="AR476" s="543"/>
      <c r="AS476" s="543"/>
      <c r="AT476" s="543"/>
      <c r="AU476" s="543"/>
      <c r="AV476" s="543"/>
      <c r="AW476" s="543"/>
      <c r="AX476" s="543"/>
      <c r="AY476" s="544"/>
      <c r="AZ476" s="544"/>
      <c r="BA476" s="544"/>
      <c r="BB476" s="544"/>
      <c r="BC476" s="544"/>
      <c r="BD476" s="544"/>
      <c r="BE476" s="543">
        <f>BB475+AY475</f>
        <v>162784889505</v>
      </c>
      <c r="BF476" s="543"/>
      <c r="BG476" s="543"/>
      <c r="BH476" s="543"/>
      <c r="BI476" s="543"/>
      <c r="BJ476" s="543"/>
      <c r="BK476" s="641"/>
      <c r="BL476" s="843"/>
      <c r="BM476" s="843"/>
      <c r="BN476" s="546"/>
      <c r="BO476" s="546"/>
      <c r="BP476" s="546"/>
      <c r="BQ476" s="543"/>
      <c r="BR476" s="543"/>
      <c r="BS476" s="543"/>
      <c r="BT476" s="543"/>
      <c r="BU476" s="543"/>
      <c r="BV476" s="543"/>
      <c r="BW476" s="543"/>
      <c r="BX476" s="543"/>
      <c r="BY476" s="543"/>
      <c r="BZ476" s="547"/>
      <c r="CA476" s="547"/>
      <c r="CB476" s="547"/>
    </row>
    <row r="477" spans="1:80" s="459" customFormat="1" ht="15.75" x14ac:dyDescent="0.2">
      <c r="A477" s="41" t="s">
        <v>570</v>
      </c>
      <c r="B477" s="42"/>
      <c r="C477" s="43"/>
      <c r="D477" s="42"/>
      <c r="E477" s="42"/>
      <c r="F477" s="42"/>
      <c r="G477" s="42"/>
      <c r="H477" s="43"/>
      <c r="I477" s="42"/>
      <c r="J477" s="42"/>
      <c r="K477" s="272"/>
      <c r="L477" s="272"/>
      <c r="M477" s="272"/>
      <c r="N477" s="42"/>
      <c r="O477" s="43"/>
      <c r="P477" s="42"/>
      <c r="Q477" s="43"/>
      <c r="R477" s="617"/>
      <c r="S477" s="617"/>
      <c r="T477" s="617"/>
      <c r="U477" s="617"/>
      <c r="V477" s="617"/>
      <c r="W477" s="617"/>
      <c r="X477" s="617"/>
      <c r="Y477" s="617"/>
      <c r="Z477" s="617"/>
      <c r="AA477" s="617"/>
      <c r="AB477" s="617"/>
      <c r="AC477" s="617"/>
      <c r="AD477" s="617"/>
      <c r="AE477" s="617"/>
      <c r="AF477" s="617"/>
      <c r="AG477" s="617"/>
      <c r="AH477" s="617"/>
      <c r="AI477" s="617"/>
      <c r="AJ477" s="617"/>
      <c r="AK477" s="617"/>
      <c r="AL477" s="617"/>
      <c r="AM477" s="617"/>
      <c r="AN477" s="617"/>
      <c r="AO477" s="617"/>
      <c r="AP477" s="617"/>
      <c r="AQ477" s="617"/>
      <c r="AR477" s="617"/>
      <c r="AS477" s="617"/>
      <c r="AT477" s="617"/>
      <c r="AU477" s="617"/>
      <c r="AV477" s="617"/>
      <c r="AW477" s="617"/>
      <c r="AX477" s="617"/>
      <c r="AY477" s="617"/>
      <c r="AZ477" s="617"/>
      <c r="BA477" s="617"/>
      <c r="BB477" s="617"/>
      <c r="BC477" s="617"/>
      <c r="BD477" s="617"/>
      <c r="BE477" s="617"/>
      <c r="BF477" s="617"/>
      <c r="BG477" s="617"/>
      <c r="BH477" s="617"/>
      <c r="BI477" s="617"/>
      <c r="BJ477" s="617"/>
      <c r="BK477" s="618"/>
      <c r="BL477" s="618"/>
      <c r="BM477" s="618"/>
      <c r="BN477" s="619"/>
      <c r="BO477" s="619"/>
      <c r="BP477" s="619"/>
      <c r="BQ477" s="617"/>
      <c r="BR477" s="617"/>
      <c r="BS477" s="617"/>
      <c r="BT477" s="617"/>
      <c r="BU477" s="617"/>
      <c r="BV477" s="617"/>
      <c r="BW477" s="617"/>
      <c r="BX477" s="617"/>
      <c r="BY477" s="617"/>
      <c r="BZ477" s="620" t="s">
        <v>62</v>
      </c>
      <c r="CA477" s="620" t="s">
        <v>62</v>
      </c>
      <c r="CB477" s="620" t="s">
        <v>62</v>
      </c>
    </row>
    <row r="478" spans="1:80" s="459" customFormat="1" ht="15.75" x14ac:dyDescent="0.2">
      <c r="A478" s="44">
        <v>3</v>
      </c>
      <c r="B478" s="45" t="s">
        <v>259</v>
      </c>
      <c r="C478" s="46"/>
      <c r="D478" s="45"/>
      <c r="E478" s="45"/>
      <c r="F478" s="45"/>
      <c r="G478" s="45"/>
      <c r="H478" s="46"/>
      <c r="I478" s="45"/>
      <c r="J478" s="45"/>
      <c r="K478" s="273"/>
      <c r="L478" s="273"/>
      <c r="M478" s="273"/>
      <c r="N478" s="45"/>
      <c r="O478" s="46"/>
      <c r="P478" s="45"/>
      <c r="Q478" s="45"/>
      <c r="R478" s="572"/>
      <c r="S478" s="572"/>
      <c r="T478" s="572"/>
      <c r="U478" s="572"/>
      <c r="V478" s="572"/>
      <c r="W478" s="572"/>
      <c r="X478" s="572"/>
      <c r="Y478" s="572"/>
      <c r="Z478" s="572"/>
      <c r="AA478" s="572"/>
      <c r="AB478" s="572"/>
      <c r="AC478" s="572"/>
      <c r="AD478" s="572"/>
      <c r="AE478" s="572"/>
      <c r="AF478" s="572"/>
      <c r="AG478" s="572"/>
      <c r="AH478" s="572"/>
      <c r="AI478" s="572"/>
      <c r="AJ478" s="572"/>
      <c r="AK478" s="572"/>
      <c r="AL478" s="572"/>
      <c r="AM478" s="572"/>
      <c r="AN478" s="572"/>
      <c r="AO478" s="572"/>
      <c r="AP478" s="572"/>
      <c r="AQ478" s="572"/>
      <c r="AR478" s="572"/>
      <c r="AS478" s="572"/>
      <c r="AT478" s="572"/>
      <c r="AU478" s="572"/>
      <c r="AV478" s="572"/>
      <c r="AW478" s="572"/>
      <c r="AX478" s="572"/>
      <c r="AY478" s="572"/>
      <c r="AZ478" s="572"/>
      <c r="BA478" s="572"/>
      <c r="BB478" s="572"/>
      <c r="BC478" s="572"/>
      <c r="BD478" s="572"/>
      <c r="BE478" s="572"/>
      <c r="BF478" s="572"/>
      <c r="BG478" s="572"/>
      <c r="BH478" s="572"/>
      <c r="BI478" s="572"/>
      <c r="BJ478" s="572"/>
      <c r="BK478" s="573"/>
      <c r="BL478" s="573"/>
      <c r="BM478" s="573"/>
      <c r="BN478" s="572"/>
      <c r="BO478" s="572"/>
      <c r="BP478" s="572"/>
      <c r="BQ478" s="572"/>
      <c r="BR478" s="572"/>
      <c r="BS478" s="572"/>
      <c r="BT478" s="572"/>
      <c r="BU478" s="572"/>
      <c r="BV478" s="572"/>
      <c r="BW478" s="572"/>
      <c r="BX478" s="572"/>
      <c r="BY478" s="572"/>
      <c r="BZ478" s="574"/>
      <c r="CA478" s="574"/>
      <c r="CB478" s="574"/>
    </row>
    <row r="479" spans="1:80" s="459" customFormat="1" ht="15.75" x14ac:dyDescent="0.2">
      <c r="A479" s="96"/>
      <c r="B479" s="152">
        <v>16</v>
      </c>
      <c r="C479" s="49" t="s">
        <v>561</v>
      </c>
      <c r="D479" s="50"/>
      <c r="E479" s="50"/>
      <c r="F479" s="50"/>
      <c r="G479" s="50"/>
      <c r="H479" s="51"/>
      <c r="I479" s="50"/>
      <c r="J479" s="50"/>
      <c r="K479" s="252"/>
      <c r="L479" s="252"/>
      <c r="M479" s="252"/>
      <c r="N479" s="50"/>
      <c r="O479" s="51"/>
      <c r="P479" s="50"/>
      <c r="Q479" s="50"/>
      <c r="R479" s="550"/>
      <c r="S479" s="550"/>
      <c r="T479" s="550"/>
      <c r="U479" s="550"/>
      <c r="V479" s="550"/>
      <c r="W479" s="550"/>
      <c r="X479" s="550"/>
      <c r="Y479" s="550"/>
      <c r="Z479" s="550"/>
      <c r="AA479" s="550"/>
      <c r="AB479" s="550"/>
      <c r="AC479" s="550"/>
      <c r="AD479" s="550"/>
      <c r="AE479" s="550"/>
      <c r="AF479" s="550"/>
      <c r="AG479" s="550"/>
      <c r="AH479" s="550"/>
      <c r="AI479" s="550"/>
      <c r="AJ479" s="550"/>
      <c r="AK479" s="550"/>
      <c r="AL479" s="550"/>
      <c r="AM479" s="550"/>
      <c r="AN479" s="550"/>
      <c r="AO479" s="550"/>
      <c r="AP479" s="550"/>
      <c r="AQ479" s="550"/>
      <c r="AR479" s="550"/>
      <c r="AS479" s="550"/>
      <c r="AT479" s="550"/>
      <c r="AU479" s="550"/>
      <c r="AV479" s="550"/>
      <c r="AW479" s="550"/>
      <c r="AX479" s="550"/>
      <c r="AY479" s="550"/>
      <c r="AZ479" s="550"/>
      <c r="BA479" s="550"/>
      <c r="BB479" s="550"/>
      <c r="BC479" s="550"/>
      <c r="BD479" s="550"/>
      <c r="BE479" s="550"/>
      <c r="BF479" s="550"/>
      <c r="BG479" s="550"/>
      <c r="BH479" s="550"/>
      <c r="BI479" s="550"/>
      <c r="BJ479" s="550"/>
      <c r="BK479" s="551"/>
      <c r="BL479" s="551"/>
      <c r="BM479" s="551"/>
      <c r="BN479" s="550"/>
      <c r="BO479" s="550"/>
      <c r="BP479" s="550"/>
      <c r="BQ479" s="550"/>
      <c r="BR479" s="550"/>
      <c r="BS479" s="550"/>
      <c r="BT479" s="550"/>
      <c r="BU479" s="550"/>
      <c r="BV479" s="550"/>
      <c r="BW479" s="550"/>
      <c r="BX479" s="550"/>
      <c r="BY479" s="550"/>
      <c r="BZ479" s="555"/>
      <c r="CA479" s="555"/>
      <c r="CB479" s="555"/>
    </row>
    <row r="480" spans="1:80" s="459" customFormat="1" ht="15.75" x14ac:dyDescent="0.2">
      <c r="A480" s="54"/>
      <c r="B480" s="96"/>
      <c r="C480" s="508"/>
      <c r="D480" s="516"/>
      <c r="E480" s="508"/>
      <c r="F480" s="508"/>
      <c r="G480" s="274">
        <v>56</v>
      </c>
      <c r="H480" s="100" t="s">
        <v>571</v>
      </c>
      <c r="I480" s="100"/>
      <c r="J480" s="100"/>
      <c r="K480" s="186"/>
      <c r="L480" s="186"/>
      <c r="M480" s="186"/>
      <c r="N480" s="100"/>
      <c r="O480" s="212"/>
      <c r="P480" s="100"/>
      <c r="Q480" s="100"/>
      <c r="R480" s="336"/>
      <c r="S480" s="336"/>
      <c r="T480" s="336"/>
      <c r="U480" s="336"/>
      <c r="V480" s="336"/>
      <c r="W480" s="336"/>
      <c r="X480" s="336"/>
      <c r="Y480" s="336"/>
      <c r="Z480" s="336"/>
      <c r="AA480" s="336"/>
      <c r="AB480" s="336"/>
      <c r="AC480" s="336"/>
      <c r="AD480" s="336"/>
      <c r="AE480" s="336"/>
      <c r="AF480" s="336"/>
      <c r="AG480" s="336"/>
      <c r="AH480" s="336"/>
      <c r="AI480" s="336"/>
      <c r="AJ480" s="336"/>
      <c r="AK480" s="336"/>
      <c r="AL480" s="336"/>
      <c r="AM480" s="336"/>
      <c r="AN480" s="336"/>
      <c r="AO480" s="336"/>
      <c r="AP480" s="336"/>
      <c r="AQ480" s="336"/>
      <c r="AR480" s="336"/>
      <c r="AS480" s="336"/>
      <c r="AT480" s="336"/>
      <c r="AU480" s="336"/>
      <c r="AV480" s="336"/>
      <c r="AW480" s="336"/>
      <c r="AX480" s="336"/>
      <c r="AY480" s="336"/>
      <c r="AZ480" s="336"/>
      <c r="BA480" s="336"/>
      <c r="BB480" s="336"/>
      <c r="BC480" s="336"/>
      <c r="BD480" s="336"/>
      <c r="BE480" s="336"/>
      <c r="BF480" s="336"/>
      <c r="BG480" s="336"/>
      <c r="BH480" s="336"/>
      <c r="BI480" s="336"/>
      <c r="BJ480" s="336"/>
      <c r="BK480" s="552"/>
      <c r="BL480" s="552"/>
      <c r="BM480" s="552"/>
      <c r="BN480" s="336"/>
      <c r="BO480" s="336"/>
      <c r="BP480" s="336"/>
      <c r="BQ480" s="336"/>
      <c r="BR480" s="336"/>
      <c r="BS480" s="336"/>
      <c r="BT480" s="336"/>
      <c r="BU480" s="336"/>
      <c r="BV480" s="336"/>
      <c r="BW480" s="336"/>
      <c r="BX480" s="336"/>
      <c r="BY480" s="336"/>
      <c r="BZ480" s="338"/>
      <c r="CA480" s="338"/>
      <c r="CB480" s="338"/>
    </row>
    <row r="481" spans="1:80" s="11" customFormat="1" ht="105.75" customHeight="1" x14ac:dyDescent="0.2">
      <c r="A481" s="54"/>
      <c r="B481" s="54"/>
      <c r="C481" s="920" t="s">
        <v>563</v>
      </c>
      <c r="D481" s="921" t="s">
        <v>564</v>
      </c>
      <c r="E481" s="883" t="s">
        <v>565</v>
      </c>
      <c r="F481" s="883" t="s">
        <v>566</v>
      </c>
      <c r="G481" s="58"/>
      <c r="H481" s="57">
        <v>180</v>
      </c>
      <c r="I481" s="56" t="s">
        <v>572</v>
      </c>
      <c r="J481" s="57">
        <v>0</v>
      </c>
      <c r="K481" s="207">
        <v>1</v>
      </c>
      <c r="L481" s="489">
        <v>0.1</v>
      </c>
      <c r="M481" s="850">
        <v>201700360031</v>
      </c>
      <c r="N481" s="853" t="s">
        <v>573</v>
      </c>
      <c r="O481" s="856" t="s">
        <v>574</v>
      </c>
      <c r="P481" s="853" t="s">
        <v>575</v>
      </c>
      <c r="Q481" s="57" t="s">
        <v>51</v>
      </c>
      <c r="R481" s="539">
        <v>0</v>
      </c>
      <c r="S481" s="539"/>
      <c r="T481" s="539"/>
      <c r="U481" s="539">
        <v>0</v>
      </c>
      <c r="V481" s="539"/>
      <c r="W481" s="539"/>
      <c r="X481" s="539">
        <v>0</v>
      </c>
      <c r="Y481" s="539"/>
      <c r="Z481" s="539"/>
      <c r="AA481" s="539">
        <v>0</v>
      </c>
      <c r="AB481" s="539"/>
      <c r="AC481" s="539"/>
      <c r="AD481" s="539">
        <v>0</v>
      </c>
      <c r="AE481" s="539"/>
      <c r="AF481" s="539"/>
      <c r="AG481" s="539">
        <v>0</v>
      </c>
      <c r="AH481" s="539"/>
      <c r="AI481" s="539"/>
      <c r="AJ481" s="539">
        <v>0</v>
      </c>
      <c r="AK481" s="539"/>
      <c r="AL481" s="539"/>
      <c r="AM481" s="539"/>
      <c r="AN481" s="539"/>
      <c r="AO481" s="539"/>
      <c r="AP481" s="539"/>
      <c r="AQ481" s="539"/>
      <c r="AR481" s="539"/>
      <c r="AS481" s="539">
        <v>0</v>
      </c>
      <c r="AT481" s="539"/>
      <c r="AU481" s="539"/>
      <c r="AV481" s="539">
        <v>0</v>
      </c>
      <c r="AW481" s="539"/>
      <c r="AX481" s="539"/>
      <c r="AY481" s="539"/>
      <c r="AZ481" s="539"/>
      <c r="BA481" s="539"/>
      <c r="BB481" s="539"/>
      <c r="BC481" s="539"/>
      <c r="BD481" s="539"/>
      <c r="BE481" s="539">
        <v>0</v>
      </c>
      <c r="BF481" s="539"/>
      <c r="BG481" s="539"/>
      <c r="BH481" s="539">
        <v>0</v>
      </c>
      <c r="BI481" s="541"/>
      <c r="BJ481" s="541"/>
      <c r="BK481" s="542">
        <f>34000000+11000000</f>
        <v>45000000</v>
      </c>
      <c r="BL481" s="542">
        <v>8000000</v>
      </c>
      <c r="BM481" s="542">
        <v>2640000</v>
      </c>
      <c r="BN481" s="542"/>
      <c r="BO481" s="542"/>
      <c r="BP481" s="542"/>
      <c r="BQ481" s="539">
        <v>0</v>
      </c>
      <c r="BR481" s="541"/>
      <c r="BS481" s="541"/>
      <c r="BT481" s="541"/>
      <c r="BU481" s="541"/>
      <c r="BV481" s="541"/>
      <c r="BW481" s="541"/>
      <c r="BX481" s="541"/>
      <c r="BY481" s="541"/>
      <c r="BZ481" s="539">
        <f t="shared" ref="BZ481:BZ482" si="428">R481+U481+X481+AA481+AD481+AG481+AJ481+AM481+AP481+AS481+AV481+AY481+BB481+BE481+BH481+BK481+BN481+BQ481+BT481+BW481</f>
        <v>45000000</v>
      </c>
      <c r="CA481" s="539">
        <f t="shared" ref="CA481:CA482" si="429">S481+V481+Y481+AB481+AE481+AH481+AK481+AN481+AQ481+AT481+AW481+AZ481+BC481+BF481+BI481+BL481+BO481+BR481+BU481+BX481</f>
        <v>8000000</v>
      </c>
      <c r="CB481" s="539">
        <f t="shared" ref="CB481:CB482" si="430">T481+W481+Z481+AC481+AF481+AI481+AL481+AO481+AR481+AU481+AX481+BA481+BD481+BG481+BJ481+BM481+BP481+BS481+BV481+BY481</f>
        <v>2640000</v>
      </c>
    </row>
    <row r="482" spans="1:80" s="11" customFormat="1" ht="74.25" customHeight="1" x14ac:dyDescent="0.2">
      <c r="A482" s="54"/>
      <c r="B482" s="54"/>
      <c r="C482" s="920"/>
      <c r="D482" s="921"/>
      <c r="E482" s="883"/>
      <c r="F482" s="883"/>
      <c r="G482" s="139"/>
      <c r="H482" s="57">
        <v>181</v>
      </c>
      <c r="I482" s="56" t="s">
        <v>576</v>
      </c>
      <c r="J482" s="57">
        <v>6</v>
      </c>
      <c r="K482" s="207">
        <v>6</v>
      </c>
      <c r="L482" s="490">
        <v>0.2</v>
      </c>
      <c r="M482" s="852"/>
      <c r="N482" s="855"/>
      <c r="O482" s="858"/>
      <c r="P482" s="855"/>
      <c r="Q482" s="57" t="s">
        <v>51</v>
      </c>
      <c r="R482" s="539">
        <v>0</v>
      </c>
      <c r="S482" s="539"/>
      <c r="T482" s="539"/>
      <c r="U482" s="539">
        <v>0</v>
      </c>
      <c r="V482" s="539"/>
      <c r="W482" s="539"/>
      <c r="X482" s="539">
        <v>0</v>
      </c>
      <c r="Y482" s="539"/>
      <c r="Z482" s="539"/>
      <c r="AA482" s="539">
        <v>0</v>
      </c>
      <c r="AB482" s="539"/>
      <c r="AC482" s="539"/>
      <c r="AD482" s="539">
        <v>0</v>
      </c>
      <c r="AE482" s="539"/>
      <c r="AF482" s="539"/>
      <c r="AG482" s="539">
        <v>0</v>
      </c>
      <c r="AH482" s="539"/>
      <c r="AI482" s="539"/>
      <c r="AJ482" s="539">
        <v>0</v>
      </c>
      <c r="AK482" s="539"/>
      <c r="AL482" s="539"/>
      <c r="AM482" s="539"/>
      <c r="AN482" s="539"/>
      <c r="AO482" s="539"/>
      <c r="AP482" s="539"/>
      <c r="AQ482" s="539"/>
      <c r="AR482" s="539"/>
      <c r="AS482" s="539">
        <v>0</v>
      </c>
      <c r="AT482" s="539"/>
      <c r="AU482" s="539"/>
      <c r="AV482" s="539">
        <v>0</v>
      </c>
      <c r="AW482" s="539"/>
      <c r="AX482" s="539"/>
      <c r="AY482" s="539"/>
      <c r="AZ482" s="539"/>
      <c r="BA482" s="539"/>
      <c r="BB482" s="539"/>
      <c r="BC482" s="539"/>
      <c r="BD482" s="539"/>
      <c r="BE482" s="539">
        <v>0</v>
      </c>
      <c r="BF482" s="539"/>
      <c r="BG482" s="539"/>
      <c r="BH482" s="539">
        <v>0</v>
      </c>
      <c r="BI482" s="541"/>
      <c r="BJ482" s="541"/>
      <c r="BK482" s="542">
        <f>12500000+2500000</f>
        <v>15000000</v>
      </c>
      <c r="BL482" s="542">
        <v>7840000</v>
      </c>
      <c r="BM482" s="542">
        <v>2640000</v>
      </c>
      <c r="BN482" s="542"/>
      <c r="BO482" s="542"/>
      <c r="BP482" s="542"/>
      <c r="BQ482" s="539">
        <v>0</v>
      </c>
      <c r="BR482" s="541"/>
      <c r="BS482" s="541"/>
      <c r="BT482" s="541"/>
      <c r="BU482" s="541"/>
      <c r="BV482" s="541"/>
      <c r="BW482" s="541"/>
      <c r="BX482" s="541"/>
      <c r="BY482" s="541"/>
      <c r="BZ482" s="539">
        <f t="shared" si="428"/>
        <v>15000000</v>
      </c>
      <c r="CA482" s="539">
        <f t="shared" si="429"/>
        <v>7840000</v>
      </c>
      <c r="CB482" s="539">
        <f t="shared" si="430"/>
        <v>2640000</v>
      </c>
    </row>
    <row r="483" spans="1:80" s="459" customFormat="1" ht="15.75" x14ac:dyDescent="0.2">
      <c r="A483" s="54"/>
      <c r="B483" s="74"/>
      <c r="C483" s="701"/>
      <c r="D483" s="209"/>
      <c r="E483" s="259"/>
      <c r="F483" s="259"/>
      <c r="G483" s="77"/>
      <c r="H483" s="78"/>
      <c r="I483" s="77"/>
      <c r="J483" s="78"/>
      <c r="K483" s="240"/>
      <c r="L483" s="240"/>
      <c r="M483" s="240"/>
      <c r="N483" s="78"/>
      <c r="O483" s="78"/>
      <c r="P483" s="77"/>
      <c r="Q483" s="78"/>
      <c r="R483" s="548">
        <f t="shared" ref="R483:BY483" si="431">SUM(R481:R482)</f>
        <v>0</v>
      </c>
      <c r="S483" s="548">
        <f t="shared" si="431"/>
        <v>0</v>
      </c>
      <c r="T483" s="548">
        <f t="shared" si="431"/>
        <v>0</v>
      </c>
      <c r="U483" s="548">
        <f t="shared" si="431"/>
        <v>0</v>
      </c>
      <c r="V483" s="548">
        <f t="shared" si="431"/>
        <v>0</v>
      </c>
      <c r="W483" s="548">
        <f t="shared" si="431"/>
        <v>0</v>
      </c>
      <c r="X483" s="548">
        <f t="shared" si="431"/>
        <v>0</v>
      </c>
      <c r="Y483" s="548">
        <f t="shared" si="431"/>
        <v>0</v>
      </c>
      <c r="Z483" s="548">
        <f t="shared" si="431"/>
        <v>0</v>
      </c>
      <c r="AA483" s="548">
        <f t="shared" si="431"/>
        <v>0</v>
      </c>
      <c r="AB483" s="548">
        <f t="shared" si="431"/>
        <v>0</v>
      </c>
      <c r="AC483" s="548">
        <f t="shared" si="431"/>
        <v>0</v>
      </c>
      <c r="AD483" s="548">
        <f t="shared" si="431"/>
        <v>0</v>
      </c>
      <c r="AE483" s="548">
        <f t="shared" si="431"/>
        <v>0</v>
      </c>
      <c r="AF483" s="548">
        <f t="shared" si="431"/>
        <v>0</v>
      </c>
      <c r="AG483" s="548">
        <f t="shared" si="431"/>
        <v>0</v>
      </c>
      <c r="AH483" s="548">
        <f t="shared" si="431"/>
        <v>0</v>
      </c>
      <c r="AI483" s="548">
        <f t="shared" si="431"/>
        <v>0</v>
      </c>
      <c r="AJ483" s="548">
        <f t="shared" si="431"/>
        <v>0</v>
      </c>
      <c r="AK483" s="548">
        <f t="shared" si="431"/>
        <v>0</v>
      </c>
      <c r="AL483" s="548">
        <f t="shared" si="431"/>
        <v>0</v>
      </c>
      <c r="AM483" s="548">
        <f t="shared" si="431"/>
        <v>0</v>
      </c>
      <c r="AN483" s="548">
        <f t="shared" si="431"/>
        <v>0</v>
      </c>
      <c r="AO483" s="548">
        <f t="shared" si="431"/>
        <v>0</v>
      </c>
      <c r="AP483" s="548">
        <f t="shared" si="431"/>
        <v>0</v>
      </c>
      <c r="AQ483" s="548">
        <f t="shared" si="431"/>
        <v>0</v>
      </c>
      <c r="AR483" s="548">
        <f t="shared" si="431"/>
        <v>0</v>
      </c>
      <c r="AS483" s="548">
        <f t="shared" si="431"/>
        <v>0</v>
      </c>
      <c r="AT483" s="548">
        <f t="shared" si="431"/>
        <v>0</v>
      </c>
      <c r="AU483" s="548">
        <f t="shared" si="431"/>
        <v>0</v>
      </c>
      <c r="AV483" s="548">
        <f t="shared" si="431"/>
        <v>0</v>
      </c>
      <c r="AW483" s="548">
        <f t="shared" si="431"/>
        <v>0</v>
      </c>
      <c r="AX483" s="548">
        <f t="shared" si="431"/>
        <v>0</v>
      </c>
      <c r="AY483" s="548">
        <f t="shared" si="431"/>
        <v>0</v>
      </c>
      <c r="AZ483" s="548">
        <f t="shared" si="431"/>
        <v>0</v>
      </c>
      <c r="BA483" s="548">
        <f t="shared" si="431"/>
        <v>0</v>
      </c>
      <c r="BB483" s="548">
        <f t="shared" si="431"/>
        <v>0</v>
      </c>
      <c r="BC483" s="548">
        <f t="shared" si="431"/>
        <v>0</v>
      </c>
      <c r="BD483" s="548">
        <f t="shared" si="431"/>
        <v>0</v>
      </c>
      <c r="BE483" s="548">
        <f t="shared" si="431"/>
        <v>0</v>
      </c>
      <c r="BF483" s="548">
        <f t="shared" si="431"/>
        <v>0</v>
      </c>
      <c r="BG483" s="548">
        <f t="shared" si="431"/>
        <v>0</v>
      </c>
      <c r="BH483" s="548">
        <f t="shared" si="431"/>
        <v>0</v>
      </c>
      <c r="BI483" s="548">
        <f t="shared" si="431"/>
        <v>0</v>
      </c>
      <c r="BJ483" s="548">
        <f t="shared" si="431"/>
        <v>0</v>
      </c>
      <c r="BK483" s="548">
        <f t="shared" si="431"/>
        <v>60000000</v>
      </c>
      <c r="BL483" s="548">
        <f t="shared" si="431"/>
        <v>15840000</v>
      </c>
      <c r="BM483" s="548">
        <f t="shared" si="431"/>
        <v>5280000</v>
      </c>
      <c r="BN483" s="548">
        <f t="shared" si="431"/>
        <v>0</v>
      </c>
      <c r="BO483" s="548">
        <f t="shared" si="431"/>
        <v>0</v>
      </c>
      <c r="BP483" s="548">
        <f t="shared" si="431"/>
        <v>0</v>
      </c>
      <c r="BQ483" s="548">
        <f t="shared" si="431"/>
        <v>0</v>
      </c>
      <c r="BR483" s="548">
        <f t="shared" si="431"/>
        <v>0</v>
      </c>
      <c r="BS483" s="548">
        <f t="shared" si="431"/>
        <v>0</v>
      </c>
      <c r="BT483" s="548">
        <f t="shared" si="431"/>
        <v>0</v>
      </c>
      <c r="BU483" s="548">
        <f t="shared" si="431"/>
        <v>0</v>
      </c>
      <c r="BV483" s="548">
        <f t="shared" si="431"/>
        <v>0</v>
      </c>
      <c r="BW483" s="548">
        <f t="shared" si="431"/>
        <v>0</v>
      </c>
      <c r="BX483" s="548">
        <f t="shared" si="431"/>
        <v>0</v>
      </c>
      <c r="BY483" s="548">
        <f t="shared" si="431"/>
        <v>0</v>
      </c>
      <c r="BZ483" s="548">
        <f t="shared" ref="BZ483" si="432">SUM(BZ481:BZ482)</f>
        <v>60000000</v>
      </c>
      <c r="CA483" s="548">
        <f t="shared" ref="CA483:CB483" si="433">SUM(CA481:CA482)</f>
        <v>15840000</v>
      </c>
      <c r="CB483" s="548">
        <f t="shared" si="433"/>
        <v>5280000</v>
      </c>
    </row>
    <row r="484" spans="1:80" s="11" customFormat="1" ht="15.75" x14ac:dyDescent="0.2">
      <c r="A484" s="54"/>
      <c r="B484" s="383"/>
      <c r="C484" s="384"/>
      <c r="D484" s="81"/>
      <c r="E484" s="82"/>
      <c r="F484" s="82"/>
      <c r="G484" s="81"/>
      <c r="H484" s="82"/>
      <c r="I484" s="81"/>
      <c r="J484" s="82"/>
      <c r="K484" s="261"/>
      <c r="L484" s="261"/>
      <c r="M484" s="261"/>
      <c r="N484" s="82"/>
      <c r="O484" s="82"/>
      <c r="P484" s="81"/>
      <c r="Q484" s="82"/>
      <c r="R484" s="554">
        <f t="shared" ref="R484:BY484" si="434">R483</f>
        <v>0</v>
      </c>
      <c r="S484" s="554">
        <f t="shared" si="434"/>
        <v>0</v>
      </c>
      <c r="T484" s="554">
        <f t="shared" si="434"/>
        <v>0</v>
      </c>
      <c r="U484" s="554">
        <f t="shared" si="434"/>
        <v>0</v>
      </c>
      <c r="V484" s="554">
        <f t="shared" si="434"/>
        <v>0</v>
      </c>
      <c r="W484" s="554">
        <f t="shared" si="434"/>
        <v>0</v>
      </c>
      <c r="X484" s="554">
        <f t="shared" si="434"/>
        <v>0</v>
      </c>
      <c r="Y484" s="554">
        <f t="shared" si="434"/>
        <v>0</v>
      </c>
      <c r="Z484" s="554">
        <f t="shared" si="434"/>
        <v>0</v>
      </c>
      <c r="AA484" s="554">
        <f t="shared" si="434"/>
        <v>0</v>
      </c>
      <c r="AB484" s="554">
        <f t="shared" si="434"/>
        <v>0</v>
      </c>
      <c r="AC484" s="554">
        <f t="shared" si="434"/>
        <v>0</v>
      </c>
      <c r="AD484" s="554">
        <f t="shared" si="434"/>
        <v>0</v>
      </c>
      <c r="AE484" s="554">
        <f t="shared" si="434"/>
        <v>0</v>
      </c>
      <c r="AF484" s="554">
        <f t="shared" si="434"/>
        <v>0</v>
      </c>
      <c r="AG484" s="554">
        <f t="shared" si="434"/>
        <v>0</v>
      </c>
      <c r="AH484" s="554">
        <f t="shared" si="434"/>
        <v>0</v>
      </c>
      <c r="AI484" s="554">
        <f t="shared" si="434"/>
        <v>0</v>
      </c>
      <c r="AJ484" s="554">
        <f t="shared" si="434"/>
        <v>0</v>
      </c>
      <c r="AK484" s="554">
        <f t="shared" si="434"/>
        <v>0</v>
      </c>
      <c r="AL484" s="554">
        <f t="shared" si="434"/>
        <v>0</v>
      </c>
      <c r="AM484" s="554">
        <f t="shared" si="434"/>
        <v>0</v>
      </c>
      <c r="AN484" s="554">
        <f t="shared" si="434"/>
        <v>0</v>
      </c>
      <c r="AO484" s="554">
        <f t="shared" si="434"/>
        <v>0</v>
      </c>
      <c r="AP484" s="554">
        <f t="shared" si="434"/>
        <v>0</v>
      </c>
      <c r="AQ484" s="554">
        <f t="shared" si="434"/>
        <v>0</v>
      </c>
      <c r="AR484" s="554">
        <f t="shared" si="434"/>
        <v>0</v>
      </c>
      <c r="AS484" s="554">
        <f t="shared" si="434"/>
        <v>0</v>
      </c>
      <c r="AT484" s="554">
        <f t="shared" si="434"/>
        <v>0</v>
      </c>
      <c r="AU484" s="554">
        <f t="shared" si="434"/>
        <v>0</v>
      </c>
      <c r="AV484" s="554">
        <f t="shared" si="434"/>
        <v>0</v>
      </c>
      <c r="AW484" s="554">
        <f t="shared" si="434"/>
        <v>0</v>
      </c>
      <c r="AX484" s="554">
        <f t="shared" si="434"/>
        <v>0</v>
      </c>
      <c r="AY484" s="554">
        <f t="shared" si="434"/>
        <v>0</v>
      </c>
      <c r="AZ484" s="554">
        <f t="shared" si="434"/>
        <v>0</v>
      </c>
      <c r="BA484" s="554">
        <f t="shared" si="434"/>
        <v>0</v>
      </c>
      <c r="BB484" s="554">
        <f t="shared" si="434"/>
        <v>0</v>
      </c>
      <c r="BC484" s="554">
        <f t="shared" si="434"/>
        <v>0</v>
      </c>
      <c r="BD484" s="554">
        <f t="shared" si="434"/>
        <v>0</v>
      </c>
      <c r="BE484" s="554">
        <f t="shared" si="434"/>
        <v>0</v>
      </c>
      <c r="BF484" s="554">
        <f t="shared" si="434"/>
        <v>0</v>
      </c>
      <c r="BG484" s="554">
        <f t="shared" si="434"/>
        <v>0</v>
      </c>
      <c r="BH484" s="554">
        <f t="shared" si="434"/>
        <v>0</v>
      </c>
      <c r="BI484" s="554">
        <f t="shared" si="434"/>
        <v>0</v>
      </c>
      <c r="BJ484" s="554">
        <f t="shared" si="434"/>
        <v>0</v>
      </c>
      <c r="BK484" s="554">
        <f t="shared" si="434"/>
        <v>60000000</v>
      </c>
      <c r="BL484" s="554">
        <f t="shared" si="434"/>
        <v>15840000</v>
      </c>
      <c r="BM484" s="554">
        <f t="shared" si="434"/>
        <v>5280000</v>
      </c>
      <c r="BN484" s="554">
        <f t="shared" si="434"/>
        <v>0</v>
      </c>
      <c r="BO484" s="554">
        <f t="shared" si="434"/>
        <v>0</v>
      </c>
      <c r="BP484" s="554">
        <f t="shared" si="434"/>
        <v>0</v>
      </c>
      <c r="BQ484" s="554">
        <f t="shared" si="434"/>
        <v>0</v>
      </c>
      <c r="BR484" s="554">
        <f t="shared" si="434"/>
        <v>0</v>
      </c>
      <c r="BS484" s="554">
        <f t="shared" si="434"/>
        <v>0</v>
      </c>
      <c r="BT484" s="554">
        <f t="shared" si="434"/>
        <v>0</v>
      </c>
      <c r="BU484" s="554">
        <f t="shared" si="434"/>
        <v>0</v>
      </c>
      <c r="BV484" s="554">
        <f t="shared" si="434"/>
        <v>0</v>
      </c>
      <c r="BW484" s="554">
        <f t="shared" si="434"/>
        <v>0</v>
      </c>
      <c r="BX484" s="554">
        <f t="shared" si="434"/>
        <v>0</v>
      </c>
      <c r="BY484" s="554">
        <f t="shared" si="434"/>
        <v>0</v>
      </c>
      <c r="BZ484" s="554">
        <f t="shared" ref="BZ484" si="435">BZ483</f>
        <v>60000000</v>
      </c>
      <c r="CA484" s="554">
        <f t="shared" ref="CA484:CB484" si="436">CA483</f>
        <v>15840000</v>
      </c>
      <c r="CB484" s="554">
        <f t="shared" si="436"/>
        <v>5280000</v>
      </c>
    </row>
    <row r="485" spans="1:80" s="11" customFormat="1" ht="15.75" x14ac:dyDescent="0.2">
      <c r="A485" s="54"/>
      <c r="B485" s="390"/>
      <c r="C485" s="391"/>
      <c r="D485" s="91"/>
      <c r="E485" s="92"/>
      <c r="F485" s="92"/>
      <c r="G485" s="91"/>
      <c r="H485" s="92"/>
      <c r="I485" s="91"/>
      <c r="J485" s="92"/>
      <c r="K485" s="245"/>
      <c r="L485" s="245"/>
      <c r="M485" s="245"/>
      <c r="N485" s="92"/>
      <c r="O485" s="500"/>
      <c r="P485" s="91"/>
      <c r="Q485" s="92"/>
      <c r="R485" s="543"/>
      <c r="S485" s="543"/>
      <c r="T485" s="543"/>
      <c r="U485" s="543"/>
      <c r="V485" s="543"/>
      <c r="W485" s="543"/>
      <c r="X485" s="543"/>
      <c r="Y485" s="543"/>
      <c r="Z485" s="543"/>
      <c r="AA485" s="543"/>
      <c r="AB485" s="543"/>
      <c r="AC485" s="543"/>
      <c r="AD485" s="543"/>
      <c r="AE485" s="543"/>
      <c r="AF485" s="543"/>
      <c r="AG485" s="543"/>
      <c r="AH485" s="543"/>
      <c r="AI485" s="543"/>
      <c r="AJ485" s="543"/>
      <c r="AK485" s="543"/>
      <c r="AL485" s="543"/>
      <c r="AM485" s="543"/>
      <c r="AN485" s="543"/>
      <c r="AO485" s="543"/>
      <c r="AP485" s="543"/>
      <c r="AQ485" s="543"/>
      <c r="AR485" s="543"/>
      <c r="AS485" s="543"/>
      <c r="AT485" s="543"/>
      <c r="AU485" s="543"/>
      <c r="AV485" s="543"/>
      <c r="AW485" s="543"/>
      <c r="AX485" s="543"/>
      <c r="AY485" s="544"/>
      <c r="AZ485" s="544"/>
      <c r="BA485" s="544"/>
      <c r="BB485" s="544"/>
      <c r="BC485" s="544"/>
      <c r="BD485" s="544"/>
      <c r="BE485" s="543"/>
      <c r="BF485" s="543"/>
      <c r="BG485" s="543"/>
      <c r="BH485" s="543"/>
      <c r="BI485" s="543"/>
      <c r="BJ485" s="543"/>
      <c r="BK485" s="545" t="s">
        <v>62</v>
      </c>
      <c r="BL485" s="545"/>
      <c r="BM485" s="545"/>
      <c r="BN485" s="546"/>
      <c r="BO485" s="546"/>
      <c r="BP485" s="546"/>
      <c r="BQ485" s="543"/>
      <c r="BR485" s="543"/>
      <c r="BS485" s="543"/>
      <c r="BT485" s="543"/>
      <c r="BU485" s="543"/>
      <c r="BV485" s="543"/>
      <c r="BW485" s="543"/>
      <c r="BX485" s="543"/>
      <c r="BY485" s="543"/>
      <c r="BZ485" s="547"/>
      <c r="CA485" s="547"/>
      <c r="CB485" s="547"/>
    </row>
    <row r="486" spans="1:80" s="11" customFormat="1" ht="15.75" x14ac:dyDescent="0.2">
      <c r="A486" s="54"/>
      <c r="B486" s="152">
        <v>17</v>
      </c>
      <c r="C486" s="51" t="s">
        <v>577</v>
      </c>
      <c r="D486" s="50"/>
      <c r="E486" s="50"/>
      <c r="F486" s="50"/>
      <c r="G486" s="50"/>
      <c r="H486" s="51"/>
      <c r="I486" s="50"/>
      <c r="J486" s="50"/>
      <c r="K486" s="252"/>
      <c r="L486" s="252"/>
      <c r="M486" s="252"/>
      <c r="N486" s="50"/>
      <c r="O486" s="51"/>
      <c r="P486" s="50"/>
      <c r="Q486" s="50"/>
      <c r="R486" s="550"/>
      <c r="S486" s="550"/>
      <c r="T486" s="550"/>
      <c r="U486" s="550"/>
      <c r="V486" s="550"/>
      <c r="W486" s="550"/>
      <c r="X486" s="550"/>
      <c r="Y486" s="550"/>
      <c r="Z486" s="550"/>
      <c r="AA486" s="550"/>
      <c r="AB486" s="550"/>
      <c r="AC486" s="550"/>
      <c r="AD486" s="550"/>
      <c r="AE486" s="550"/>
      <c r="AF486" s="550"/>
      <c r="AG486" s="550"/>
      <c r="AH486" s="550"/>
      <c r="AI486" s="550"/>
      <c r="AJ486" s="550"/>
      <c r="AK486" s="550"/>
      <c r="AL486" s="550"/>
      <c r="AM486" s="550"/>
      <c r="AN486" s="550"/>
      <c r="AO486" s="550"/>
      <c r="AP486" s="550"/>
      <c r="AQ486" s="550"/>
      <c r="AR486" s="550"/>
      <c r="AS486" s="550"/>
      <c r="AT486" s="550"/>
      <c r="AU486" s="550"/>
      <c r="AV486" s="550"/>
      <c r="AW486" s="550"/>
      <c r="AX486" s="550"/>
      <c r="AY486" s="550"/>
      <c r="AZ486" s="550"/>
      <c r="BA486" s="550"/>
      <c r="BB486" s="550"/>
      <c r="BC486" s="550"/>
      <c r="BD486" s="550"/>
      <c r="BE486" s="550"/>
      <c r="BF486" s="550"/>
      <c r="BG486" s="550"/>
      <c r="BH486" s="550"/>
      <c r="BI486" s="550"/>
      <c r="BJ486" s="550"/>
      <c r="BK486" s="551"/>
      <c r="BL486" s="551"/>
      <c r="BM486" s="551"/>
      <c r="BN486" s="550"/>
      <c r="BO486" s="550"/>
      <c r="BP486" s="550"/>
      <c r="BQ486" s="550"/>
      <c r="BR486" s="550"/>
      <c r="BS486" s="550"/>
      <c r="BT486" s="550"/>
      <c r="BU486" s="550"/>
      <c r="BV486" s="550"/>
      <c r="BW486" s="550"/>
      <c r="BX486" s="550"/>
      <c r="BY486" s="550"/>
      <c r="BZ486" s="555"/>
      <c r="CA486" s="555"/>
      <c r="CB486" s="555"/>
    </row>
    <row r="487" spans="1:80" s="459" customFormat="1" ht="15.75" x14ac:dyDescent="0.2">
      <c r="A487" s="54"/>
      <c r="B487" s="392"/>
      <c r="C487" s="702"/>
      <c r="D487" s="229"/>
      <c r="E487" s="230"/>
      <c r="F487" s="230"/>
      <c r="G487" s="274">
        <v>58</v>
      </c>
      <c r="H487" s="100" t="s">
        <v>578</v>
      </c>
      <c r="I487" s="100"/>
      <c r="J487" s="100"/>
      <c r="K487" s="186"/>
      <c r="L487" s="186"/>
      <c r="M487" s="186"/>
      <c r="N487" s="100"/>
      <c r="O487" s="212"/>
      <c r="P487" s="100"/>
      <c r="Q487" s="100"/>
      <c r="R487" s="336"/>
      <c r="S487" s="336"/>
      <c r="T487" s="336"/>
      <c r="U487" s="336"/>
      <c r="V487" s="336"/>
      <c r="W487" s="336"/>
      <c r="X487" s="336"/>
      <c r="Y487" s="336"/>
      <c r="Z487" s="336"/>
      <c r="AA487" s="336"/>
      <c r="AB487" s="336"/>
      <c r="AC487" s="336"/>
      <c r="AD487" s="336"/>
      <c r="AE487" s="336"/>
      <c r="AF487" s="336"/>
      <c r="AG487" s="336"/>
      <c r="AH487" s="336"/>
      <c r="AI487" s="336"/>
      <c r="AJ487" s="336"/>
      <c r="AK487" s="336"/>
      <c r="AL487" s="336"/>
      <c r="AM487" s="336"/>
      <c r="AN487" s="336"/>
      <c r="AO487" s="336"/>
      <c r="AP487" s="336"/>
      <c r="AQ487" s="336"/>
      <c r="AR487" s="336"/>
      <c r="AS487" s="336"/>
      <c r="AT487" s="336"/>
      <c r="AU487" s="336"/>
      <c r="AV487" s="336"/>
      <c r="AW487" s="336"/>
      <c r="AX487" s="336"/>
      <c r="AY487" s="336"/>
      <c r="AZ487" s="336"/>
      <c r="BA487" s="336"/>
      <c r="BB487" s="336"/>
      <c r="BC487" s="336"/>
      <c r="BD487" s="336"/>
      <c r="BE487" s="336"/>
      <c r="BF487" s="336"/>
      <c r="BG487" s="336"/>
      <c r="BH487" s="336"/>
      <c r="BI487" s="336"/>
      <c r="BJ487" s="336"/>
      <c r="BK487" s="552"/>
      <c r="BL487" s="552"/>
      <c r="BM487" s="552"/>
      <c r="BN487" s="336"/>
      <c r="BO487" s="336"/>
      <c r="BP487" s="336"/>
      <c r="BQ487" s="336"/>
      <c r="BR487" s="336"/>
      <c r="BS487" s="336"/>
      <c r="BT487" s="336"/>
      <c r="BU487" s="336"/>
      <c r="BV487" s="336"/>
      <c r="BW487" s="336"/>
      <c r="BX487" s="336"/>
      <c r="BY487" s="336"/>
      <c r="BZ487" s="338"/>
      <c r="CA487" s="338"/>
      <c r="CB487" s="338"/>
    </row>
    <row r="488" spans="1:80" s="11" customFormat="1" ht="75" x14ac:dyDescent="0.2">
      <c r="A488" s="54"/>
      <c r="B488" s="393"/>
      <c r="C488" s="509">
        <v>22</v>
      </c>
      <c r="D488" s="517" t="s">
        <v>579</v>
      </c>
      <c r="E488" s="509" t="s">
        <v>580</v>
      </c>
      <c r="F488" s="509" t="s">
        <v>581</v>
      </c>
      <c r="G488" s="58"/>
      <c r="H488" s="57">
        <v>183</v>
      </c>
      <c r="I488" s="56" t="s">
        <v>582</v>
      </c>
      <c r="J488" s="65">
        <v>0</v>
      </c>
      <c r="K488" s="237">
        <v>1</v>
      </c>
      <c r="L488" s="491">
        <v>0.1</v>
      </c>
      <c r="M488" s="61">
        <v>201700360055</v>
      </c>
      <c r="N488" s="233" t="s">
        <v>573</v>
      </c>
      <c r="O488" s="498" t="s">
        <v>583</v>
      </c>
      <c r="P488" s="56" t="s">
        <v>584</v>
      </c>
      <c r="Q488" s="57" t="s">
        <v>51</v>
      </c>
      <c r="R488" s="539"/>
      <c r="S488" s="539"/>
      <c r="T488" s="539"/>
      <c r="U488" s="539"/>
      <c r="V488" s="539"/>
      <c r="W488" s="539"/>
      <c r="X488" s="539"/>
      <c r="Y488" s="539"/>
      <c r="Z488" s="539"/>
      <c r="AA488" s="539"/>
      <c r="AB488" s="539"/>
      <c r="AC488" s="539"/>
      <c r="AD488" s="539"/>
      <c r="AE488" s="539"/>
      <c r="AF488" s="539"/>
      <c r="AG488" s="539"/>
      <c r="AH488" s="539"/>
      <c r="AI488" s="539"/>
      <c r="AJ488" s="539"/>
      <c r="AK488" s="539"/>
      <c r="AL488" s="539"/>
      <c r="AM488" s="539"/>
      <c r="AN488" s="539"/>
      <c r="AO488" s="539"/>
      <c r="AP488" s="539"/>
      <c r="AQ488" s="539"/>
      <c r="AR488" s="539"/>
      <c r="AS488" s="539"/>
      <c r="AT488" s="539"/>
      <c r="AU488" s="539"/>
      <c r="AV488" s="539"/>
      <c r="AW488" s="539"/>
      <c r="AX488" s="539"/>
      <c r="AY488" s="539"/>
      <c r="AZ488" s="539"/>
      <c r="BA488" s="539"/>
      <c r="BB488" s="539"/>
      <c r="BC488" s="539"/>
      <c r="BD488" s="539"/>
      <c r="BE488" s="539"/>
      <c r="BF488" s="539"/>
      <c r="BG488" s="539"/>
      <c r="BH488" s="539"/>
      <c r="BI488" s="539"/>
      <c r="BJ488" s="539"/>
      <c r="BK488" s="540">
        <f>129000000+51000000</f>
        <v>180000000</v>
      </c>
      <c r="BL488" s="540">
        <v>46260000</v>
      </c>
      <c r="BM488" s="540">
        <v>15420000</v>
      </c>
      <c r="BN488" s="540"/>
      <c r="BO488" s="540"/>
      <c r="BP488" s="540"/>
      <c r="BQ488" s="539"/>
      <c r="BR488" s="541"/>
      <c r="BS488" s="541"/>
      <c r="BT488" s="541"/>
      <c r="BU488" s="541"/>
      <c r="BV488" s="541"/>
      <c r="BW488" s="541"/>
      <c r="BX488" s="541"/>
      <c r="BY488" s="541"/>
      <c r="BZ488" s="539">
        <f>R488+U488+X488+AA488+AD488+AG488+AJ488+AM488+AP488+AS488+AV488+AY488+BB488+BE488+BH488+BK488+BN488+BQ488+BT488+BW488</f>
        <v>180000000</v>
      </c>
      <c r="CA488" s="539">
        <f t="shared" ref="CA488" si="437">S488+V488+Y488+AB488+AE488+AH488+AK488+AN488+AQ488+AT488+AW488+AZ488+BC488+BF488+BI488+BL488+BO488+BR488+BU488+BX488</f>
        <v>46260000</v>
      </c>
      <c r="CB488" s="539">
        <f t="shared" ref="CB488" si="438">T488+W488+Z488+AC488+AF488+AI488+AL488+AO488+AR488+AU488+AX488+BA488+BD488+BG488+BJ488+BM488+BP488+BS488+BV488+BY488</f>
        <v>15420000</v>
      </c>
    </row>
    <row r="489" spans="1:80" s="459" customFormat="1" ht="15.75" x14ac:dyDescent="0.2">
      <c r="A489" s="54"/>
      <c r="B489" s="394"/>
      <c r="C489" s="703"/>
      <c r="D489" s="209"/>
      <c r="E489" s="259"/>
      <c r="F489" s="259"/>
      <c r="G489" s="77"/>
      <c r="H489" s="78"/>
      <c r="I489" s="77"/>
      <c r="J489" s="239"/>
      <c r="K489" s="246"/>
      <c r="L489" s="246"/>
      <c r="M489" s="246"/>
      <c r="N489" s="239"/>
      <c r="O489" s="78"/>
      <c r="P489" s="77"/>
      <c r="Q489" s="78"/>
      <c r="R489" s="548">
        <f t="shared" ref="R489:BZ489" si="439">SUM(R488:R488)</f>
        <v>0</v>
      </c>
      <c r="S489" s="548">
        <f t="shared" si="439"/>
        <v>0</v>
      </c>
      <c r="T489" s="548">
        <f t="shared" si="439"/>
        <v>0</v>
      </c>
      <c r="U489" s="548">
        <f t="shared" si="439"/>
        <v>0</v>
      </c>
      <c r="V489" s="548">
        <f t="shared" si="439"/>
        <v>0</v>
      </c>
      <c r="W489" s="548">
        <f t="shared" si="439"/>
        <v>0</v>
      </c>
      <c r="X489" s="548">
        <f t="shared" si="439"/>
        <v>0</v>
      </c>
      <c r="Y489" s="548">
        <f t="shared" si="439"/>
        <v>0</v>
      </c>
      <c r="Z489" s="548">
        <f t="shared" si="439"/>
        <v>0</v>
      </c>
      <c r="AA489" s="548">
        <f t="shared" si="439"/>
        <v>0</v>
      </c>
      <c r="AB489" s="548">
        <f t="shared" si="439"/>
        <v>0</v>
      </c>
      <c r="AC489" s="548">
        <f t="shared" si="439"/>
        <v>0</v>
      </c>
      <c r="AD489" s="548">
        <f t="shared" si="439"/>
        <v>0</v>
      </c>
      <c r="AE489" s="548">
        <f t="shared" si="439"/>
        <v>0</v>
      </c>
      <c r="AF489" s="548">
        <f t="shared" si="439"/>
        <v>0</v>
      </c>
      <c r="AG489" s="548">
        <f t="shared" si="439"/>
        <v>0</v>
      </c>
      <c r="AH489" s="548">
        <f t="shared" si="439"/>
        <v>0</v>
      </c>
      <c r="AI489" s="548">
        <f t="shared" si="439"/>
        <v>0</v>
      </c>
      <c r="AJ489" s="548">
        <f t="shared" si="439"/>
        <v>0</v>
      </c>
      <c r="AK489" s="548">
        <f t="shared" si="439"/>
        <v>0</v>
      </c>
      <c r="AL489" s="548">
        <f t="shared" si="439"/>
        <v>0</v>
      </c>
      <c r="AM489" s="548">
        <f t="shared" si="439"/>
        <v>0</v>
      </c>
      <c r="AN489" s="548">
        <f t="shared" si="439"/>
        <v>0</v>
      </c>
      <c r="AO489" s="548">
        <f t="shared" si="439"/>
        <v>0</v>
      </c>
      <c r="AP489" s="548">
        <f t="shared" si="439"/>
        <v>0</v>
      </c>
      <c r="AQ489" s="548">
        <f t="shared" si="439"/>
        <v>0</v>
      </c>
      <c r="AR489" s="548">
        <f t="shared" si="439"/>
        <v>0</v>
      </c>
      <c r="AS489" s="548">
        <f t="shared" si="439"/>
        <v>0</v>
      </c>
      <c r="AT489" s="548">
        <f t="shared" si="439"/>
        <v>0</v>
      </c>
      <c r="AU489" s="548">
        <f t="shared" si="439"/>
        <v>0</v>
      </c>
      <c r="AV489" s="548">
        <f t="shared" si="439"/>
        <v>0</v>
      </c>
      <c r="AW489" s="548">
        <f t="shared" si="439"/>
        <v>0</v>
      </c>
      <c r="AX489" s="548">
        <f t="shared" si="439"/>
        <v>0</v>
      </c>
      <c r="AY489" s="548">
        <f t="shared" si="439"/>
        <v>0</v>
      </c>
      <c r="AZ489" s="548">
        <f t="shared" si="439"/>
        <v>0</v>
      </c>
      <c r="BA489" s="548">
        <f t="shared" si="439"/>
        <v>0</v>
      </c>
      <c r="BB489" s="548">
        <f t="shared" si="439"/>
        <v>0</v>
      </c>
      <c r="BC489" s="548">
        <f t="shared" si="439"/>
        <v>0</v>
      </c>
      <c r="BD489" s="548">
        <f t="shared" si="439"/>
        <v>0</v>
      </c>
      <c r="BE489" s="548">
        <f t="shared" si="439"/>
        <v>0</v>
      </c>
      <c r="BF489" s="548">
        <f t="shared" si="439"/>
        <v>0</v>
      </c>
      <c r="BG489" s="548">
        <f t="shared" si="439"/>
        <v>0</v>
      </c>
      <c r="BH489" s="548">
        <f t="shared" si="439"/>
        <v>0</v>
      </c>
      <c r="BI489" s="548">
        <f t="shared" si="439"/>
        <v>0</v>
      </c>
      <c r="BJ489" s="548">
        <f t="shared" si="439"/>
        <v>0</v>
      </c>
      <c r="BK489" s="548">
        <f t="shared" si="439"/>
        <v>180000000</v>
      </c>
      <c r="BL489" s="548">
        <f t="shared" si="439"/>
        <v>46260000</v>
      </c>
      <c r="BM489" s="548">
        <f t="shared" si="439"/>
        <v>15420000</v>
      </c>
      <c r="BN489" s="548">
        <f t="shared" si="439"/>
        <v>0</v>
      </c>
      <c r="BO489" s="548">
        <f t="shared" si="439"/>
        <v>0</v>
      </c>
      <c r="BP489" s="548">
        <f t="shared" si="439"/>
        <v>0</v>
      </c>
      <c r="BQ489" s="548">
        <f t="shared" si="439"/>
        <v>0</v>
      </c>
      <c r="BR489" s="548">
        <f t="shared" si="439"/>
        <v>0</v>
      </c>
      <c r="BS489" s="548">
        <f t="shared" si="439"/>
        <v>0</v>
      </c>
      <c r="BT489" s="548">
        <f t="shared" si="439"/>
        <v>0</v>
      </c>
      <c r="BU489" s="548">
        <f t="shared" si="439"/>
        <v>0</v>
      </c>
      <c r="BV489" s="548">
        <f t="shared" si="439"/>
        <v>0</v>
      </c>
      <c r="BW489" s="548">
        <f t="shared" si="439"/>
        <v>0</v>
      </c>
      <c r="BX489" s="548">
        <f t="shared" si="439"/>
        <v>0</v>
      </c>
      <c r="BY489" s="548">
        <f t="shared" si="439"/>
        <v>0</v>
      </c>
      <c r="BZ489" s="548">
        <f t="shared" si="439"/>
        <v>180000000</v>
      </c>
      <c r="CA489" s="548">
        <f t="shared" ref="CA489:CB489" si="440">SUM(CA488:CA488)</f>
        <v>46260000</v>
      </c>
      <c r="CB489" s="548">
        <f t="shared" si="440"/>
        <v>15420000</v>
      </c>
    </row>
    <row r="490" spans="1:80" s="459" customFormat="1" ht="15.75" x14ac:dyDescent="0.2">
      <c r="A490" s="54"/>
      <c r="B490" s="394"/>
      <c r="C490" s="395"/>
      <c r="D490" s="360"/>
      <c r="E490" s="395"/>
      <c r="F490" s="395"/>
      <c r="G490" s="360"/>
      <c r="H490" s="395"/>
      <c r="I490" s="360"/>
      <c r="J490" s="396"/>
      <c r="K490" s="397"/>
      <c r="L490" s="397"/>
      <c r="M490" s="397"/>
      <c r="N490" s="396"/>
      <c r="O490" s="395"/>
      <c r="P490" s="360"/>
      <c r="Q490" s="395"/>
      <c r="R490" s="570"/>
      <c r="S490" s="570"/>
      <c r="T490" s="570"/>
      <c r="U490" s="570"/>
      <c r="V490" s="570"/>
      <c r="W490" s="570"/>
      <c r="X490" s="570"/>
      <c r="Y490" s="570"/>
      <c r="Z490" s="570"/>
      <c r="AA490" s="570"/>
      <c r="AB490" s="570"/>
      <c r="AC490" s="570"/>
      <c r="AD490" s="570"/>
      <c r="AE490" s="570"/>
      <c r="AF490" s="570"/>
      <c r="AG490" s="570"/>
      <c r="AH490" s="570"/>
      <c r="AI490" s="570"/>
      <c r="AJ490" s="570"/>
      <c r="AK490" s="570"/>
      <c r="AL490" s="570"/>
      <c r="AM490" s="570"/>
      <c r="AN490" s="570"/>
      <c r="AO490" s="570"/>
      <c r="AP490" s="570"/>
      <c r="AQ490" s="570"/>
      <c r="AR490" s="570"/>
      <c r="AS490" s="570"/>
      <c r="AT490" s="570"/>
      <c r="AU490" s="570"/>
      <c r="AV490" s="570"/>
      <c r="AW490" s="570"/>
      <c r="AX490" s="570"/>
      <c r="AY490" s="570"/>
      <c r="AZ490" s="570"/>
      <c r="BA490" s="570"/>
      <c r="BB490" s="570"/>
      <c r="BC490" s="570"/>
      <c r="BD490" s="570"/>
      <c r="BE490" s="570"/>
      <c r="BF490" s="570"/>
      <c r="BG490" s="570"/>
      <c r="BH490" s="570"/>
      <c r="BI490" s="570"/>
      <c r="BJ490" s="570"/>
      <c r="BK490" s="545" t="s">
        <v>62</v>
      </c>
      <c r="BL490" s="591"/>
      <c r="BM490" s="591"/>
      <c r="BN490" s="592"/>
      <c r="BO490" s="592"/>
      <c r="BP490" s="592"/>
      <c r="BQ490" s="570"/>
      <c r="BR490" s="570"/>
      <c r="BS490" s="570"/>
      <c r="BT490" s="570"/>
      <c r="BU490" s="570"/>
      <c r="BV490" s="570"/>
      <c r="BW490" s="570"/>
      <c r="BX490" s="570"/>
      <c r="BY490" s="570"/>
      <c r="BZ490" s="844"/>
      <c r="CA490" s="844"/>
      <c r="CB490" s="844"/>
    </row>
    <row r="491" spans="1:80" s="459" customFormat="1" ht="15.75" x14ac:dyDescent="0.2">
      <c r="A491" s="54"/>
      <c r="B491" s="394"/>
      <c r="C491" s="704"/>
      <c r="D491" s="229"/>
      <c r="E491" s="230"/>
      <c r="F491" s="230"/>
      <c r="G491" s="98">
        <v>59</v>
      </c>
      <c r="H491" s="99" t="s">
        <v>585</v>
      </c>
      <c r="I491" s="99"/>
      <c r="J491" s="99"/>
      <c r="K491" s="398"/>
      <c r="L491" s="398"/>
      <c r="M491" s="398"/>
      <c r="N491" s="99"/>
      <c r="O491" s="212"/>
      <c r="P491" s="99"/>
      <c r="Q491" s="99"/>
      <c r="R491" s="657"/>
      <c r="S491" s="657"/>
      <c r="T491" s="657"/>
      <c r="U491" s="657"/>
      <c r="V491" s="657"/>
      <c r="W491" s="657"/>
      <c r="X491" s="336"/>
      <c r="Y491" s="336"/>
      <c r="Z491" s="336"/>
      <c r="AA491" s="336"/>
      <c r="AB491" s="336"/>
      <c r="AC491" s="336"/>
      <c r="AD491" s="336"/>
      <c r="AE491" s="336"/>
      <c r="AF491" s="336"/>
      <c r="AG491" s="336"/>
      <c r="AH491" s="336"/>
      <c r="AI491" s="336"/>
      <c r="AJ491" s="336"/>
      <c r="AK491" s="336"/>
      <c r="AL491" s="336"/>
      <c r="AM491" s="336"/>
      <c r="AN491" s="336"/>
      <c r="AO491" s="336"/>
      <c r="AP491" s="336"/>
      <c r="AQ491" s="336"/>
      <c r="AR491" s="336"/>
      <c r="AS491" s="336"/>
      <c r="AT491" s="336"/>
      <c r="AU491" s="336"/>
      <c r="AV491" s="336"/>
      <c r="AW491" s="336"/>
      <c r="AX491" s="336"/>
      <c r="AY491" s="336"/>
      <c r="AZ491" s="336"/>
      <c r="BA491" s="336"/>
      <c r="BB491" s="336"/>
      <c r="BC491" s="336"/>
      <c r="BD491" s="336"/>
      <c r="BE491" s="336"/>
      <c r="BF491" s="336"/>
      <c r="BG491" s="336"/>
      <c r="BH491" s="336"/>
      <c r="BI491" s="336"/>
      <c r="BJ491" s="336"/>
      <c r="BK491" s="552"/>
      <c r="BL491" s="552"/>
      <c r="BM491" s="552"/>
      <c r="BN491" s="336"/>
      <c r="BO491" s="336"/>
      <c r="BP491" s="336"/>
      <c r="BQ491" s="336"/>
      <c r="BR491" s="336"/>
      <c r="BS491" s="336"/>
      <c r="BT491" s="336"/>
      <c r="BU491" s="336"/>
      <c r="BV491" s="336"/>
      <c r="BW491" s="336"/>
      <c r="BX491" s="336"/>
      <c r="BY491" s="336"/>
      <c r="BZ491" s="338"/>
      <c r="CA491" s="338"/>
      <c r="CB491" s="338"/>
    </row>
    <row r="492" spans="1:80" s="11" customFormat="1" ht="53.25" customHeight="1" x14ac:dyDescent="0.2">
      <c r="A492" s="54"/>
      <c r="B492" s="393"/>
      <c r="C492" s="857" t="s">
        <v>586</v>
      </c>
      <c r="D492" s="854" t="s">
        <v>587</v>
      </c>
      <c r="E492" s="857" t="s">
        <v>936</v>
      </c>
      <c r="F492" s="857" t="s">
        <v>935</v>
      </c>
      <c r="G492" s="64"/>
      <c r="H492" s="57">
        <v>184</v>
      </c>
      <c r="I492" s="56" t="s">
        <v>588</v>
      </c>
      <c r="J492" s="65">
        <v>1</v>
      </c>
      <c r="K492" s="237">
        <v>1</v>
      </c>
      <c r="L492" s="492">
        <v>0.1</v>
      </c>
      <c r="M492" s="850">
        <v>201700360050</v>
      </c>
      <c r="N492" s="886" t="s">
        <v>573</v>
      </c>
      <c r="O492" s="856" t="s">
        <v>589</v>
      </c>
      <c r="P492" s="853" t="s">
        <v>590</v>
      </c>
      <c r="Q492" s="207" t="s">
        <v>51</v>
      </c>
      <c r="R492" s="539"/>
      <c r="S492" s="539"/>
      <c r="T492" s="539"/>
      <c r="U492" s="539"/>
      <c r="V492" s="539"/>
      <c r="W492" s="539"/>
      <c r="X492" s="539"/>
      <c r="Y492" s="539"/>
      <c r="Z492" s="539"/>
      <c r="AA492" s="539"/>
      <c r="AB492" s="539"/>
      <c r="AC492" s="539"/>
      <c r="AD492" s="539"/>
      <c r="AE492" s="539"/>
      <c r="AF492" s="539"/>
      <c r="AG492" s="539"/>
      <c r="AH492" s="539"/>
      <c r="AI492" s="539"/>
      <c r="AJ492" s="539"/>
      <c r="AK492" s="539"/>
      <c r="AL492" s="539"/>
      <c r="AM492" s="539"/>
      <c r="AN492" s="539"/>
      <c r="AO492" s="539"/>
      <c r="AP492" s="539"/>
      <c r="AQ492" s="539"/>
      <c r="AR492" s="539"/>
      <c r="AS492" s="539"/>
      <c r="AT492" s="539"/>
      <c r="AU492" s="539"/>
      <c r="AV492" s="539"/>
      <c r="AW492" s="539"/>
      <c r="AX492" s="539"/>
      <c r="AY492" s="539"/>
      <c r="AZ492" s="539"/>
      <c r="BA492" s="539"/>
      <c r="BB492" s="539"/>
      <c r="BC492" s="539"/>
      <c r="BD492" s="539"/>
      <c r="BE492" s="539"/>
      <c r="BF492" s="539"/>
      <c r="BG492" s="539"/>
      <c r="BH492" s="539"/>
      <c r="BI492" s="541"/>
      <c r="BJ492" s="541"/>
      <c r="BK492" s="542">
        <f>90000000+350000000</f>
        <v>440000000</v>
      </c>
      <c r="BL492" s="845">
        <v>37020000</v>
      </c>
      <c r="BM492" s="845">
        <v>14560000</v>
      </c>
      <c r="BN492" s="542"/>
      <c r="BO492" s="542"/>
      <c r="BP492" s="542"/>
      <c r="BQ492" s="539"/>
      <c r="BR492" s="541"/>
      <c r="BS492" s="541"/>
      <c r="BT492" s="541"/>
      <c r="BU492" s="541"/>
      <c r="BV492" s="541"/>
      <c r="BW492" s="541"/>
      <c r="BX492" s="541"/>
      <c r="BY492" s="541"/>
      <c r="BZ492" s="539">
        <f t="shared" ref="BZ492:BZ494" si="441">R492+U492+X492+AA492+AD492+AG492+AJ492+AM492+AP492+AS492+AV492+AY492+BB492+BE492+BH492+BK492+BN492+BQ492+BT492+BW492</f>
        <v>440000000</v>
      </c>
      <c r="CA492" s="539">
        <f t="shared" ref="CA492:CA494" si="442">S492+V492+Y492+AB492+AE492+AH492+AK492+AN492+AQ492+AT492+AW492+AZ492+BC492+BF492+BI492+BL492+BO492+BR492+BU492+BX492</f>
        <v>37020000</v>
      </c>
      <c r="CB492" s="539">
        <f t="shared" ref="CB492:CB494" si="443">T492+W492+Z492+AC492+AF492+AI492+AL492+AO492+AR492+AU492+AX492+BA492+BD492+BG492+BJ492+BM492+BP492+BS492+BV492+BY492</f>
        <v>14560000</v>
      </c>
    </row>
    <row r="493" spans="1:80" s="11" customFormat="1" ht="70.5" customHeight="1" x14ac:dyDescent="0.2">
      <c r="A493" s="54"/>
      <c r="B493" s="393"/>
      <c r="C493" s="857"/>
      <c r="D493" s="854"/>
      <c r="E493" s="857"/>
      <c r="F493" s="857"/>
      <c r="G493" s="64"/>
      <c r="H493" s="57">
        <v>185</v>
      </c>
      <c r="I493" s="56" t="s">
        <v>591</v>
      </c>
      <c r="J493" s="65" t="s">
        <v>42</v>
      </c>
      <c r="K493" s="237">
        <v>1</v>
      </c>
      <c r="L493" s="491">
        <v>0.2</v>
      </c>
      <c r="M493" s="851"/>
      <c r="N493" s="887"/>
      <c r="O493" s="857"/>
      <c r="P493" s="854"/>
      <c r="Q493" s="57" t="s">
        <v>51</v>
      </c>
      <c r="R493" s="539">
        <v>0</v>
      </c>
      <c r="S493" s="539"/>
      <c r="T493" s="539"/>
      <c r="U493" s="539">
        <v>0</v>
      </c>
      <c r="V493" s="539"/>
      <c r="W493" s="539"/>
      <c r="X493" s="539">
        <v>0</v>
      </c>
      <c r="Y493" s="539"/>
      <c r="Z493" s="539"/>
      <c r="AA493" s="539">
        <v>0</v>
      </c>
      <c r="AB493" s="539"/>
      <c r="AC493" s="539"/>
      <c r="AD493" s="539">
        <v>0</v>
      </c>
      <c r="AE493" s="539"/>
      <c r="AF493" s="539"/>
      <c r="AG493" s="539">
        <v>0</v>
      </c>
      <c r="AH493" s="539"/>
      <c r="AI493" s="539"/>
      <c r="AJ493" s="539">
        <v>0</v>
      </c>
      <c r="AK493" s="539"/>
      <c r="AL493" s="539"/>
      <c r="AM493" s="539"/>
      <c r="AN493" s="539"/>
      <c r="AO493" s="539"/>
      <c r="AP493" s="539"/>
      <c r="AQ493" s="539"/>
      <c r="AR493" s="539"/>
      <c r="AS493" s="539">
        <v>0</v>
      </c>
      <c r="AT493" s="539"/>
      <c r="AU493" s="539"/>
      <c r="AV493" s="539">
        <v>0</v>
      </c>
      <c r="AW493" s="539"/>
      <c r="AX493" s="539"/>
      <c r="AY493" s="539"/>
      <c r="AZ493" s="539"/>
      <c r="BA493" s="539"/>
      <c r="BB493" s="539"/>
      <c r="BC493" s="539"/>
      <c r="BD493" s="539"/>
      <c r="BE493" s="539">
        <v>0</v>
      </c>
      <c r="BF493" s="539"/>
      <c r="BG493" s="539"/>
      <c r="BH493" s="539">
        <v>0</v>
      </c>
      <c r="BI493" s="541"/>
      <c r="BJ493" s="541"/>
      <c r="BK493" s="542">
        <f>16500000+23500000</f>
        <v>40000000</v>
      </c>
      <c r="BL493" s="542">
        <v>15000000</v>
      </c>
      <c r="BM493" s="542">
        <v>2640000</v>
      </c>
      <c r="BN493" s="542"/>
      <c r="BO493" s="542"/>
      <c r="BP493" s="542"/>
      <c r="BQ493" s="539">
        <v>0</v>
      </c>
      <c r="BR493" s="541"/>
      <c r="BS493" s="541"/>
      <c r="BT493" s="541"/>
      <c r="BU493" s="541"/>
      <c r="BV493" s="541"/>
      <c r="BW493" s="541"/>
      <c r="BX493" s="541"/>
      <c r="BY493" s="541"/>
      <c r="BZ493" s="539">
        <f t="shared" si="441"/>
        <v>40000000</v>
      </c>
      <c r="CA493" s="539">
        <f t="shared" si="442"/>
        <v>15000000</v>
      </c>
      <c r="CB493" s="539">
        <f t="shared" si="443"/>
        <v>2640000</v>
      </c>
    </row>
    <row r="494" spans="1:80" s="11" customFormat="1" ht="105.75" customHeight="1" x14ac:dyDescent="0.2">
      <c r="A494" s="54"/>
      <c r="B494" s="393"/>
      <c r="C494" s="857"/>
      <c r="D494" s="854"/>
      <c r="E494" s="857"/>
      <c r="F494" s="857"/>
      <c r="G494" s="139"/>
      <c r="H494" s="57">
        <v>186</v>
      </c>
      <c r="I494" s="56" t="s">
        <v>592</v>
      </c>
      <c r="J494" s="65" t="s">
        <v>42</v>
      </c>
      <c r="K494" s="237">
        <v>1</v>
      </c>
      <c r="L494" s="493">
        <v>0.1</v>
      </c>
      <c r="M494" s="852"/>
      <c r="N494" s="919"/>
      <c r="O494" s="858"/>
      <c r="P494" s="855"/>
      <c r="Q494" s="57" t="s">
        <v>51</v>
      </c>
      <c r="R494" s="539"/>
      <c r="S494" s="539"/>
      <c r="T494" s="539"/>
      <c r="U494" s="539"/>
      <c r="V494" s="539"/>
      <c r="W494" s="539"/>
      <c r="X494" s="539"/>
      <c r="Y494" s="539"/>
      <c r="Z494" s="539"/>
      <c r="AA494" s="539"/>
      <c r="AB494" s="539"/>
      <c r="AC494" s="539"/>
      <c r="AD494" s="539"/>
      <c r="AE494" s="539"/>
      <c r="AF494" s="539"/>
      <c r="AG494" s="539"/>
      <c r="AH494" s="539"/>
      <c r="AI494" s="539"/>
      <c r="AJ494" s="539"/>
      <c r="AK494" s="539"/>
      <c r="AL494" s="539"/>
      <c r="AM494" s="539"/>
      <c r="AN494" s="539"/>
      <c r="AO494" s="539"/>
      <c r="AP494" s="539"/>
      <c r="AQ494" s="539"/>
      <c r="AR494" s="539"/>
      <c r="AS494" s="539"/>
      <c r="AT494" s="539"/>
      <c r="AU494" s="539"/>
      <c r="AV494" s="539"/>
      <c r="AW494" s="539"/>
      <c r="AX494" s="539"/>
      <c r="AY494" s="539"/>
      <c r="AZ494" s="539"/>
      <c r="BA494" s="539"/>
      <c r="BB494" s="539"/>
      <c r="BC494" s="539"/>
      <c r="BD494" s="539"/>
      <c r="BE494" s="539"/>
      <c r="BF494" s="539"/>
      <c r="BG494" s="539"/>
      <c r="BH494" s="539"/>
      <c r="BI494" s="541"/>
      <c r="BJ494" s="541"/>
      <c r="BK494" s="542">
        <f>21000000+19000000</f>
        <v>40000000</v>
      </c>
      <c r="BL494" s="542">
        <v>7500000</v>
      </c>
      <c r="BM494" s="542">
        <v>2640000</v>
      </c>
      <c r="BN494" s="542"/>
      <c r="BO494" s="542"/>
      <c r="BP494" s="542"/>
      <c r="BQ494" s="539"/>
      <c r="BR494" s="541"/>
      <c r="BS494" s="541"/>
      <c r="BT494" s="541"/>
      <c r="BU494" s="541"/>
      <c r="BV494" s="541"/>
      <c r="BW494" s="541"/>
      <c r="BX494" s="541"/>
      <c r="BY494" s="541"/>
      <c r="BZ494" s="539">
        <f t="shared" si="441"/>
        <v>40000000</v>
      </c>
      <c r="CA494" s="539">
        <f t="shared" si="442"/>
        <v>7500000</v>
      </c>
      <c r="CB494" s="539">
        <f t="shared" si="443"/>
        <v>2640000</v>
      </c>
    </row>
    <row r="495" spans="1:80" s="459" customFormat="1" ht="15.75" x14ac:dyDescent="0.2">
      <c r="A495" s="54"/>
      <c r="B495" s="394"/>
      <c r="C495" s="703"/>
      <c r="D495" s="209"/>
      <c r="E495" s="259"/>
      <c r="F495" s="259"/>
      <c r="G495" s="77"/>
      <c r="H495" s="78"/>
      <c r="I495" s="77"/>
      <c r="J495" s="239"/>
      <c r="K495" s="246"/>
      <c r="L495" s="246"/>
      <c r="M495" s="246"/>
      <c r="N495" s="239"/>
      <c r="O495" s="78"/>
      <c r="P495" s="77"/>
      <c r="Q495" s="78"/>
      <c r="R495" s="548">
        <f t="shared" ref="R495:BZ495" si="444">SUM(R492:R494)</f>
        <v>0</v>
      </c>
      <c r="S495" s="548">
        <f t="shared" si="444"/>
        <v>0</v>
      </c>
      <c r="T495" s="548">
        <f t="shared" si="444"/>
        <v>0</v>
      </c>
      <c r="U495" s="548">
        <f t="shared" si="444"/>
        <v>0</v>
      </c>
      <c r="V495" s="548">
        <f t="shared" si="444"/>
        <v>0</v>
      </c>
      <c r="W495" s="548">
        <f t="shared" si="444"/>
        <v>0</v>
      </c>
      <c r="X495" s="548">
        <f t="shared" si="444"/>
        <v>0</v>
      </c>
      <c r="Y495" s="548">
        <f t="shared" si="444"/>
        <v>0</v>
      </c>
      <c r="Z495" s="548">
        <f t="shared" si="444"/>
        <v>0</v>
      </c>
      <c r="AA495" s="548">
        <f t="shared" si="444"/>
        <v>0</v>
      </c>
      <c r="AB495" s="548">
        <f t="shared" si="444"/>
        <v>0</v>
      </c>
      <c r="AC495" s="548">
        <f t="shared" si="444"/>
        <v>0</v>
      </c>
      <c r="AD495" s="548">
        <f t="shared" si="444"/>
        <v>0</v>
      </c>
      <c r="AE495" s="548">
        <f t="shared" si="444"/>
        <v>0</v>
      </c>
      <c r="AF495" s="548">
        <f t="shared" si="444"/>
        <v>0</v>
      </c>
      <c r="AG495" s="548">
        <f t="shared" si="444"/>
        <v>0</v>
      </c>
      <c r="AH495" s="548">
        <f t="shared" si="444"/>
        <v>0</v>
      </c>
      <c r="AI495" s="548">
        <f t="shared" si="444"/>
        <v>0</v>
      </c>
      <c r="AJ495" s="548">
        <f t="shared" si="444"/>
        <v>0</v>
      </c>
      <c r="AK495" s="548">
        <f t="shared" si="444"/>
        <v>0</v>
      </c>
      <c r="AL495" s="548">
        <f t="shared" si="444"/>
        <v>0</v>
      </c>
      <c r="AM495" s="548">
        <f t="shared" si="444"/>
        <v>0</v>
      </c>
      <c r="AN495" s="548">
        <f t="shared" si="444"/>
        <v>0</v>
      </c>
      <c r="AO495" s="548">
        <f t="shared" si="444"/>
        <v>0</v>
      </c>
      <c r="AP495" s="548">
        <f t="shared" si="444"/>
        <v>0</v>
      </c>
      <c r="AQ495" s="548">
        <f t="shared" si="444"/>
        <v>0</v>
      </c>
      <c r="AR495" s="548">
        <f t="shared" si="444"/>
        <v>0</v>
      </c>
      <c r="AS495" s="548">
        <f t="shared" si="444"/>
        <v>0</v>
      </c>
      <c r="AT495" s="548">
        <f t="shared" si="444"/>
        <v>0</v>
      </c>
      <c r="AU495" s="548">
        <f t="shared" si="444"/>
        <v>0</v>
      </c>
      <c r="AV495" s="548">
        <f t="shared" si="444"/>
        <v>0</v>
      </c>
      <c r="AW495" s="548">
        <f t="shared" si="444"/>
        <v>0</v>
      </c>
      <c r="AX495" s="548">
        <f t="shared" si="444"/>
        <v>0</v>
      </c>
      <c r="AY495" s="548">
        <f t="shared" si="444"/>
        <v>0</v>
      </c>
      <c r="AZ495" s="548">
        <f t="shared" si="444"/>
        <v>0</v>
      </c>
      <c r="BA495" s="548">
        <f t="shared" si="444"/>
        <v>0</v>
      </c>
      <c r="BB495" s="548">
        <f t="shared" si="444"/>
        <v>0</v>
      </c>
      <c r="BC495" s="548">
        <f t="shared" si="444"/>
        <v>0</v>
      </c>
      <c r="BD495" s="548">
        <f t="shared" si="444"/>
        <v>0</v>
      </c>
      <c r="BE495" s="548">
        <f t="shared" si="444"/>
        <v>0</v>
      </c>
      <c r="BF495" s="548">
        <f t="shared" si="444"/>
        <v>0</v>
      </c>
      <c r="BG495" s="548">
        <f t="shared" si="444"/>
        <v>0</v>
      </c>
      <c r="BH495" s="548">
        <f t="shared" si="444"/>
        <v>0</v>
      </c>
      <c r="BI495" s="548">
        <f t="shared" si="444"/>
        <v>0</v>
      </c>
      <c r="BJ495" s="548">
        <f t="shared" si="444"/>
        <v>0</v>
      </c>
      <c r="BK495" s="548">
        <f t="shared" si="444"/>
        <v>520000000</v>
      </c>
      <c r="BL495" s="548">
        <f t="shared" si="444"/>
        <v>59520000</v>
      </c>
      <c r="BM495" s="548">
        <f t="shared" si="444"/>
        <v>19840000</v>
      </c>
      <c r="BN495" s="548">
        <f t="shared" si="444"/>
        <v>0</v>
      </c>
      <c r="BO495" s="548">
        <f t="shared" si="444"/>
        <v>0</v>
      </c>
      <c r="BP495" s="548">
        <f t="shared" si="444"/>
        <v>0</v>
      </c>
      <c r="BQ495" s="548">
        <f t="shared" si="444"/>
        <v>0</v>
      </c>
      <c r="BR495" s="548">
        <f t="shared" si="444"/>
        <v>0</v>
      </c>
      <c r="BS495" s="548">
        <f t="shared" si="444"/>
        <v>0</v>
      </c>
      <c r="BT495" s="548">
        <f t="shared" si="444"/>
        <v>0</v>
      </c>
      <c r="BU495" s="548">
        <f t="shared" si="444"/>
        <v>0</v>
      </c>
      <c r="BV495" s="548">
        <f t="shared" si="444"/>
        <v>0</v>
      </c>
      <c r="BW495" s="548">
        <f t="shared" si="444"/>
        <v>0</v>
      </c>
      <c r="BX495" s="548">
        <f t="shared" si="444"/>
        <v>0</v>
      </c>
      <c r="BY495" s="548">
        <f t="shared" si="444"/>
        <v>0</v>
      </c>
      <c r="BZ495" s="548">
        <f t="shared" si="444"/>
        <v>520000000</v>
      </c>
      <c r="CA495" s="548">
        <f t="shared" ref="CA495:CB495" si="445">SUM(CA492:CA494)</f>
        <v>59520000</v>
      </c>
      <c r="CB495" s="548">
        <f t="shared" si="445"/>
        <v>19840000</v>
      </c>
    </row>
    <row r="496" spans="1:80" s="459" customFormat="1" ht="15.75" x14ac:dyDescent="0.2">
      <c r="A496" s="54"/>
      <c r="B496" s="394"/>
      <c r="C496" s="395"/>
      <c r="D496" s="360"/>
      <c r="E496" s="395"/>
      <c r="F496" s="395"/>
      <c r="G496" s="360"/>
      <c r="H496" s="395"/>
      <c r="I496" s="360"/>
      <c r="J496" s="396"/>
      <c r="K496" s="397"/>
      <c r="L496" s="397"/>
      <c r="M496" s="397"/>
      <c r="N496" s="396"/>
      <c r="O496" s="395"/>
      <c r="P496" s="360"/>
      <c r="Q496" s="395"/>
      <c r="R496" s="570"/>
      <c r="S496" s="570"/>
      <c r="T496" s="570"/>
      <c r="U496" s="571"/>
      <c r="V496" s="571"/>
      <c r="W496" s="571"/>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c r="AX496" s="570"/>
      <c r="AY496" s="570"/>
      <c r="AZ496" s="570"/>
      <c r="BA496" s="570"/>
      <c r="BB496" s="570"/>
      <c r="BC496" s="570"/>
      <c r="BD496" s="570"/>
      <c r="BE496" s="570"/>
      <c r="BF496" s="570"/>
      <c r="BG496" s="570"/>
      <c r="BH496" s="570"/>
      <c r="BI496" s="570"/>
      <c r="BJ496" s="570"/>
      <c r="BK496" s="545"/>
      <c r="BL496" s="591"/>
      <c r="BM496" s="591"/>
      <c r="BN496" s="592"/>
      <c r="BO496" s="592"/>
      <c r="BP496" s="592"/>
      <c r="BQ496" s="570"/>
      <c r="BR496" s="570"/>
      <c r="BS496" s="570"/>
      <c r="BT496" s="570"/>
      <c r="BU496" s="570"/>
      <c r="BV496" s="570"/>
      <c r="BW496" s="570"/>
      <c r="BX496" s="570"/>
      <c r="BY496" s="570"/>
      <c r="BZ496" s="844"/>
      <c r="CA496" s="844"/>
      <c r="CB496" s="844"/>
    </row>
    <row r="497" spans="1:80" s="459" customFormat="1" ht="15.75" x14ac:dyDescent="0.2">
      <c r="A497" s="54"/>
      <c r="B497" s="394"/>
      <c r="C497" s="704"/>
      <c r="D497" s="229"/>
      <c r="E497" s="230"/>
      <c r="F497" s="230"/>
      <c r="G497" s="98">
        <v>60</v>
      </c>
      <c r="H497" s="99" t="s">
        <v>593</v>
      </c>
      <c r="I497" s="100"/>
      <c r="J497" s="100"/>
      <c r="K497" s="186"/>
      <c r="L497" s="186"/>
      <c r="M497" s="186"/>
      <c r="N497" s="100"/>
      <c r="O497" s="212"/>
      <c r="P497" s="100"/>
      <c r="Q497" s="100"/>
      <c r="R497" s="336"/>
      <c r="S497" s="336"/>
      <c r="T497" s="336"/>
      <c r="U497" s="336"/>
      <c r="V497" s="336"/>
      <c r="W497" s="336"/>
      <c r="X497" s="336"/>
      <c r="Y497" s="336"/>
      <c r="Z497" s="336"/>
      <c r="AA497" s="336"/>
      <c r="AB497" s="336"/>
      <c r="AC497" s="336"/>
      <c r="AD497" s="336"/>
      <c r="AE497" s="336"/>
      <c r="AF497" s="336"/>
      <c r="AG497" s="336"/>
      <c r="AH497" s="336"/>
      <c r="AI497" s="336"/>
      <c r="AJ497" s="336"/>
      <c r="AK497" s="336"/>
      <c r="AL497" s="336"/>
      <c r="AM497" s="336"/>
      <c r="AN497" s="336"/>
      <c r="AO497" s="336"/>
      <c r="AP497" s="336"/>
      <c r="AQ497" s="336"/>
      <c r="AR497" s="336"/>
      <c r="AS497" s="336"/>
      <c r="AT497" s="336"/>
      <c r="AU497" s="336"/>
      <c r="AV497" s="336"/>
      <c r="AW497" s="336"/>
      <c r="AX497" s="336"/>
      <c r="AY497" s="336"/>
      <c r="AZ497" s="336"/>
      <c r="BA497" s="336"/>
      <c r="BB497" s="336"/>
      <c r="BC497" s="336"/>
      <c r="BD497" s="336"/>
      <c r="BE497" s="336"/>
      <c r="BF497" s="336"/>
      <c r="BG497" s="336"/>
      <c r="BH497" s="336"/>
      <c r="BI497" s="336"/>
      <c r="BJ497" s="336"/>
      <c r="BK497" s="552"/>
      <c r="BL497" s="552"/>
      <c r="BM497" s="552"/>
      <c r="BN497" s="336"/>
      <c r="BO497" s="336"/>
      <c r="BP497" s="336"/>
      <c r="BQ497" s="336"/>
      <c r="BR497" s="336"/>
      <c r="BS497" s="336"/>
      <c r="BT497" s="336"/>
      <c r="BU497" s="336"/>
      <c r="BV497" s="336"/>
      <c r="BW497" s="336"/>
      <c r="BX497" s="336"/>
      <c r="BY497" s="336"/>
      <c r="BZ497" s="338"/>
      <c r="CA497" s="338"/>
      <c r="CB497" s="338"/>
    </row>
    <row r="498" spans="1:80" s="11" customFormat="1" ht="56.25" customHeight="1" x14ac:dyDescent="0.2">
      <c r="A498" s="54"/>
      <c r="B498" s="393"/>
      <c r="C498" s="510">
        <v>22</v>
      </c>
      <c r="D498" s="518" t="s">
        <v>594</v>
      </c>
      <c r="E498" s="510" t="s">
        <v>595</v>
      </c>
      <c r="F498" s="510" t="s">
        <v>596</v>
      </c>
      <c r="G498" s="58"/>
      <c r="H498" s="57">
        <v>187</v>
      </c>
      <c r="I498" s="56" t="s">
        <v>597</v>
      </c>
      <c r="J498" s="65">
        <v>1</v>
      </c>
      <c r="K498" s="237">
        <v>1</v>
      </c>
      <c r="L498" s="494">
        <v>0.25</v>
      </c>
      <c r="M498" s="850">
        <v>201700360056</v>
      </c>
      <c r="N498" s="886" t="s">
        <v>573</v>
      </c>
      <c r="O498" s="856" t="s">
        <v>598</v>
      </c>
      <c r="P498" s="853" t="s">
        <v>599</v>
      </c>
      <c r="Q498" s="57" t="s">
        <v>51</v>
      </c>
      <c r="R498" s="539">
        <v>0</v>
      </c>
      <c r="S498" s="539"/>
      <c r="T498" s="539"/>
      <c r="U498" s="539">
        <v>0</v>
      </c>
      <c r="V498" s="539"/>
      <c r="W498" s="539"/>
      <c r="X498" s="539">
        <v>0</v>
      </c>
      <c r="Y498" s="539"/>
      <c r="Z498" s="539"/>
      <c r="AA498" s="539">
        <v>0</v>
      </c>
      <c r="AB498" s="539"/>
      <c r="AC498" s="539"/>
      <c r="AD498" s="539">
        <v>0</v>
      </c>
      <c r="AE498" s="539"/>
      <c r="AF498" s="539"/>
      <c r="AG498" s="539">
        <v>0</v>
      </c>
      <c r="AH498" s="539"/>
      <c r="AI498" s="539"/>
      <c r="AJ498" s="539">
        <v>0</v>
      </c>
      <c r="AK498" s="539"/>
      <c r="AL498" s="539"/>
      <c r="AM498" s="539"/>
      <c r="AN498" s="539"/>
      <c r="AO498" s="539"/>
      <c r="AP498" s="539"/>
      <c r="AQ498" s="539"/>
      <c r="AR498" s="539"/>
      <c r="AS498" s="539">
        <v>0</v>
      </c>
      <c r="AT498" s="539"/>
      <c r="AU498" s="539"/>
      <c r="AV498" s="539">
        <v>0</v>
      </c>
      <c r="AW498" s="539"/>
      <c r="AX498" s="539"/>
      <c r="AY498" s="539"/>
      <c r="AZ498" s="539"/>
      <c r="BA498" s="539"/>
      <c r="BB498" s="539"/>
      <c r="BC498" s="539"/>
      <c r="BD498" s="539"/>
      <c r="BE498" s="539">
        <v>0</v>
      </c>
      <c r="BF498" s="539"/>
      <c r="BG498" s="539"/>
      <c r="BH498" s="539">
        <v>0</v>
      </c>
      <c r="BI498" s="541"/>
      <c r="BJ498" s="541"/>
      <c r="BK498" s="542">
        <v>25000000</v>
      </c>
      <c r="BL498" s="542">
        <v>12000000</v>
      </c>
      <c r="BM498" s="542">
        <v>2000000</v>
      </c>
      <c r="BN498" s="542"/>
      <c r="BO498" s="542"/>
      <c r="BP498" s="542"/>
      <c r="BQ498" s="539">
        <v>0</v>
      </c>
      <c r="BR498" s="541"/>
      <c r="BS498" s="541"/>
      <c r="BT498" s="541"/>
      <c r="BU498" s="541"/>
      <c r="BV498" s="541"/>
      <c r="BW498" s="541"/>
      <c r="BX498" s="541"/>
      <c r="BY498" s="541"/>
      <c r="BZ498" s="539">
        <f t="shared" ref="BZ498:BZ500" si="446">R498+U498+X498+AA498+AD498+AG498+AJ498+AM498+AP498+AS498+AV498+AY498+BB498+BE498+BH498+BK498+BN498+BQ498+BT498+BW498</f>
        <v>25000000</v>
      </c>
      <c r="CA498" s="539">
        <f t="shared" ref="CA498:CA500" si="447">S498+V498+Y498+AB498+AE498+AH498+AK498+AN498+AQ498+AT498+AW498+AZ498+BC498+BF498+BI498+BL498+BO498+BR498+BU498+BX498</f>
        <v>12000000</v>
      </c>
      <c r="CB498" s="539">
        <f t="shared" ref="CB498:CB500" si="448">T498+W498+Z498+AC498+AF498+AI498+AL498+AO498+AR498+AU498+AX498+BA498+BD498+BG498+BJ498+BM498+BP498+BS498+BV498+BY498</f>
        <v>2000000</v>
      </c>
    </row>
    <row r="499" spans="1:80" s="11" customFormat="1" ht="94.5" customHeight="1" x14ac:dyDescent="0.2">
      <c r="A499" s="54"/>
      <c r="B499" s="393"/>
      <c r="C499" s="55">
        <v>31</v>
      </c>
      <c r="D499" s="56" t="s">
        <v>600</v>
      </c>
      <c r="E499" s="331">
        <v>0.249</v>
      </c>
      <c r="F499" s="400">
        <v>0.2</v>
      </c>
      <c r="G499" s="64"/>
      <c r="H499" s="57">
        <v>188</v>
      </c>
      <c r="I499" s="56" t="s">
        <v>601</v>
      </c>
      <c r="J499" s="65" t="s">
        <v>42</v>
      </c>
      <c r="K499" s="237">
        <v>2</v>
      </c>
      <c r="L499" s="237">
        <v>1</v>
      </c>
      <c r="M499" s="851"/>
      <c r="N499" s="887"/>
      <c r="O499" s="857"/>
      <c r="P499" s="854"/>
      <c r="Q499" s="57" t="s">
        <v>51</v>
      </c>
      <c r="R499" s="539">
        <v>0</v>
      </c>
      <c r="S499" s="539"/>
      <c r="T499" s="539"/>
      <c r="U499" s="539">
        <v>0</v>
      </c>
      <c r="V499" s="539"/>
      <c r="W499" s="539"/>
      <c r="X499" s="539">
        <v>0</v>
      </c>
      <c r="Y499" s="539"/>
      <c r="Z499" s="539"/>
      <c r="AA499" s="539">
        <v>0</v>
      </c>
      <c r="AB499" s="539"/>
      <c r="AC499" s="539"/>
      <c r="AD499" s="539">
        <v>0</v>
      </c>
      <c r="AE499" s="539"/>
      <c r="AF499" s="539"/>
      <c r="AG499" s="539">
        <v>0</v>
      </c>
      <c r="AH499" s="539"/>
      <c r="AI499" s="539"/>
      <c r="AJ499" s="539">
        <v>0</v>
      </c>
      <c r="AK499" s="539"/>
      <c r="AL499" s="539"/>
      <c r="AM499" s="539"/>
      <c r="AN499" s="539"/>
      <c r="AO499" s="539"/>
      <c r="AP499" s="539"/>
      <c r="AQ499" s="539"/>
      <c r="AR499" s="539"/>
      <c r="AS499" s="539">
        <v>0</v>
      </c>
      <c r="AT499" s="539"/>
      <c r="AU499" s="539"/>
      <c r="AV499" s="539">
        <v>0</v>
      </c>
      <c r="AW499" s="539"/>
      <c r="AX499" s="539"/>
      <c r="AY499" s="539"/>
      <c r="AZ499" s="539"/>
      <c r="BA499" s="539"/>
      <c r="BB499" s="539"/>
      <c r="BC499" s="539"/>
      <c r="BD499" s="539"/>
      <c r="BE499" s="539">
        <v>0</v>
      </c>
      <c r="BF499" s="539"/>
      <c r="BG499" s="539"/>
      <c r="BH499" s="539">
        <v>0</v>
      </c>
      <c r="BI499" s="541"/>
      <c r="BJ499" s="541"/>
      <c r="BK499" s="542">
        <f>38000000</f>
        <v>38000000</v>
      </c>
      <c r="BL499" s="542">
        <v>20880000</v>
      </c>
      <c r="BM499" s="542">
        <v>5480000</v>
      </c>
      <c r="BN499" s="542"/>
      <c r="BO499" s="542"/>
      <c r="BP499" s="542"/>
      <c r="BQ499" s="539">
        <v>0</v>
      </c>
      <c r="BR499" s="541"/>
      <c r="BS499" s="541"/>
      <c r="BT499" s="541"/>
      <c r="BU499" s="541"/>
      <c r="BV499" s="541"/>
      <c r="BW499" s="541"/>
      <c r="BX499" s="541"/>
      <c r="BY499" s="541"/>
      <c r="BZ499" s="539">
        <f t="shared" si="446"/>
        <v>38000000</v>
      </c>
      <c r="CA499" s="539">
        <f t="shared" si="447"/>
        <v>20880000</v>
      </c>
      <c r="CB499" s="539">
        <f t="shared" si="448"/>
        <v>5480000</v>
      </c>
    </row>
    <row r="500" spans="1:80" s="11" customFormat="1" ht="96" customHeight="1" x14ac:dyDescent="0.2">
      <c r="A500" s="54"/>
      <c r="B500" s="393"/>
      <c r="C500" s="508">
        <v>32</v>
      </c>
      <c r="D500" s="516" t="s">
        <v>948</v>
      </c>
      <c r="E500" s="508" t="s">
        <v>602</v>
      </c>
      <c r="F500" s="508" t="s">
        <v>603</v>
      </c>
      <c r="G500" s="64"/>
      <c r="H500" s="57">
        <v>189</v>
      </c>
      <c r="I500" s="56" t="s">
        <v>604</v>
      </c>
      <c r="J500" s="65" t="s">
        <v>42</v>
      </c>
      <c r="K500" s="237">
        <v>1</v>
      </c>
      <c r="L500" s="493">
        <v>0.3</v>
      </c>
      <c r="M500" s="852"/>
      <c r="N500" s="919"/>
      <c r="O500" s="858"/>
      <c r="P500" s="855"/>
      <c r="Q500" s="57" t="s">
        <v>51</v>
      </c>
      <c r="R500" s="539">
        <v>0</v>
      </c>
      <c r="S500" s="539"/>
      <c r="T500" s="539"/>
      <c r="U500" s="539">
        <v>0</v>
      </c>
      <c r="V500" s="539"/>
      <c r="W500" s="539"/>
      <c r="X500" s="539">
        <v>0</v>
      </c>
      <c r="Y500" s="539"/>
      <c r="Z500" s="539"/>
      <c r="AA500" s="539">
        <v>0</v>
      </c>
      <c r="AB500" s="539"/>
      <c r="AC500" s="539"/>
      <c r="AD500" s="539">
        <v>0</v>
      </c>
      <c r="AE500" s="539"/>
      <c r="AF500" s="539"/>
      <c r="AG500" s="539">
        <v>0</v>
      </c>
      <c r="AH500" s="539"/>
      <c r="AI500" s="539"/>
      <c r="AJ500" s="539">
        <v>0</v>
      </c>
      <c r="AK500" s="539"/>
      <c r="AL500" s="539"/>
      <c r="AM500" s="539"/>
      <c r="AN500" s="539"/>
      <c r="AO500" s="539"/>
      <c r="AP500" s="539"/>
      <c r="AQ500" s="539"/>
      <c r="AR500" s="539"/>
      <c r="AS500" s="539">
        <v>0</v>
      </c>
      <c r="AT500" s="539"/>
      <c r="AU500" s="539"/>
      <c r="AV500" s="539">
        <v>0</v>
      </c>
      <c r="AW500" s="539"/>
      <c r="AX500" s="539"/>
      <c r="AY500" s="539"/>
      <c r="AZ500" s="539"/>
      <c r="BA500" s="539"/>
      <c r="BB500" s="539"/>
      <c r="BC500" s="539"/>
      <c r="BD500" s="539"/>
      <c r="BE500" s="539">
        <v>0</v>
      </c>
      <c r="BF500" s="539"/>
      <c r="BG500" s="539"/>
      <c r="BH500" s="539">
        <v>0</v>
      </c>
      <c r="BI500" s="541"/>
      <c r="BJ500" s="541"/>
      <c r="BK500" s="542">
        <f>38000000</f>
        <v>38000000</v>
      </c>
      <c r="BL500" s="542"/>
      <c r="BM500" s="542"/>
      <c r="BN500" s="542"/>
      <c r="BO500" s="542"/>
      <c r="BP500" s="542"/>
      <c r="BQ500" s="539">
        <v>0</v>
      </c>
      <c r="BR500" s="541"/>
      <c r="BS500" s="541"/>
      <c r="BT500" s="541"/>
      <c r="BU500" s="541"/>
      <c r="BV500" s="541"/>
      <c r="BW500" s="541"/>
      <c r="BX500" s="541"/>
      <c r="BY500" s="541"/>
      <c r="BZ500" s="539">
        <f t="shared" si="446"/>
        <v>38000000</v>
      </c>
      <c r="CA500" s="539">
        <f t="shared" si="447"/>
        <v>0</v>
      </c>
      <c r="CB500" s="539">
        <f t="shared" si="448"/>
        <v>0</v>
      </c>
    </row>
    <row r="501" spans="1:80" s="459" customFormat="1" ht="15.75" x14ac:dyDescent="0.2">
      <c r="A501" s="54"/>
      <c r="B501" s="394"/>
      <c r="C501" s="703"/>
      <c r="D501" s="209"/>
      <c r="E501" s="259"/>
      <c r="F501" s="259"/>
      <c r="G501" s="77"/>
      <c r="H501" s="78"/>
      <c r="I501" s="77"/>
      <c r="J501" s="239"/>
      <c r="K501" s="246"/>
      <c r="L501" s="246"/>
      <c r="M501" s="246"/>
      <c r="N501" s="239"/>
      <c r="O501" s="78"/>
      <c r="P501" s="77"/>
      <c r="Q501" s="78"/>
      <c r="R501" s="548">
        <f t="shared" ref="R501:BZ501" si="449">SUM(R498:R500)</f>
        <v>0</v>
      </c>
      <c r="S501" s="548">
        <f t="shared" si="449"/>
        <v>0</v>
      </c>
      <c r="T501" s="548">
        <f t="shared" si="449"/>
        <v>0</v>
      </c>
      <c r="U501" s="548">
        <f t="shared" si="449"/>
        <v>0</v>
      </c>
      <c r="V501" s="548">
        <f t="shared" si="449"/>
        <v>0</v>
      </c>
      <c r="W501" s="548">
        <f t="shared" si="449"/>
        <v>0</v>
      </c>
      <c r="X501" s="548">
        <f t="shared" si="449"/>
        <v>0</v>
      </c>
      <c r="Y501" s="548">
        <f t="shared" si="449"/>
        <v>0</v>
      </c>
      <c r="Z501" s="548">
        <f t="shared" si="449"/>
        <v>0</v>
      </c>
      <c r="AA501" s="548">
        <f t="shared" si="449"/>
        <v>0</v>
      </c>
      <c r="AB501" s="548">
        <f t="shared" si="449"/>
        <v>0</v>
      </c>
      <c r="AC501" s="548">
        <f t="shared" si="449"/>
        <v>0</v>
      </c>
      <c r="AD501" s="548">
        <f t="shared" si="449"/>
        <v>0</v>
      </c>
      <c r="AE501" s="548">
        <f t="shared" si="449"/>
        <v>0</v>
      </c>
      <c r="AF501" s="548">
        <f t="shared" si="449"/>
        <v>0</v>
      </c>
      <c r="AG501" s="548">
        <f t="shared" si="449"/>
        <v>0</v>
      </c>
      <c r="AH501" s="548">
        <f t="shared" si="449"/>
        <v>0</v>
      </c>
      <c r="AI501" s="548">
        <f t="shared" si="449"/>
        <v>0</v>
      </c>
      <c r="AJ501" s="548">
        <f t="shared" si="449"/>
        <v>0</v>
      </c>
      <c r="AK501" s="548">
        <f t="shared" si="449"/>
        <v>0</v>
      </c>
      <c r="AL501" s="548">
        <f t="shared" si="449"/>
        <v>0</v>
      </c>
      <c r="AM501" s="548">
        <f t="shared" si="449"/>
        <v>0</v>
      </c>
      <c r="AN501" s="548">
        <f t="shared" si="449"/>
        <v>0</v>
      </c>
      <c r="AO501" s="548">
        <f t="shared" si="449"/>
        <v>0</v>
      </c>
      <c r="AP501" s="548">
        <f t="shared" si="449"/>
        <v>0</v>
      </c>
      <c r="AQ501" s="548">
        <f t="shared" si="449"/>
        <v>0</v>
      </c>
      <c r="AR501" s="548">
        <f t="shared" si="449"/>
        <v>0</v>
      </c>
      <c r="AS501" s="548">
        <f t="shared" si="449"/>
        <v>0</v>
      </c>
      <c r="AT501" s="548">
        <f t="shared" si="449"/>
        <v>0</v>
      </c>
      <c r="AU501" s="548">
        <f t="shared" si="449"/>
        <v>0</v>
      </c>
      <c r="AV501" s="548">
        <f t="shared" si="449"/>
        <v>0</v>
      </c>
      <c r="AW501" s="548">
        <f t="shared" si="449"/>
        <v>0</v>
      </c>
      <c r="AX501" s="548">
        <f t="shared" si="449"/>
        <v>0</v>
      </c>
      <c r="AY501" s="548">
        <f t="shared" si="449"/>
        <v>0</v>
      </c>
      <c r="AZ501" s="548">
        <f t="shared" si="449"/>
        <v>0</v>
      </c>
      <c r="BA501" s="548">
        <f t="shared" si="449"/>
        <v>0</v>
      </c>
      <c r="BB501" s="548">
        <f t="shared" si="449"/>
        <v>0</v>
      </c>
      <c r="BC501" s="548">
        <f t="shared" si="449"/>
        <v>0</v>
      </c>
      <c r="BD501" s="548">
        <f t="shared" si="449"/>
        <v>0</v>
      </c>
      <c r="BE501" s="548">
        <f t="shared" si="449"/>
        <v>0</v>
      </c>
      <c r="BF501" s="548">
        <f t="shared" si="449"/>
        <v>0</v>
      </c>
      <c r="BG501" s="548">
        <f t="shared" si="449"/>
        <v>0</v>
      </c>
      <c r="BH501" s="548">
        <f t="shared" si="449"/>
        <v>0</v>
      </c>
      <c r="BI501" s="548">
        <f t="shared" si="449"/>
        <v>0</v>
      </c>
      <c r="BJ501" s="548">
        <f t="shared" si="449"/>
        <v>0</v>
      </c>
      <c r="BK501" s="548">
        <f t="shared" si="449"/>
        <v>101000000</v>
      </c>
      <c r="BL501" s="548">
        <f t="shared" si="449"/>
        <v>32880000</v>
      </c>
      <c r="BM501" s="548">
        <f t="shared" si="449"/>
        <v>7480000</v>
      </c>
      <c r="BN501" s="548">
        <f t="shared" si="449"/>
        <v>0</v>
      </c>
      <c r="BO501" s="548">
        <f t="shared" si="449"/>
        <v>0</v>
      </c>
      <c r="BP501" s="548">
        <f t="shared" si="449"/>
        <v>0</v>
      </c>
      <c r="BQ501" s="548">
        <f t="shared" si="449"/>
        <v>0</v>
      </c>
      <c r="BR501" s="548">
        <f t="shared" si="449"/>
        <v>0</v>
      </c>
      <c r="BS501" s="548">
        <f t="shared" si="449"/>
        <v>0</v>
      </c>
      <c r="BT501" s="548">
        <f t="shared" si="449"/>
        <v>0</v>
      </c>
      <c r="BU501" s="548">
        <f t="shared" si="449"/>
        <v>0</v>
      </c>
      <c r="BV501" s="548">
        <f t="shared" si="449"/>
        <v>0</v>
      </c>
      <c r="BW501" s="548">
        <f t="shared" si="449"/>
        <v>0</v>
      </c>
      <c r="BX501" s="548">
        <f t="shared" si="449"/>
        <v>0</v>
      </c>
      <c r="BY501" s="548">
        <f t="shared" si="449"/>
        <v>0</v>
      </c>
      <c r="BZ501" s="548">
        <f t="shared" si="449"/>
        <v>101000000</v>
      </c>
      <c r="CA501" s="548">
        <f t="shared" ref="CA501:CB501" si="450">SUM(CA498:CA500)</f>
        <v>32880000</v>
      </c>
      <c r="CB501" s="548">
        <f t="shared" si="450"/>
        <v>7480000</v>
      </c>
    </row>
    <row r="502" spans="1:80" s="459" customFormat="1" ht="15.75" x14ac:dyDescent="0.2">
      <c r="A502" s="54"/>
      <c r="B502" s="394"/>
      <c r="C502" s="395"/>
      <c r="D502" s="360"/>
      <c r="E502" s="395"/>
      <c r="F502" s="395"/>
      <c r="G502" s="360"/>
      <c r="H502" s="395"/>
      <c r="I502" s="360"/>
      <c r="J502" s="396"/>
      <c r="K502" s="397"/>
      <c r="L502" s="397"/>
      <c r="M502" s="397"/>
      <c r="N502" s="396"/>
      <c r="O502" s="395"/>
      <c r="P502" s="360"/>
      <c r="Q502" s="395"/>
      <c r="R502" s="570"/>
      <c r="S502" s="570"/>
      <c r="T502" s="570"/>
      <c r="U502" s="571"/>
      <c r="V502" s="571"/>
      <c r="W502" s="571"/>
      <c r="X502" s="570"/>
      <c r="Y502" s="570"/>
      <c r="Z502" s="570"/>
      <c r="AA502" s="570"/>
      <c r="AB502" s="570"/>
      <c r="AC502" s="570"/>
      <c r="AD502" s="570"/>
      <c r="AE502" s="570"/>
      <c r="AF502" s="570"/>
      <c r="AG502" s="570"/>
      <c r="AH502" s="570"/>
      <c r="AI502" s="570"/>
      <c r="AJ502" s="570"/>
      <c r="AK502" s="570"/>
      <c r="AL502" s="570"/>
      <c r="AM502" s="570"/>
      <c r="AN502" s="570"/>
      <c r="AO502" s="570"/>
      <c r="AP502" s="570"/>
      <c r="AQ502" s="570"/>
      <c r="AR502" s="570"/>
      <c r="AS502" s="570"/>
      <c r="AT502" s="570"/>
      <c r="AU502" s="570"/>
      <c r="AV502" s="570"/>
      <c r="AW502" s="570"/>
      <c r="AX502" s="570"/>
      <c r="AY502" s="570"/>
      <c r="AZ502" s="570"/>
      <c r="BA502" s="570"/>
      <c r="BB502" s="570"/>
      <c r="BC502" s="570"/>
      <c r="BD502" s="570"/>
      <c r="BE502" s="570"/>
      <c r="BF502" s="570"/>
      <c r="BG502" s="570"/>
      <c r="BH502" s="570"/>
      <c r="BI502" s="570"/>
      <c r="BJ502" s="570"/>
      <c r="BK502" s="545"/>
      <c r="BL502" s="591"/>
      <c r="BM502" s="591"/>
      <c r="BN502" s="592"/>
      <c r="BO502" s="592"/>
      <c r="BP502" s="592"/>
      <c r="BQ502" s="570"/>
      <c r="BR502" s="570"/>
      <c r="BS502" s="570"/>
      <c r="BT502" s="570"/>
      <c r="BU502" s="570"/>
      <c r="BV502" s="570"/>
      <c r="BW502" s="570"/>
      <c r="BX502" s="570"/>
      <c r="BY502" s="570"/>
      <c r="BZ502" s="844"/>
      <c r="CA502" s="844"/>
      <c r="CB502" s="844"/>
    </row>
    <row r="503" spans="1:80" s="459" customFormat="1" ht="15.75" x14ac:dyDescent="0.2">
      <c r="A503" s="54"/>
      <c r="B503" s="394"/>
      <c r="C503" s="704"/>
      <c r="D503" s="229"/>
      <c r="E503" s="230"/>
      <c r="F503" s="230"/>
      <c r="G503" s="98">
        <v>61</v>
      </c>
      <c r="H503" s="100" t="s">
        <v>605</v>
      </c>
      <c r="I503" s="100"/>
      <c r="J503" s="100"/>
      <c r="K503" s="186"/>
      <c r="L503" s="186"/>
      <c r="M503" s="186"/>
      <c r="N503" s="100"/>
      <c r="O503" s="212"/>
      <c r="P503" s="100"/>
      <c r="Q503" s="100"/>
      <c r="R503" s="336"/>
      <c r="S503" s="336"/>
      <c r="T503" s="336"/>
      <c r="U503" s="336"/>
      <c r="V503" s="336"/>
      <c r="W503" s="336"/>
      <c r="X503" s="336"/>
      <c r="Y503" s="336"/>
      <c r="Z503" s="336"/>
      <c r="AA503" s="336"/>
      <c r="AB503" s="336"/>
      <c r="AC503" s="336"/>
      <c r="AD503" s="336"/>
      <c r="AE503" s="336"/>
      <c r="AF503" s="336"/>
      <c r="AG503" s="336"/>
      <c r="AH503" s="336"/>
      <c r="AI503" s="336"/>
      <c r="AJ503" s="336"/>
      <c r="AK503" s="336"/>
      <c r="AL503" s="336"/>
      <c r="AM503" s="336"/>
      <c r="AN503" s="336"/>
      <c r="AO503" s="336"/>
      <c r="AP503" s="336"/>
      <c r="AQ503" s="336"/>
      <c r="AR503" s="336"/>
      <c r="AS503" s="336"/>
      <c r="AT503" s="336"/>
      <c r="AU503" s="336"/>
      <c r="AV503" s="336"/>
      <c r="AW503" s="336"/>
      <c r="AX503" s="336"/>
      <c r="AY503" s="336"/>
      <c r="AZ503" s="336"/>
      <c r="BA503" s="336"/>
      <c r="BB503" s="336"/>
      <c r="BC503" s="336"/>
      <c r="BD503" s="336"/>
      <c r="BE503" s="336"/>
      <c r="BF503" s="336"/>
      <c r="BG503" s="336"/>
      <c r="BH503" s="336"/>
      <c r="BI503" s="336"/>
      <c r="BJ503" s="336"/>
      <c r="BK503" s="552"/>
      <c r="BL503" s="552"/>
      <c r="BM503" s="552"/>
      <c r="BN503" s="336"/>
      <c r="BO503" s="336"/>
      <c r="BP503" s="336"/>
      <c r="BQ503" s="336"/>
      <c r="BR503" s="336"/>
      <c r="BS503" s="336"/>
      <c r="BT503" s="336"/>
      <c r="BU503" s="336"/>
      <c r="BV503" s="336"/>
      <c r="BW503" s="336"/>
      <c r="BX503" s="336"/>
      <c r="BY503" s="336"/>
      <c r="BZ503" s="338"/>
      <c r="CA503" s="338"/>
      <c r="CB503" s="338"/>
    </row>
    <row r="504" spans="1:80" s="11" customFormat="1" ht="98.25" customHeight="1" x14ac:dyDescent="0.2">
      <c r="A504" s="54"/>
      <c r="B504" s="393"/>
      <c r="C504" s="509">
        <v>34</v>
      </c>
      <c r="D504" s="517" t="s">
        <v>606</v>
      </c>
      <c r="E504" s="509" t="s">
        <v>42</v>
      </c>
      <c r="F504" s="509">
        <v>40</v>
      </c>
      <c r="G504" s="58"/>
      <c r="H504" s="57">
        <v>190</v>
      </c>
      <c r="I504" s="56" t="s">
        <v>607</v>
      </c>
      <c r="J504" s="131">
        <v>1</v>
      </c>
      <c r="K504" s="207">
        <v>1</v>
      </c>
      <c r="L504" s="489">
        <v>0.3</v>
      </c>
      <c r="M504" s="61">
        <v>201700360057</v>
      </c>
      <c r="N504" s="56" t="s">
        <v>573</v>
      </c>
      <c r="O504" s="498" t="s">
        <v>608</v>
      </c>
      <c r="P504" s="56" t="s">
        <v>609</v>
      </c>
      <c r="Q504" s="57" t="s">
        <v>51</v>
      </c>
      <c r="R504" s="539"/>
      <c r="S504" s="539"/>
      <c r="T504" s="539"/>
      <c r="U504" s="539"/>
      <c r="V504" s="539"/>
      <c r="W504" s="539"/>
      <c r="X504" s="539"/>
      <c r="Y504" s="539"/>
      <c r="Z504" s="539"/>
      <c r="AA504" s="539"/>
      <c r="AB504" s="539"/>
      <c r="AC504" s="539"/>
      <c r="AD504" s="539"/>
      <c r="AE504" s="539"/>
      <c r="AF504" s="539"/>
      <c r="AG504" s="539"/>
      <c r="AH504" s="539"/>
      <c r="AI504" s="539"/>
      <c r="AJ504" s="539"/>
      <c r="AK504" s="539"/>
      <c r="AL504" s="539"/>
      <c r="AM504" s="539"/>
      <c r="AN504" s="539"/>
      <c r="AO504" s="539"/>
      <c r="AP504" s="539"/>
      <c r="AQ504" s="539"/>
      <c r="AR504" s="539"/>
      <c r="AS504" s="539"/>
      <c r="AT504" s="539"/>
      <c r="AU504" s="539"/>
      <c r="AV504" s="539"/>
      <c r="AW504" s="539"/>
      <c r="AX504" s="539"/>
      <c r="AY504" s="539"/>
      <c r="AZ504" s="539"/>
      <c r="BA504" s="539"/>
      <c r="BB504" s="539"/>
      <c r="BC504" s="539"/>
      <c r="BD504" s="539"/>
      <c r="BE504" s="539"/>
      <c r="BF504" s="539"/>
      <c r="BG504" s="539"/>
      <c r="BH504" s="539"/>
      <c r="BI504" s="539"/>
      <c r="BJ504" s="539"/>
      <c r="BK504" s="540">
        <f>137000000+28810224+24189776</f>
        <v>190000000</v>
      </c>
      <c r="BL504" s="540">
        <v>59580000</v>
      </c>
      <c r="BM504" s="540">
        <v>8450000</v>
      </c>
      <c r="BN504" s="540"/>
      <c r="BO504" s="540"/>
      <c r="BP504" s="540"/>
      <c r="BQ504" s="539"/>
      <c r="BR504" s="541"/>
      <c r="BS504" s="541"/>
      <c r="BT504" s="541"/>
      <c r="BU504" s="541"/>
      <c r="BV504" s="541"/>
      <c r="BW504" s="541"/>
      <c r="BX504" s="541"/>
      <c r="BY504" s="541"/>
      <c r="BZ504" s="539">
        <f>R504+U504+X504+AA504+AD504+AG504+AJ504+AM504+AP504+AS504+AV504+AY504+BB504+BE504+BH504+BK504+BN504+BQ504+BT504+BW504</f>
        <v>190000000</v>
      </c>
      <c r="CA504" s="539">
        <f t="shared" ref="CA504" si="451">S504+V504+Y504+AB504+AE504+AH504+AK504+AN504+AQ504+AT504+AW504+AZ504+BC504+BF504+BI504+BL504+BO504+BR504+BU504+BX504</f>
        <v>59580000</v>
      </c>
      <c r="CB504" s="539">
        <f t="shared" ref="CB504" si="452">T504+W504+Z504+AC504+AF504+AI504+AL504+AO504+AR504+AU504+AX504+BA504+BD504+BG504+BJ504+BM504+BP504+BS504+BV504+BY504</f>
        <v>8450000</v>
      </c>
    </row>
    <row r="505" spans="1:80" s="459" customFormat="1" ht="15.75" x14ac:dyDescent="0.2">
      <c r="A505" s="54"/>
      <c r="B505" s="399"/>
      <c r="C505" s="703"/>
      <c r="D505" s="209"/>
      <c r="E505" s="259"/>
      <c r="F505" s="259"/>
      <c r="G505" s="77"/>
      <c r="H505" s="78"/>
      <c r="I505" s="77"/>
      <c r="J505" s="164"/>
      <c r="K505" s="240"/>
      <c r="L505" s="240"/>
      <c r="M505" s="240"/>
      <c r="N505" s="164"/>
      <c r="O505" s="78"/>
      <c r="P505" s="77"/>
      <c r="Q505" s="78"/>
      <c r="R505" s="621">
        <f t="shared" ref="R505:BY505" si="453">SUM(R504:R504)</f>
        <v>0</v>
      </c>
      <c r="S505" s="621">
        <f t="shared" si="453"/>
        <v>0</v>
      </c>
      <c r="T505" s="621">
        <f t="shared" si="453"/>
        <v>0</v>
      </c>
      <c r="U505" s="621">
        <f t="shared" si="453"/>
        <v>0</v>
      </c>
      <c r="V505" s="621">
        <f t="shared" si="453"/>
        <v>0</v>
      </c>
      <c r="W505" s="621">
        <f t="shared" si="453"/>
        <v>0</v>
      </c>
      <c r="X505" s="621">
        <f t="shared" si="453"/>
        <v>0</v>
      </c>
      <c r="Y505" s="621">
        <f t="shared" si="453"/>
        <v>0</v>
      </c>
      <c r="Z505" s="621">
        <f t="shared" si="453"/>
        <v>0</v>
      </c>
      <c r="AA505" s="621">
        <f t="shared" si="453"/>
        <v>0</v>
      </c>
      <c r="AB505" s="621">
        <f t="shared" si="453"/>
        <v>0</v>
      </c>
      <c r="AC505" s="621">
        <f t="shared" si="453"/>
        <v>0</v>
      </c>
      <c r="AD505" s="621">
        <f t="shared" si="453"/>
        <v>0</v>
      </c>
      <c r="AE505" s="621">
        <f t="shared" si="453"/>
        <v>0</v>
      </c>
      <c r="AF505" s="621">
        <f t="shared" si="453"/>
        <v>0</v>
      </c>
      <c r="AG505" s="621">
        <f t="shared" si="453"/>
        <v>0</v>
      </c>
      <c r="AH505" s="621">
        <f t="shared" si="453"/>
        <v>0</v>
      </c>
      <c r="AI505" s="621">
        <f t="shared" si="453"/>
        <v>0</v>
      </c>
      <c r="AJ505" s="621">
        <f t="shared" si="453"/>
        <v>0</v>
      </c>
      <c r="AK505" s="621">
        <f t="shared" si="453"/>
        <v>0</v>
      </c>
      <c r="AL505" s="621">
        <f t="shared" si="453"/>
        <v>0</v>
      </c>
      <c r="AM505" s="621">
        <f t="shared" si="453"/>
        <v>0</v>
      </c>
      <c r="AN505" s="621">
        <f t="shared" si="453"/>
        <v>0</v>
      </c>
      <c r="AO505" s="621">
        <f t="shared" si="453"/>
        <v>0</v>
      </c>
      <c r="AP505" s="621">
        <f t="shared" si="453"/>
        <v>0</v>
      </c>
      <c r="AQ505" s="621">
        <f t="shared" si="453"/>
        <v>0</v>
      </c>
      <c r="AR505" s="621">
        <f t="shared" si="453"/>
        <v>0</v>
      </c>
      <c r="AS505" s="621">
        <f t="shared" si="453"/>
        <v>0</v>
      </c>
      <c r="AT505" s="621">
        <f t="shared" si="453"/>
        <v>0</v>
      </c>
      <c r="AU505" s="621">
        <f t="shared" si="453"/>
        <v>0</v>
      </c>
      <c r="AV505" s="621">
        <f t="shared" si="453"/>
        <v>0</v>
      </c>
      <c r="AW505" s="621">
        <f t="shared" si="453"/>
        <v>0</v>
      </c>
      <c r="AX505" s="621">
        <f t="shared" si="453"/>
        <v>0</v>
      </c>
      <c r="AY505" s="621">
        <f t="shared" si="453"/>
        <v>0</v>
      </c>
      <c r="AZ505" s="621">
        <f t="shared" si="453"/>
        <v>0</v>
      </c>
      <c r="BA505" s="621">
        <f t="shared" si="453"/>
        <v>0</v>
      </c>
      <c r="BB505" s="621">
        <f t="shared" si="453"/>
        <v>0</v>
      </c>
      <c r="BC505" s="621">
        <f t="shared" si="453"/>
        <v>0</v>
      </c>
      <c r="BD505" s="621">
        <f t="shared" si="453"/>
        <v>0</v>
      </c>
      <c r="BE505" s="621">
        <f t="shared" si="453"/>
        <v>0</v>
      </c>
      <c r="BF505" s="621">
        <f t="shared" si="453"/>
        <v>0</v>
      </c>
      <c r="BG505" s="621">
        <f t="shared" si="453"/>
        <v>0</v>
      </c>
      <c r="BH505" s="621">
        <f t="shared" si="453"/>
        <v>0</v>
      </c>
      <c r="BI505" s="621">
        <f t="shared" si="453"/>
        <v>0</v>
      </c>
      <c r="BJ505" s="621">
        <f t="shared" si="453"/>
        <v>0</v>
      </c>
      <c r="BK505" s="621">
        <f t="shared" si="453"/>
        <v>190000000</v>
      </c>
      <c r="BL505" s="621">
        <f t="shared" si="453"/>
        <v>59580000</v>
      </c>
      <c r="BM505" s="621">
        <f t="shared" si="453"/>
        <v>8450000</v>
      </c>
      <c r="BN505" s="621">
        <f t="shared" si="453"/>
        <v>0</v>
      </c>
      <c r="BO505" s="621">
        <f t="shared" si="453"/>
        <v>0</v>
      </c>
      <c r="BP505" s="621">
        <f t="shared" si="453"/>
        <v>0</v>
      </c>
      <c r="BQ505" s="621">
        <f t="shared" si="453"/>
        <v>0</v>
      </c>
      <c r="BR505" s="621">
        <f t="shared" si="453"/>
        <v>0</v>
      </c>
      <c r="BS505" s="621">
        <f t="shared" si="453"/>
        <v>0</v>
      </c>
      <c r="BT505" s="621">
        <f t="shared" si="453"/>
        <v>0</v>
      </c>
      <c r="BU505" s="621">
        <f t="shared" si="453"/>
        <v>0</v>
      </c>
      <c r="BV505" s="621">
        <f t="shared" si="453"/>
        <v>0</v>
      </c>
      <c r="BW505" s="621">
        <f t="shared" si="453"/>
        <v>0</v>
      </c>
      <c r="BX505" s="621">
        <f t="shared" si="453"/>
        <v>0</v>
      </c>
      <c r="BY505" s="621">
        <f t="shared" si="453"/>
        <v>0</v>
      </c>
      <c r="BZ505" s="621">
        <f t="shared" ref="BZ505" si="454">SUM(BZ504:BZ504)</f>
        <v>190000000</v>
      </c>
      <c r="CA505" s="621">
        <f t="shared" ref="CA505:CB505" si="455">SUM(CA504:CA504)</f>
        <v>59580000</v>
      </c>
      <c r="CB505" s="621">
        <f t="shared" si="455"/>
        <v>8450000</v>
      </c>
    </row>
    <row r="506" spans="1:80" s="459" customFormat="1" ht="15.75" x14ac:dyDescent="0.2">
      <c r="A506" s="54"/>
      <c r="B506" s="118"/>
      <c r="C506" s="82"/>
      <c r="D506" s="81"/>
      <c r="E506" s="82"/>
      <c r="F506" s="82"/>
      <c r="G506" s="81"/>
      <c r="H506" s="82"/>
      <c r="I506" s="81"/>
      <c r="J506" s="178"/>
      <c r="K506" s="261"/>
      <c r="L506" s="261"/>
      <c r="M506" s="261"/>
      <c r="N506" s="178"/>
      <c r="O506" s="82"/>
      <c r="P506" s="81"/>
      <c r="Q506" s="82"/>
      <c r="R506" s="622">
        <f t="shared" ref="R506:BY506" si="456">R505+R501+R495+R489</f>
        <v>0</v>
      </c>
      <c r="S506" s="622">
        <f t="shared" si="456"/>
        <v>0</v>
      </c>
      <c r="T506" s="622">
        <f t="shared" si="456"/>
        <v>0</v>
      </c>
      <c r="U506" s="622">
        <f t="shared" si="456"/>
        <v>0</v>
      </c>
      <c r="V506" s="622">
        <f t="shared" si="456"/>
        <v>0</v>
      </c>
      <c r="W506" s="622">
        <f t="shared" si="456"/>
        <v>0</v>
      </c>
      <c r="X506" s="622">
        <f t="shared" si="456"/>
        <v>0</v>
      </c>
      <c r="Y506" s="622">
        <f t="shared" si="456"/>
        <v>0</v>
      </c>
      <c r="Z506" s="622">
        <f t="shared" si="456"/>
        <v>0</v>
      </c>
      <c r="AA506" s="622">
        <f t="shared" si="456"/>
        <v>0</v>
      </c>
      <c r="AB506" s="622">
        <f t="shared" si="456"/>
        <v>0</v>
      </c>
      <c r="AC506" s="622">
        <f t="shared" si="456"/>
        <v>0</v>
      </c>
      <c r="AD506" s="622">
        <f t="shared" si="456"/>
        <v>0</v>
      </c>
      <c r="AE506" s="622">
        <f t="shared" si="456"/>
        <v>0</v>
      </c>
      <c r="AF506" s="622">
        <f t="shared" si="456"/>
        <v>0</v>
      </c>
      <c r="AG506" s="622">
        <f t="shared" si="456"/>
        <v>0</v>
      </c>
      <c r="AH506" s="622">
        <f t="shared" si="456"/>
        <v>0</v>
      </c>
      <c r="AI506" s="622">
        <f t="shared" si="456"/>
        <v>0</v>
      </c>
      <c r="AJ506" s="622">
        <f t="shared" si="456"/>
        <v>0</v>
      </c>
      <c r="AK506" s="622">
        <f t="shared" si="456"/>
        <v>0</v>
      </c>
      <c r="AL506" s="622">
        <f t="shared" si="456"/>
        <v>0</v>
      </c>
      <c r="AM506" s="622">
        <f t="shared" si="456"/>
        <v>0</v>
      </c>
      <c r="AN506" s="622">
        <f t="shared" si="456"/>
        <v>0</v>
      </c>
      <c r="AO506" s="622">
        <f t="shared" si="456"/>
        <v>0</v>
      </c>
      <c r="AP506" s="622">
        <f t="shared" si="456"/>
        <v>0</v>
      </c>
      <c r="AQ506" s="622">
        <f t="shared" si="456"/>
        <v>0</v>
      </c>
      <c r="AR506" s="622">
        <f t="shared" si="456"/>
        <v>0</v>
      </c>
      <c r="AS506" s="622">
        <f t="shared" si="456"/>
        <v>0</v>
      </c>
      <c r="AT506" s="622">
        <f t="shared" si="456"/>
        <v>0</v>
      </c>
      <c r="AU506" s="622">
        <f t="shared" si="456"/>
        <v>0</v>
      </c>
      <c r="AV506" s="622">
        <f t="shared" si="456"/>
        <v>0</v>
      </c>
      <c r="AW506" s="622">
        <f t="shared" si="456"/>
        <v>0</v>
      </c>
      <c r="AX506" s="622">
        <f t="shared" si="456"/>
        <v>0</v>
      </c>
      <c r="AY506" s="622">
        <f t="shared" si="456"/>
        <v>0</v>
      </c>
      <c r="AZ506" s="622">
        <f t="shared" si="456"/>
        <v>0</v>
      </c>
      <c r="BA506" s="622">
        <f t="shared" si="456"/>
        <v>0</v>
      </c>
      <c r="BB506" s="622">
        <f t="shared" si="456"/>
        <v>0</v>
      </c>
      <c r="BC506" s="622">
        <f t="shared" si="456"/>
        <v>0</v>
      </c>
      <c r="BD506" s="622">
        <f t="shared" si="456"/>
        <v>0</v>
      </c>
      <c r="BE506" s="622">
        <f t="shared" si="456"/>
        <v>0</v>
      </c>
      <c r="BF506" s="622">
        <f t="shared" si="456"/>
        <v>0</v>
      </c>
      <c r="BG506" s="622">
        <f t="shared" si="456"/>
        <v>0</v>
      </c>
      <c r="BH506" s="622">
        <f t="shared" si="456"/>
        <v>0</v>
      </c>
      <c r="BI506" s="622">
        <f t="shared" si="456"/>
        <v>0</v>
      </c>
      <c r="BJ506" s="622">
        <f t="shared" si="456"/>
        <v>0</v>
      </c>
      <c r="BK506" s="622">
        <f t="shared" si="456"/>
        <v>991000000</v>
      </c>
      <c r="BL506" s="622">
        <f t="shared" si="456"/>
        <v>198240000</v>
      </c>
      <c r="BM506" s="622">
        <f t="shared" si="456"/>
        <v>51190000</v>
      </c>
      <c r="BN506" s="622">
        <f t="shared" si="456"/>
        <v>0</v>
      </c>
      <c r="BO506" s="622">
        <f t="shared" si="456"/>
        <v>0</v>
      </c>
      <c r="BP506" s="622">
        <f t="shared" si="456"/>
        <v>0</v>
      </c>
      <c r="BQ506" s="622">
        <f t="shared" si="456"/>
        <v>0</v>
      </c>
      <c r="BR506" s="622">
        <f t="shared" si="456"/>
        <v>0</v>
      </c>
      <c r="BS506" s="622">
        <f t="shared" si="456"/>
        <v>0</v>
      </c>
      <c r="BT506" s="622">
        <f t="shared" si="456"/>
        <v>0</v>
      </c>
      <c r="BU506" s="622">
        <f t="shared" si="456"/>
        <v>0</v>
      </c>
      <c r="BV506" s="622">
        <f t="shared" si="456"/>
        <v>0</v>
      </c>
      <c r="BW506" s="622">
        <f t="shared" si="456"/>
        <v>0</v>
      </c>
      <c r="BX506" s="622">
        <f t="shared" si="456"/>
        <v>0</v>
      </c>
      <c r="BY506" s="622">
        <f t="shared" si="456"/>
        <v>0</v>
      </c>
      <c r="BZ506" s="622">
        <f t="shared" ref="BZ506" si="457">BZ505+BZ501+BZ495+BZ489</f>
        <v>991000000</v>
      </c>
      <c r="CA506" s="622">
        <f t="shared" ref="CA506:CB506" si="458">CA505+CA501+CA495+CA489</f>
        <v>198240000</v>
      </c>
      <c r="CB506" s="622">
        <f t="shared" si="458"/>
        <v>51190000</v>
      </c>
    </row>
    <row r="507" spans="1:80" s="11" customFormat="1" ht="15.75" x14ac:dyDescent="0.2">
      <c r="A507" s="54"/>
      <c r="B507" s="390"/>
      <c r="C507" s="391"/>
      <c r="D507" s="91"/>
      <c r="E507" s="92"/>
      <c r="F507" s="92"/>
      <c r="G507" s="91"/>
      <c r="H507" s="92"/>
      <c r="I507" s="91"/>
      <c r="J507" s="92"/>
      <c r="K507" s="245"/>
      <c r="L507" s="245"/>
      <c r="M507" s="245"/>
      <c r="N507" s="92"/>
      <c r="O507" s="500"/>
      <c r="P507" s="91"/>
      <c r="Q507" s="92"/>
      <c r="R507" s="543"/>
      <c r="S507" s="543"/>
      <c r="T507" s="543"/>
      <c r="U507" s="543"/>
      <c r="V507" s="543"/>
      <c r="W507" s="543"/>
      <c r="X507" s="543"/>
      <c r="Y507" s="543"/>
      <c r="Z507" s="543"/>
      <c r="AA507" s="543"/>
      <c r="AB507" s="543"/>
      <c r="AC507" s="543"/>
      <c r="AD507" s="543"/>
      <c r="AE507" s="543"/>
      <c r="AF507" s="543"/>
      <c r="AG507" s="543"/>
      <c r="AH507" s="543"/>
      <c r="AI507" s="543"/>
      <c r="AJ507" s="543"/>
      <c r="AK507" s="543"/>
      <c r="AL507" s="543"/>
      <c r="AM507" s="543"/>
      <c r="AN507" s="543"/>
      <c r="AO507" s="543"/>
      <c r="AP507" s="543"/>
      <c r="AQ507" s="543"/>
      <c r="AR507" s="543"/>
      <c r="AS507" s="543"/>
      <c r="AT507" s="543"/>
      <c r="AU507" s="543"/>
      <c r="AV507" s="543"/>
      <c r="AW507" s="543"/>
      <c r="AX507" s="543"/>
      <c r="AY507" s="544"/>
      <c r="AZ507" s="544"/>
      <c r="BA507" s="544"/>
      <c r="BB507" s="544"/>
      <c r="BC507" s="544"/>
      <c r="BD507" s="544"/>
      <c r="BE507" s="543"/>
      <c r="BF507" s="543"/>
      <c r="BG507" s="543"/>
      <c r="BH507" s="543"/>
      <c r="BI507" s="570"/>
      <c r="BJ507" s="570"/>
      <c r="BK507" s="630" t="s">
        <v>62</v>
      </c>
      <c r="BL507" s="630"/>
      <c r="BM507" s="630"/>
      <c r="BN507" s="546"/>
      <c r="BO507" s="546"/>
      <c r="BP507" s="546"/>
      <c r="BQ507" s="543"/>
      <c r="BR507" s="543"/>
      <c r="BS507" s="543"/>
      <c r="BT507" s="543"/>
      <c r="BU507" s="543"/>
      <c r="BV507" s="543"/>
      <c r="BW507" s="543"/>
      <c r="BX507" s="543"/>
      <c r="BY507" s="543"/>
      <c r="BZ507" s="547"/>
      <c r="CA507" s="547"/>
      <c r="CB507" s="547"/>
    </row>
    <row r="508" spans="1:80" s="11" customFormat="1" ht="15.75" x14ac:dyDescent="0.2">
      <c r="A508" s="54"/>
      <c r="B508" s="152">
        <v>18</v>
      </c>
      <c r="C508" s="49" t="s">
        <v>610</v>
      </c>
      <c r="D508" s="50"/>
      <c r="E508" s="50"/>
      <c r="F508" s="50"/>
      <c r="G508" s="50"/>
      <c r="H508" s="51"/>
      <c r="I508" s="50"/>
      <c r="J508" s="50"/>
      <c r="K508" s="252"/>
      <c r="L508" s="252"/>
      <c r="M508" s="252"/>
      <c r="N508" s="50"/>
      <c r="O508" s="51"/>
      <c r="P508" s="50"/>
      <c r="Q508" s="50"/>
      <c r="R508" s="550"/>
      <c r="S508" s="550"/>
      <c r="T508" s="550"/>
      <c r="U508" s="550"/>
      <c r="V508" s="550"/>
      <c r="W508" s="550"/>
      <c r="X508" s="550"/>
      <c r="Y508" s="550"/>
      <c r="Z508" s="550"/>
      <c r="AA508" s="550"/>
      <c r="AB508" s="550"/>
      <c r="AC508" s="550"/>
      <c r="AD508" s="550"/>
      <c r="AE508" s="550"/>
      <c r="AF508" s="550"/>
      <c r="AG508" s="550"/>
      <c r="AH508" s="550"/>
      <c r="AI508" s="550"/>
      <c r="AJ508" s="550"/>
      <c r="AK508" s="550"/>
      <c r="AL508" s="550"/>
      <c r="AM508" s="550"/>
      <c r="AN508" s="550"/>
      <c r="AO508" s="550"/>
      <c r="AP508" s="550"/>
      <c r="AQ508" s="550"/>
      <c r="AR508" s="550"/>
      <c r="AS508" s="550"/>
      <c r="AT508" s="550"/>
      <c r="AU508" s="550"/>
      <c r="AV508" s="550"/>
      <c r="AW508" s="550"/>
      <c r="AX508" s="550"/>
      <c r="AY508" s="550"/>
      <c r="AZ508" s="550"/>
      <c r="BA508" s="550"/>
      <c r="BB508" s="550"/>
      <c r="BC508" s="550"/>
      <c r="BD508" s="550"/>
      <c r="BE508" s="550"/>
      <c r="BF508" s="550"/>
      <c r="BG508" s="550"/>
      <c r="BH508" s="550"/>
      <c r="BI508" s="550"/>
      <c r="BJ508" s="550"/>
      <c r="BK508" s="551"/>
      <c r="BL508" s="551"/>
      <c r="BM508" s="551"/>
      <c r="BN508" s="550"/>
      <c r="BO508" s="550"/>
      <c r="BP508" s="550"/>
      <c r="BQ508" s="550"/>
      <c r="BR508" s="550"/>
      <c r="BS508" s="550"/>
      <c r="BT508" s="550"/>
      <c r="BU508" s="550"/>
      <c r="BV508" s="550"/>
      <c r="BW508" s="550"/>
      <c r="BX508" s="550"/>
      <c r="BY508" s="550"/>
      <c r="BZ508" s="555"/>
      <c r="CA508" s="555"/>
      <c r="CB508" s="555"/>
    </row>
    <row r="509" spans="1:80" s="11" customFormat="1" ht="15.75" x14ac:dyDescent="0.2">
      <c r="A509" s="54"/>
      <c r="B509" s="392"/>
      <c r="C509" s="702"/>
      <c r="D509" s="229"/>
      <c r="E509" s="230"/>
      <c r="F509" s="230"/>
      <c r="G509" s="274">
        <v>62</v>
      </c>
      <c r="H509" s="100" t="s">
        <v>611</v>
      </c>
      <c r="I509" s="100"/>
      <c r="J509" s="100"/>
      <c r="K509" s="186"/>
      <c r="L509" s="186"/>
      <c r="M509" s="186"/>
      <c r="N509" s="100"/>
      <c r="O509" s="212"/>
      <c r="P509" s="100"/>
      <c r="Q509" s="100"/>
      <c r="R509" s="336"/>
      <c r="S509" s="336"/>
      <c r="T509" s="336"/>
      <c r="U509" s="336"/>
      <c r="V509" s="336"/>
      <c r="W509" s="336"/>
      <c r="X509" s="336"/>
      <c r="Y509" s="336"/>
      <c r="Z509" s="336"/>
      <c r="AA509" s="336"/>
      <c r="AB509" s="336"/>
      <c r="AC509" s="336"/>
      <c r="AD509" s="336"/>
      <c r="AE509" s="336"/>
      <c r="AF509" s="336"/>
      <c r="AG509" s="336"/>
      <c r="AH509" s="336"/>
      <c r="AI509" s="336"/>
      <c r="AJ509" s="336"/>
      <c r="AK509" s="336"/>
      <c r="AL509" s="336"/>
      <c r="AM509" s="336"/>
      <c r="AN509" s="336"/>
      <c r="AO509" s="336"/>
      <c r="AP509" s="336"/>
      <c r="AQ509" s="336"/>
      <c r="AR509" s="336"/>
      <c r="AS509" s="336"/>
      <c r="AT509" s="336"/>
      <c r="AU509" s="336"/>
      <c r="AV509" s="336"/>
      <c r="AW509" s="336"/>
      <c r="AX509" s="336"/>
      <c r="AY509" s="336"/>
      <c r="AZ509" s="336"/>
      <c r="BA509" s="336"/>
      <c r="BB509" s="336"/>
      <c r="BC509" s="336"/>
      <c r="BD509" s="336"/>
      <c r="BE509" s="336"/>
      <c r="BF509" s="336"/>
      <c r="BG509" s="336"/>
      <c r="BH509" s="336"/>
      <c r="BI509" s="336"/>
      <c r="BJ509" s="336"/>
      <c r="BK509" s="552"/>
      <c r="BL509" s="552"/>
      <c r="BM509" s="552"/>
      <c r="BN509" s="336"/>
      <c r="BO509" s="336"/>
      <c r="BP509" s="336"/>
      <c r="BQ509" s="336"/>
      <c r="BR509" s="336"/>
      <c r="BS509" s="336"/>
      <c r="BT509" s="336"/>
      <c r="BU509" s="336"/>
      <c r="BV509" s="336"/>
      <c r="BW509" s="336"/>
      <c r="BX509" s="336"/>
      <c r="BY509" s="336"/>
      <c r="BZ509" s="338"/>
      <c r="CA509" s="338"/>
      <c r="CB509" s="338"/>
    </row>
    <row r="510" spans="1:80" s="11" customFormat="1" ht="152.25" customHeight="1" x14ac:dyDescent="0.2">
      <c r="A510" s="54"/>
      <c r="B510" s="393"/>
      <c r="C510" s="510">
        <v>22</v>
      </c>
      <c r="D510" s="518" t="s">
        <v>594</v>
      </c>
      <c r="E510" s="510" t="s">
        <v>595</v>
      </c>
      <c r="F510" s="510" t="s">
        <v>596</v>
      </c>
      <c r="G510" s="58"/>
      <c r="H510" s="57">
        <v>191</v>
      </c>
      <c r="I510" s="56" t="s">
        <v>612</v>
      </c>
      <c r="J510" s="57" t="s">
        <v>42</v>
      </c>
      <c r="K510" s="207">
        <v>1</v>
      </c>
      <c r="L510" s="489">
        <v>0.3</v>
      </c>
      <c r="M510" s="61">
        <v>201700360051</v>
      </c>
      <c r="N510" s="56" t="s">
        <v>573</v>
      </c>
      <c r="O510" s="498" t="s">
        <v>613</v>
      </c>
      <c r="P510" s="56" t="s">
        <v>905</v>
      </c>
      <c r="Q510" s="207" t="s">
        <v>51</v>
      </c>
      <c r="R510" s="539">
        <v>0</v>
      </c>
      <c r="S510" s="539"/>
      <c r="T510" s="539"/>
      <c r="U510" s="539">
        <v>0</v>
      </c>
      <c r="V510" s="539"/>
      <c r="W510" s="539"/>
      <c r="X510" s="539">
        <v>0</v>
      </c>
      <c r="Y510" s="539"/>
      <c r="Z510" s="539"/>
      <c r="AA510" s="539">
        <v>0</v>
      </c>
      <c r="AB510" s="539"/>
      <c r="AC510" s="539"/>
      <c r="AD510" s="539">
        <v>0</v>
      </c>
      <c r="AE510" s="539"/>
      <c r="AF510" s="539"/>
      <c r="AG510" s="539">
        <v>0</v>
      </c>
      <c r="AH510" s="539"/>
      <c r="AI510" s="539"/>
      <c r="AJ510" s="539">
        <v>0</v>
      </c>
      <c r="AK510" s="539"/>
      <c r="AL510" s="539"/>
      <c r="AM510" s="539"/>
      <c r="AN510" s="539"/>
      <c r="AO510" s="539"/>
      <c r="AP510" s="539"/>
      <c r="AQ510" s="539"/>
      <c r="AR510" s="539"/>
      <c r="AS510" s="539">
        <v>0</v>
      </c>
      <c r="AT510" s="539"/>
      <c r="AU510" s="539"/>
      <c r="AV510" s="539">
        <v>0</v>
      </c>
      <c r="AW510" s="539"/>
      <c r="AX510" s="539"/>
      <c r="AY510" s="539"/>
      <c r="AZ510" s="539"/>
      <c r="BA510" s="539"/>
      <c r="BB510" s="539"/>
      <c r="BC510" s="539"/>
      <c r="BD510" s="539"/>
      <c r="BE510" s="539">
        <v>0</v>
      </c>
      <c r="BF510" s="539"/>
      <c r="BG510" s="539"/>
      <c r="BH510" s="539">
        <v>0</v>
      </c>
      <c r="BI510" s="539"/>
      <c r="BJ510" s="539"/>
      <c r="BK510" s="540">
        <f>1015000000+170000000</f>
        <v>1185000000</v>
      </c>
      <c r="BL510" s="540">
        <v>179880000</v>
      </c>
      <c r="BM510" s="540">
        <v>48990000</v>
      </c>
      <c r="BN510" s="553"/>
      <c r="BO510" s="553"/>
      <c r="BP510" s="553"/>
      <c r="BQ510" s="539">
        <v>0</v>
      </c>
      <c r="BR510" s="541"/>
      <c r="BS510" s="541"/>
      <c r="BT510" s="541"/>
      <c r="BU510" s="541"/>
      <c r="BV510" s="541"/>
      <c r="BW510" s="541"/>
      <c r="BX510" s="541"/>
      <c r="BY510" s="541"/>
      <c r="BZ510" s="539">
        <f t="shared" ref="BZ510:BZ511" si="459">R510+U510+X510+AA510+AD510+AG510+AJ510+AM510+AP510+AS510+AV510+AY510+BB510+BE510+BH510+BK510+BN510+BQ510+BT510+BW510</f>
        <v>1185000000</v>
      </c>
      <c r="CA510" s="539">
        <f t="shared" ref="CA510:CA511" si="460">S510+V510+Y510+AB510+AE510+AH510+AK510+AN510+AQ510+AT510+AW510+AZ510+BC510+BF510+BI510+BL510+BO510+BR510+BU510+BX510</f>
        <v>179880000</v>
      </c>
      <c r="CB510" s="539">
        <f t="shared" ref="CB510:CB511" si="461">T510+W510+Z510+AC510+AF510+AI510+AL510+AO510+AR510+AU510+AX510+BA510+BD510+BG510+BJ510+BM510+BP510+BS510+BV510+BY510</f>
        <v>48990000</v>
      </c>
    </row>
    <row r="511" spans="1:80" s="11" customFormat="1" ht="99" customHeight="1" x14ac:dyDescent="0.2">
      <c r="A511" s="54"/>
      <c r="B511" s="393"/>
      <c r="C511" s="508">
        <v>22</v>
      </c>
      <c r="D511" s="516" t="s">
        <v>594</v>
      </c>
      <c r="E511" s="508" t="s">
        <v>595</v>
      </c>
      <c r="F511" s="508" t="s">
        <v>596</v>
      </c>
      <c r="G511" s="64"/>
      <c r="H511" s="57">
        <v>192</v>
      </c>
      <c r="I511" s="56" t="s">
        <v>614</v>
      </c>
      <c r="J511" s="57">
        <v>1</v>
      </c>
      <c r="K511" s="207">
        <v>1</v>
      </c>
      <c r="L511" s="275">
        <v>0.25</v>
      </c>
      <c r="M511" s="61">
        <v>201700360085</v>
      </c>
      <c r="N511" s="56" t="s">
        <v>573</v>
      </c>
      <c r="O511" s="498" t="s">
        <v>615</v>
      </c>
      <c r="P511" s="56" t="s">
        <v>616</v>
      </c>
      <c r="Q511" s="207" t="s">
        <v>51</v>
      </c>
      <c r="R511" s="539">
        <v>0</v>
      </c>
      <c r="S511" s="539"/>
      <c r="T511" s="539"/>
      <c r="U511" s="539">
        <v>0</v>
      </c>
      <c r="V511" s="539"/>
      <c r="W511" s="539"/>
      <c r="X511" s="539">
        <v>0</v>
      </c>
      <c r="Y511" s="539"/>
      <c r="Z511" s="539"/>
      <c r="AA511" s="539">
        <v>0</v>
      </c>
      <c r="AB511" s="539"/>
      <c r="AC511" s="539"/>
      <c r="AD511" s="539">
        <v>0</v>
      </c>
      <c r="AE511" s="539"/>
      <c r="AF511" s="539"/>
      <c r="AG511" s="539">
        <v>0</v>
      </c>
      <c r="AH511" s="539"/>
      <c r="AI511" s="539"/>
      <c r="AJ511" s="539">
        <v>0</v>
      </c>
      <c r="AK511" s="539"/>
      <c r="AL511" s="539"/>
      <c r="AM511" s="539"/>
      <c r="AN511" s="539"/>
      <c r="AO511" s="539"/>
      <c r="AP511" s="539"/>
      <c r="AQ511" s="539"/>
      <c r="AR511" s="539"/>
      <c r="AS511" s="539">
        <v>0</v>
      </c>
      <c r="AT511" s="539"/>
      <c r="AU511" s="539"/>
      <c r="AV511" s="539">
        <v>0</v>
      </c>
      <c r="AW511" s="539"/>
      <c r="AX511" s="539"/>
      <c r="AY511" s="539"/>
      <c r="AZ511" s="539"/>
      <c r="BA511" s="539"/>
      <c r="BB511" s="539"/>
      <c r="BC511" s="539"/>
      <c r="BD511" s="539"/>
      <c r="BE511" s="539">
        <v>0</v>
      </c>
      <c r="BF511" s="539"/>
      <c r="BG511" s="539"/>
      <c r="BH511" s="539">
        <v>0</v>
      </c>
      <c r="BI511" s="539"/>
      <c r="BJ511" s="539"/>
      <c r="BK511" s="540">
        <f>43000000+37000000</f>
        <v>80000000</v>
      </c>
      <c r="BL511" s="540">
        <v>20280000</v>
      </c>
      <c r="BM511" s="540">
        <v>6760000</v>
      </c>
      <c r="BN511" s="553"/>
      <c r="BO511" s="553"/>
      <c r="BP511" s="553"/>
      <c r="BQ511" s="539">
        <v>0</v>
      </c>
      <c r="BR511" s="541"/>
      <c r="BS511" s="541"/>
      <c r="BT511" s="541"/>
      <c r="BU511" s="541"/>
      <c r="BV511" s="541"/>
      <c r="BW511" s="541"/>
      <c r="BX511" s="541"/>
      <c r="BY511" s="541"/>
      <c r="BZ511" s="539">
        <f t="shared" si="459"/>
        <v>80000000</v>
      </c>
      <c r="CA511" s="539">
        <f t="shared" si="460"/>
        <v>20280000</v>
      </c>
      <c r="CB511" s="539">
        <f t="shared" si="461"/>
        <v>6760000</v>
      </c>
    </row>
    <row r="512" spans="1:80" s="459" customFormat="1" ht="15.75" x14ac:dyDescent="0.2">
      <c r="A512" s="54"/>
      <c r="B512" s="394"/>
      <c r="C512" s="703"/>
      <c r="D512" s="209"/>
      <c r="E512" s="259"/>
      <c r="F512" s="259"/>
      <c r="G512" s="77"/>
      <c r="H512" s="78"/>
      <c r="I512" s="77"/>
      <c r="J512" s="78"/>
      <c r="K512" s="240"/>
      <c r="L512" s="240"/>
      <c r="M512" s="240"/>
      <c r="N512" s="78"/>
      <c r="O512" s="78"/>
      <c r="P512" s="77"/>
      <c r="Q512" s="78"/>
      <c r="R512" s="548">
        <f t="shared" ref="R512:BY512" si="462">SUM(R510:R511)</f>
        <v>0</v>
      </c>
      <c r="S512" s="548">
        <f t="shared" si="462"/>
        <v>0</v>
      </c>
      <c r="T512" s="548">
        <f t="shared" si="462"/>
        <v>0</v>
      </c>
      <c r="U512" s="548">
        <f t="shared" si="462"/>
        <v>0</v>
      </c>
      <c r="V512" s="548">
        <f t="shared" si="462"/>
        <v>0</v>
      </c>
      <c r="W512" s="548">
        <f t="shared" si="462"/>
        <v>0</v>
      </c>
      <c r="X512" s="548">
        <f t="shared" si="462"/>
        <v>0</v>
      </c>
      <c r="Y512" s="548">
        <f t="shared" si="462"/>
        <v>0</v>
      </c>
      <c r="Z512" s="548">
        <f t="shared" si="462"/>
        <v>0</v>
      </c>
      <c r="AA512" s="548">
        <f t="shared" si="462"/>
        <v>0</v>
      </c>
      <c r="AB512" s="548">
        <f t="shared" si="462"/>
        <v>0</v>
      </c>
      <c r="AC512" s="548">
        <f t="shared" si="462"/>
        <v>0</v>
      </c>
      <c r="AD512" s="548">
        <f t="shared" si="462"/>
        <v>0</v>
      </c>
      <c r="AE512" s="548">
        <f t="shared" si="462"/>
        <v>0</v>
      </c>
      <c r="AF512" s="548">
        <f t="shared" si="462"/>
        <v>0</v>
      </c>
      <c r="AG512" s="548">
        <f t="shared" si="462"/>
        <v>0</v>
      </c>
      <c r="AH512" s="548">
        <f t="shared" si="462"/>
        <v>0</v>
      </c>
      <c r="AI512" s="548">
        <f t="shared" si="462"/>
        <v>0</v>
      </c>
      <c r="AJ512" s="548">
        <f t="shared" si="462"/>
        <v>0</v>
      </c>
      <c r="AK512" s="548">
        <f t="shared" si="462"/>
        <v>0</v>
      </c>
      <c r="AL512" s="548">
        <f t="shared" si="462"/>
        <v>0</v>
      </c>
      <c r="AM512" s="548">
        <f t="shared" si="462"/>
        <v>0</v>
      </c>
      <c r="AN512" s="548">
        <f t="shared" si="462"/>
        <v>0</v>
      </c>
      <c r="AO512" s="548">
        <f t="shared" si="462"/>
        <v>0</v>
      </c>
      <c r="AP512" s="548">
        <f t="shared" si="462"/>
        <v>0</v>
      </c>
      <c r="AQ512" s="548">
        <f t="shared" si="462"/>
        <v>0</v>
      </c>
      <c r="AR512" s="548">
        <f t="shared" si="462"/>
        <v>0</v>
      </c>
      <c r="AS512" s="548">
        <f t="shared" si="462"/>
        <v>0</v>
      </c>
      <c r="AT512" s="548">
        <f t="shared" si="462"/>
        <v>0</v>
      </c>
      <c r="AU512" s="548">
        <f t="shared" si="462"/>
        <v>0</v>
      </c>
      <c r="AV512" s="548">
        <f t="shared" si="462"/>
        <v>0</v>
      </c>
      <c r="AW512" s="548">
        <f t="shared" si="462"/>
        <v>0</v>
      </c>
      <c r="AX512" s="548">
        <f t="shared" si="462"/>
        <v>0</v>
      </c>
      <c r="AY512" s="548">
        <f t="shared" si="462"/>
        <v>0</v>
      </c>
      <c r="AZ512" s="548">
        <f t="shared" si="462"/>
        <v>0</v>
      </c>
      <c r="BA512" s="548">
        <f t="shared" si="462"/>
        <v>0</v>
      </c>
      <c r="BB512" s="548">
        <f t="shared" si="462"/>
        <v>0</v>
      </c>
      <c r="BC512" s="548">
        <f t="shared" si="462"/>
        <v>0</v>
      </c>
      <c r="BD512" s="548">
        <f t="shared" si="462"/>
        <v>0</v>
      </c>
      <c r="BE512" s="548">
        <f t="shared" si="462"/>
        <v>0</v>
      </c>
      <c r="BF512" s="548">
        <f t="shared" si="462"/>
        <v>0</v>
      </c>
      <c r="BG512" s="548">
        <f t="shared" si="462"/>
        <v>0</v>
      </c>
      <c r="BH512" s="548">
        <f t="shared" si="462"/>
        <v>0</v>
      </c>
      <c r="BI512" s="548">
        <f t="shared" si="462"/>
        <v>0</v>
      </c>
      <c r="BJ512" s="548">
        <f t="shared" si="462"/>
        <v>0</v>
      </c>
      <c r="BK512" s="548">
        <f t="shared" si="462"/>
        <v>1265000000</v>
      </c>
      <c r="BL512" s="548">
        <f t="shared" si="462"/>
        <v>200160000</v>
      </c>
      <c r="BM512" s="548">
        <f t="shared" si="462"/>
        <v>55750000</v>
      </c>
      <c r="BN512" s="548">
        <f t="shared" si="462"/>
        <v>0</v>
      </c>
      <c r="BO512" s="548">
        <f t="shared" si="462"/>
        <v>0</v>
      </c>
      <c r="BP512" s="548">
        <f t="shared" si="462"/>
        <v>0</v>
      </c>
      <c r="BQ512" s="548">
        <f t="shared" si="462"/>
        <v>0</v>
      </c>
      <c r="BR512" s="548">
        <f t="shared" si="462"/>
        <v>0</v>
      </c>
      <c r="BS512" s="548">
        <f t="shared" si="462"/>
        <v>0</v>
      </c>
      <c r="BT512" s="548">
        <f t="shared" si="462"/>
        <v>0</v>
      </c>
      <c r="BU512" s="548">
        <f t="shared" si="462"/>
        <v>0</v>
      </c>
      <c r="BV512" s="548">
        <f t="shared" si="462"/>
        <v>0</v>
      </c>
      <c r="BW512" s="548">
        <f t="shared" si="462"/>
        <v>0</v>
      </c>
      <c r="BX512" s="548">
        <f t="shared" si="462"/>
        <v>0</v>
      </c>
      <c r="BY512" s="548">
        <f t="shared" si="462"/>
        <v>0</v>
      </c>
      <c r="BZ512" s="548">
        <f>SUM(BZ510:BZ511)</f>
        <v>1265000000</v>
      </c>
      <c r="CA512" s="548">
        <f t="shared" ref="CA512:CB512" si="463">SUM(CA510:CA511)</f>
        <v>200160000</v>
      </c>
      <c r="CB512" s="548">
        <f t="shared" si="463"/>
        <v>55750000</v>
      </c>
    </row>
    <row r="513" spans="1:80" s="459" customFormat="1" ht="15.75" x14ac:dyDescent="0.2">
      <c r="A513" s="54"/>
      <c r="B513" s="394"/>
      <c r="C513" s="395"/>
      <c r="D513" s="360"/>
      <c r="E513" s="395"/>
      <c r="F513" s="395"/>
      <c r="G513" s="360"/>
      <c r="H513" s="395"/>
      <c r="I513" s="360"/>
      <c r="J513" s="396"/>
      <c r="K513" s="397"/>
      <c r="L513" s="397"/>
      <c r="M513" s="397"/>
      <c r="N513" s="396"/>
      <c r="O513" s="395"/>
      <c r="P513" s="360"/>
      <c r="Q513" s="395"/>
      <c r="R513" s="570"/>
      <c r="S513" s="570"/>
      <c r="T513" s="570"/>
      <c r="U513" s="571"/>
      <c r="V513" s="571"/>
      <c r="W513" s="571"/>
      <c r="X513" s="570"/>
      <c r="Y513" s="570"/>
      <c r="Z513" s="570"/>
      <c r="AA513" s="570"/>
      <c r="AB513" s="570"/>
      <c r="AC513" s="570"/>
      <c r="AD513" s="570"/>
      <c r="AE513" s="570"/>
      <c r="AF513" s="570"/>
      <c r="AG513" s="570"/>
      <c r="AH513" s="570"/>
      <c r="AI513" s="570"/>
      <c r="AJ513" s="570"/>
      <c r="AK513" s="570"/>
      <c r="AL513" s="570"/>
      <c r="AM513" s="570"/>
      <c r="AN513" s="570"/>
      <c r="AO513" s="570"/>
      <c r="AP513" s="570"/>
      <c r="AQ513" s="570"/>
      <c r="AR513" s="570"/>
      <c r="AS513" s="570"/>
      <c r="AT513" s="570"/>
      <c r="AU513" s="570"/>
      <c r="AV513" s="570"/>
      <c r="AW513" s="570"/>
      <c r="AX513" s="570"/>
      <c r="AY513" s="570"/>
      <c r="AZ513" s="570"/>
      <c r="BA513" s="570"/>
      <c r="BB513" s="570"/>
      <c r="BC513" s="570"/>
      <c r="BD513" s="570"/>
      <c r="BE513" s="570"/>
      <c r="BF513" s="570"/>
      <c r="BG513" s="570"/>
      <c r="BH513" s="570"/>
      <c r="BI513" s="570"/>
      <c r="BJ513" s="570"/>
      <c r="BK513" s="591"/>
      <c r="BL513" s="591"/>
      <c r="BM513" s="591"/>
      <c r="BN513" s="592"/>
      <c r="BO513" s="592"/>
      <c r="BP513" s="592"/>
      <c r="BQ513" s="570"/>
      <c r="BR513" s="570"/>
      <c r="BS513" s="570"/>
      <c r="BT513" s="570"/>
      <c r="BU513" s="570"/>
      <c r="BV513" s="570"/>
      <c r="BW513" s="570"/>
      <c r="BX513" s="570"/>
      <c r="BY513" s="570"/>
      <c r="BZ513" s="844"/>
      <c r="CA513" s="844"/>
      <c r="CB513" s="844"/>
    </row>
    <row r="514" spans="1:80" s="459" customFormat="1" ht="15.75" x14ac:dyDescent="0.2">
      <c r="A514" s="54"/>
      <c r="B514" s="394"/>
      <c r="C514" s="704"/>
      <c r="D514" s="229"/>
      <c r="E514" s="230"/>
      <c r="F514" s="230"/>
      <c r="G514" s="98">
        <v>63</v>
      </c>
      <c r="H514" s="100" t="s">
        <v>617</v>
      </c>
      <c r="I514" s="100"/>
      <c r="J514" s="100"/>
      <c r="K514" s="186"/>
      <c r="L514" s="186"/>
      <c r="M514" s="186"/>
      <c r="N514" s="100"/>
      <c r="O514" s="212"/>
      <c r="P514" s="100"/>
      <c r="Q514" s="100"/>
      <c r="R514" s="336"/>
      <c r="S514" s="336"/>
      <c r="T514" s="336"/>
      <c r="U514" s="336"/>
      <c r="V514" s="336"/>
      <c r="W514" s="336"/>
      <c r="X514" s="336"/>
      <c r="Y514" s="336"/>
      <c r="Z514" s="336"/>
      <c r="AA514" s="336"/>
      <c r="AB514" s="336"/>
      <c r="AC514" s="336"/>
      <c r="AD514" s="336"/>
      <c r="AE514" s="336"/>
      <c r="AF514" s="336"/>
      <c r="AG514" s="336"/>
      <c r="AH514" s="336"/>
      <c r="AI514" s="336"/>
      <c r="AJ514" s="336"/>
      <c r="AK514" s="336"/>
      <c r="AL514" s="336"/>
      <c r="AM514" s="336"/>
      <c r="AN514" s="336"/>
      <c r="AO514" s="336"/>
      <c r="AP514" s="336"/>
      <c r="AQ514" s="336"/>
      <c r="AR514" s="336"/>
      <c r="AS514" s="336"/>
      <c r="AT514" s="336"/>
      <c r="AU514" s="336"/>
      <c r="AV514" s="336"/>
      <c r="AW514" s="336"/>
      <c r="AX514" s="336"/>
      <c r="AY514" s="336"/>
      <c r="AZ514" s="336"/>
      <c r="BA514" s="336"/>
      <c r="BB514" s="336"/>
      <c r="BC514" s="336"/>
      <c r="BD514" s="336"/>
      <c r="BE514" s="336"/>
      <c r="BF514" s="336"/>
      <c r="BG514" s="336"/>
      <c r="BH514" s="336"/>
      <c r="BI514" s="336"/>
      <c r="BJ514" s="336"/>
      <c r="BK514" s="552"/>
      <c r="BL514" s="552"/>
      <c r="BM514" s="552"/>
      <c r="BN514" s="336"/>
      <c r="BO514" s="336"/>
      <c r="BP514" s="336"/>
      <c r="BQ514" s="336"/>
      <c r="BR514" s="336"/>
      <c r="BS514" s="336"/>
      <c r="BT514" s="336"/>
      <c r="BU514" s="336"/>
      <c r="BV514" s="336"/>
      <c r="BW514" s="336"/>
      <c r="BX514" s="336"/>
      <c r="BY514" s="336"/>
      <c r="BZ514" s="338"/>
      <c r="CA514" s="338"/>
      <c r="CB514" s="338"/>
    </row>
    <row r="515" spans="1:80" s="11" customFormat="1" ht="75" x14ac:dyDescent="0.2">
      <c r="A515" s="54"/>
      <c r="B515" s="393"/>
      <c r="C515" s="510">
        <v>38</v>
      </c>
      <c r="D515" s="518" t="s">
        <v>52</v>
      </c>
      <c r="E515" s="510">
        <v>0</v>
      </c>
      <c r="F515" s="510">
        <v>2</v>
      </c>
      <c r="G515" s="58"/>
      <c r="H515" s="57">
        <v>193</v>
      </c>
      <c r="I515" s="56" t="s">
        <v>618</v>
      </c>
      <c r="J515" s="57">
        <v>1</v>
      </c>
      <c r="K515" s="207">
        <v>1</v>
      </c>
      <c r="L515" s="207">
        <v>0</v>
      </c>
      <c r="M515" s="61">
        <v>201700360090</v>
      </c>
      <c r="N515" s="56" t="s">
        <v>573</v>
      </c>
      <c r="O515" s="498" t="s">
        <v>619</v>
      </c>
      <c r="P515" s="56" t="s">
        <v>620</v>
      </c>
      <c r="Q515" s="57" t="s">
        <v>51</v>
      </c>
      <c r="R515" s="539">
        <v>0</v>
      </c>
      <c r="S515" s="539"/>
      <c r="T515" s="539"/>
      <c r="U515" s="539">
        <v>0</v>
      </c>
      <c r="V515" s="539"/>
      <c r="W515" s="539"/>
      <c r="X515" s="539">
        <v>0</v>
      </c>
      <c r="Y515" s="539"/>
      <c r="Z515" s="539"/>
      <c r="AA515" s="539">
        <v>0</v>
      </c>
      <c r="AB515" s="539"/>
      <c r="AC515" s="539"/>
      <c r="AD515" s="539">
        <v>0</v>
      </c>
      <c r="AE515" s="539"/>
      <c r="AF515" s="539"/>
      <c r="AG515" s="539">
        <v>0</v>
      </c>
      <c r="AH515" s="539"/>
      <c r="AI515" s="539"/>
      <c r="AJ515" s="539">
        <v>0</v>
      </c>
      <c r="AK515" s="539"/>
      <c r="AL515" s="539"/>
      <c r="AM515" s="539"/>
      <c r="AN515" s="539"/>
      <c r="AO515" s="539"/>
      <c r="AP515" s="539"/>
      <c r="AQ515" s="539"/>
      <c r="AR515" s="539"/>
      <c r="AS515" s="539">
        <v>0</v>
      </c>
      <c r="AT515" s="539"/>
      <c r="AU515" s="539"/>
      <c r="AV515" s="539">
        <v>0</v>
      </c>
      <c r="AW515" s="539"/>
      <c r="AX515" s="539"/>
      <c r="AY515" s="539"/>
      <c r="AZ515" s="539"/>
      <c r="BA515" s="539"/>
      <c r="BB515" s="539"/>
      <c r="BC515" s="539"/>
      <c r="BD515" s="539"/>
      <c r="BE515" s="539">
        <v>0</v>
      </c>
      <c r="BF515" s="539"/>
      <c r="BG515" s="539"/>
      <c r="BH515" s="539">
        <v>0</v>
      </c>
      <c r="BI515" s="541"/>
      <c r="BJ515" s="541"/>
      <c r="BK515" s="542">
        <f>40000000-10000000</f>
        <v>30000000</v>
      </c>
      <c r="BL515" s="542"/>
      <c r="BM515" s="542"/>
      <c r="BN515" s="542"/>
      <c r="BO515" s="542"/>
      <c r="BP515" s="542"/>
      <c r="BQ515" s="539">
        <v>0</v>
      </c>
      <c r="BR515" s="541"/>
      <c r="BS515" s="541"/>
      <c r="BT515" s="541"/>
      <c r="BU515" s="541"/>
      <c r="BV515" s="541"/>
      <c r="BW515" s="541"/>
      <c r="BX515" s="541"/>
      <c r="BY515" s="541"/>
      <c r="BZ515" s="539">
        <f t="shared" ref="BZ515:BZ516" si="464">R515+U515+X515+AA515+AD515+AG515+AJ515+AM515+AP515+AS515+AV515+AY515+BB515+BE515+BH515+BK515+BN515+BQ515+BT515+BW515</f>
        <v>30000000</v>
      </c>
      <c r="CA515" s="539">
        <f t="shared" ref="CA515:CA516" si="465">S515+V515+Y515+AB515+AE515+AH515+AK515+AN515+AQ515+AT515+AW515+AZ515+BC515+BF515+BI515+BL515+BO515+BR515+BU515+BX515</f>
        <v>0</v>
      </c>
      <c r="CB515" s="539">
        <f t="shared" ref="CB515:CB516" si="466">T515+W515+Z515+AC515+AF515+AI515+AL515+AO515+AR515+AU515+AX515+BA515+BD515+BG515+BJ515+BM515+BP515+BS515+BV515+BY515</f>
        <v>0</v>
      </c>
    </row>
    <row r="516" spans="1:80" s="11" customFormat="1" ht="78.75" customHeight="1" x14ac:dyDescent="0.2">
      <c r="A516" s="54"/>
      <c r="B516" s="393"/>
      <c r="C516" s="508">
        <v>38</v>
      </c>
      <c r="D516" s="516" t="s">
        <v>52</v>
      </c>
      <c r="E516" s="508">
        <v>0</v>
      </c>
      <c r="F516" s="508">
        <v>2</v>
      </c>
      <c r="G516" s="139"/>
      <c r="H516" s="57">
        <v>194</v>
      </c>
      <c r="I516" s="56" t="s">
        <v>621</v>
      </c>
      <c r="J516" s="57">
        <v>1</v>
      </c>
      <c r="K516" s="207">
        <v>1</v>
      </c>
      <c r="L516" s="275">
        <v>0.25</v>
      </c>
      <c r="M516" s="61">
        <v>201700360091</v>
      </c>
      <c r="N516" s="56" t="s">
        <v>573</v>
      </c>
      <c r="O516" s="498" t="s">
        <v>622</v>
      </c>
      <c r="P516" s="56" t="s">
        <v>623</v>
      </c>
      <c r="Q516" s="57" t="s">
        <v>51</v>
      </c>
      <c r="R516" s="539">
        <v>0</v>
      </c>
      <c r="S516" s="539"/>
      <c r="T516" s="539"/>
      <c r="U516" s="539">
        <v>0</v>
      </c>
      <c r="V516" s="539"/>
      <c r="W516" s="539"/>
      <c r="X516" s="539">
        <v>0</v>
      </c>
      <c r="Y516" s="539"/>
      <c r="Z516" s="539"/>
      <c r="AA516" s="539">
        <v>0</v>
      </c>
      <c r="AB516" s="539"/>
      <c r="AC516" s="539"/>
      <c r="AD516" s="539">
        <v>0</v>
      </c>
      <c r="AE516" s="539"/>
      <c r="AF516" s="539"/>
      <c r="AG516" s="539">
        <v>0</v>
      </c>
      <c r="AH516" s="539"/>
      <c r="AI516" s="539"/>
      <c r="AJ516" s="539">
        <v>0</v>
      </c>
      <c r="AK516" s="539"/>
      <c r="AL516" s="539"/>
      <c r="AM516" s="539"/>
      <c r="AN516" s="539"/>
      <c r="AO516" s="539"/>
      <c r="AP516" s="539"/>
      <c r="AQ516" s="539"/>
      <c r="AR516" s="539"/>
      <c r="AS516" s="539">
        <v>0</v>
      </c>
      <c r="AT516" s="539"/>
      <c r="AU516" s="539"/>
      <c r="AV516" s="539">
        <v>0</v>
      </c>
      <c r="AW516" s="539"/>
      <c r="AX516" s="539"/>
      <c r="AY516" s="539"/>
      <c r="AZ516" s="539"/>
      <c r="BA516" s="539"/>
      <c r="BB516" s="539"/>
      <c r="BC516" s="539"/>
      <c r="BD516" s="539"/>
      <c r="BE516" s="539">
        <v>0</v>
      </c>
      <c r="BF516" s="539"/>
      <c r="BG516" s="539"/>
      <c r="BH516" s="539">
        <v>0</v>
      </c>
      <c r="BI516" s="541"/>
      <c r="BJ516" s="541"/>
      <c r="BK516" s="542">
        <f>35000000+35000000</f>
        <v>70000000</v>
      </c>
      <c r="BL516" s="542">
        <v>56680000</v>
      </c>
      <c r="BM516" s="542">
        <v>6640000</v>
      </c>
      <c r="BN516" s="542"/>
      <c r="BO516" s="542"/>
      <c r="BP516" s="542"/>
      <c r="BQ516" s="539">
        <v>0</v>
      </c>
      <c r="BR516" s="541"/>
      <c r="BS516" s="541"/>
      <c r="BT516" s="541"/>
      <c r="BU516" s="541"/>
      <c r="BV516" s="541"/>
      <c r="BW516" s="541"/>
      <c r="BX516" s="541"/>
      <c r="BY516" s="541"/>
      <c r="BZ516" s="539">
        <f t="shared" si="464"/>
        <v>70000000</v>
      </c>
      <c r="CA516" s="539">
        <f t="shared" si="465"/>
        <v>56680000</v>
      </c>
      <c r="CB516" s="539">
        <f t="shared" si="466"/>
        <v>6640000</v>
      </c>
    </row>
    <row r="517" spans="1:80" s="459" customFormat="1" ht="15.75" x14ac:dyDescent="0.2">
      <c r="A517" s="54"/>
      <c r="B517" s="394"/>
      <c r="C517" s="703"/>
      <c r="D517" s="209"/>
      <c r="E517" s="259"/>
      <c r="F517" s="259"/>
      <c r="G517" s="77"/>
      <c r="H517" s="78"/>
      <c r="I517" s="77"/>
      <c r="J517" s="78"/>
      <c r="K517" s="240"/>
      <c r="L517" s="240"/>
      <c r="M517" s="240"/>
      <c r="N517" s="78"/>
      <c r="O517" s="78"/>
      <c r="P517" s="77"/>
      <c r="Q517" s="78"/>
      <c r="R517" s="548">
        <f t="shared" ref="R517:BY517" si="467">SUM(R515:R516)</f>
        <v>0</v>
      </c>
      <c r="S517" s="548">
        <f t="shared" si="467"/>
        <v>0</v>
      </c>
      <c r="T517" s="548">
        <f t="shared" si="467"/>
        <v>0</v>
      </c>
      <c r="U517" s="548">
        <f t="shared" si="467"/>
        <v>0</v>
      </c>
      <c r="V517" s="548">
        <f t="shared" si="467"/>
        <v>0</v>
      </c>
      <c r="W517" s="548">
        <f t="shared" si="467"/>
        <v>0</v>
      </c>
      <c r="X517" s="548">
        <f t="shared" si="467"/>
        <v>0</v>
      </c>
      <c r="Y517" s="548">
        <f t="shared" si="467"/>
        <v>0</v>
      </c>
      <c r="Z517" s="548">
        <f t="shared" si="467"/>
        <v>0</v>
      </c>
      <c r="AA517" s="548">
        <f t="shared" si="467"/>
        <v>0</v>
      </c>
      <c r="AB517" s="548">
        <f t="shared" si="467"/>
        <v>0</v>
      </c>
      <c r="AC517" s="548">
        <f t="shared" si="467"/>
        <v>0</v>
      </c>
      <c r="AD517" s="548">
        <f t="shared" si="467"/>
        <v>0</v>
      </c>
      <c r="AE517" s="548">
        <f t="shared" si="467"/>
        <v>0</v>
      </c>
      <c r="AF517" s="548">
        <f t="shared" si="467"/>
        <v>0</v>
      </c>
      <c r="AG517" s="548">
        <f t="shared" si="467"/>
        <v>0</v>
      </c>
      <c r="AH517" s="548">
        <f t="shared" si="467"/>
        <v>0</v>
      </c>
      <c r="AI517" s="548">
        <f t="shared" si="467"/>
        <v>0</v>
      </c>
      <c r="AJ517" s="548">
        <f t="shared" si="467"/>
        <v>0</v>
      </c>
      <c r="AK517" s="548">
        <f t="shared" si="467"/>
        <v>0</v>
      </c>
      <c r="AL517" s="548">
        <f t="shared" si="467"/>
        <v>0</v>
      </c>
      <c r="AM517" s="548">
        <f t="shared" si="467"/>
        <v>0</v>
      </c>
      <c r="AN517" s="548">
        <f t="shared" si="467"/>
        <v>0</v>
      </c>
      <c r="AO517" s="548">
        <f t="shared" si="467"/>
        <v>0</v>
      </c>
      <c r="AP517" s="548">
        <f t="shared" si="467"/>
        <v>0</v>
      </c>
      <c r="AQ517" s="548">
        <f t="shared" si="467"/>
        <v>0</v>
      </c>
      <c r="AR517" s="548">
        <f t="shared" si="467"/>
        <v>0</v>
      </c>
      <c r="AS517" s="548">
        <f t="shared" si="467"/>
        <v>0</v>
      </c>
      <c r="AT517" s="548">
        <f t="shared" si="467"/>
        <v>0</v>
      </c>
      <c r="AU517" s="548">
        <f t="shared" si="467"/>
        <v>0</v>
      </c>
      <c r="AV517" s="548">
        <f t="shared" si="467"/>
        <v>0</v>
      </c>
      <c r="AW517" s="548">
        <f t="shared" si="467"/>
        <v>0</v>
      </c>
      <c r="AX517" s="548">
        <f t="shared" si="467"/>
        <v>0</v>
      </c>
      <c r="AY517" s="548">
        <f t="shared" si="467"/>
        <v>0</v>
      </c>
      <c r="AZ517" s="548">
        <f t="shared" si="467"/>
        <v>0</v>
      </c>
      <c r="BA517" s="548">
        <f t="shared" si="467"/>
        <v>0</v>
      </c>
      <c r="BB517" s="548">
        <f t="shared" si="467"/>
        <v>0</v>
      </c>
      <c r="BC517" s="548">
        <f t="shared" si="467"/>
        <v>0</v>
      </c>
      <c r="BD517" s="548">
        <f t="shared" si="467"/>
        <v>0</v>
      </c>
      <c r="BE517" s="548">
        <f t="shared" si="467"/>
        <v>0</v>
      </c>
      <c r="BF517" s="548">
        <f t="shared" si="467"/>
        <v>0</v>
      </c>
      <c r="BG517" s="548">
        <f t="shared" si="467"/>
        <v>0</v>
      </c>
      <c r="BH517" s="548">
        <f t="shared" si="467"/>
        <v>0</v>
      </c>
      <c r="BI517" s="548">
        <f t="shared" si="467"/>
        <v>0</v>
      </c>
      <c r="BJ517" s="548">
        <f t="shared" si="467"/>
        <v>0</v>
      </c>
      <c r="BK517" s="548">
        <f t="shared" si="467"/>
        <v>100000000</v>
      </c>
      <c r="BL517" s="548">
        <f t="shared" si="467"/>
        <v>56680000</v>
      </c>
      <c r="BM517" s="548">
        <f t="shared" si="467"/>
        <v>6640000</v>
      </c>
      <c r="BN517" s="548">
        <f t="shared" si="467"/>
        <v>0</v>
      </c>
      <c r="BO517" s="548">
        <f t="shared" si="467"/>
        <v>0</v>
      </c>
      <c r="BP517" s="548">
        <f t="shared" si="467"/>
        <v>0</v>
      </c>
      <c r="BQ517" s="548">
        <f t="shared" si="467"/>
        <v>0</v>
      </c>
      <c r="BR517" s="548">
        <f t="shared" si="467"/>
        <v>0</v>
      </c>
      <c r="BS517" s="548">
        <f t="shared" si="467"/>
        <v>0</v>
      </c>
      <c r="BT517" s="548">
        <f t="shared" si="467"/>
        <v>0</v>
      </c>
      <c r="BU517" s="548">
        <f t="shared" si="467"/>
        <v>0</v>
      </c>
      <c r="BV517" s="548">
        <f t="shared" si="467"/>
        <v>0</v>
      </c>
      <c r="BW517" s="548">
        <f t="shared" si="467"/>
        <v>0</v>
      </c>
      <c r="BX517" s="548">
        <f t="shared" si="467"/>
        <v>0</v>
      </c>
      <c r="BY517" s="548">
        <f t="shared" si="467"/>
        <v>0</v>
      </c>
      <c r="BZ517" s="548">
        <f>SUM(BZ515:BZ516)</f>
        <v>100000000</v>
      </c>
      <c r="CA517" s="548">
        <f t="shared" ref="CA517:CB517" si="468">SUM(CA515:CA516)</f>
        <v>56680000</v>
      </c>
      <c r="CB517" s="548">
        <f t="shared" si="468"/>
        <v>6640000</v>
      </c>
    </row>
    <row r="518" spans="1:80" s="11" customFormat="1" ht="15.75" x14ac:dyDescent="0.2">
      <c r="A518" s="54"/>
      <c r="B518" s="394"/>
      <c r="C518" s="395"/>
      <c r="D518" s="360"/>
      <c r="E518" s="395"/>
      <c r="F518" s="395"/>
      <c r="G518" s="360"/>
      <c r="H518" s="395"/>
      <c r="I518" s="360"/>
      <c r="J518" s="396"/>
      <c r="K518" s="397"/>
      <c r="L518" s="397"/>
      <c r="M518" s="397"/>
      <c r="N518" s="396"/>
      <c r="O518" s="395"/>
      <c r="P518" s="360"/>
      <c r="Q518" s="395"/>
      <c r="R518" s="570"/>
      <c r="S518" s="570"/>
      <c r="T518" s="570"/>
      <c r="U518" s="571"/>
      <c r="V518" s="571"/>
      <c r="W518" s="571"/>
      <c r="X518" s="570"/>
      <c r="Y518" s="570"/>
      <c r="Z518" s="570"/>
      <c r="AA518" s="570"/>
      <c r="AB518" s="570"/>
      <c r="AC518" s="570"/>
      <c r="AD518" s="570"/>
      <c r="AE518" s="570"/>
      <c r="AF518" s="570"/>
      <c r="AG518" s="570"/>
      <c r="AH518" s="570"/>
      <c r="AI518" s="570"/>
      <c r="AJ518" s="570"/>
      <c r="AK518" s="570"/>
      <c r="AL518" s="570"/>
      <c r="AM518" s="570"/>
      <c r="AN518" s="570"/>
      <c r="AO518" s="570"/>
      <c r="AP518" s="570"/>
      <c r="AQ518" s="570"/>
      <c r="AR518" s="570"/>
      <c r="AS518" s="570"/>
      <c r="AT518" s="570"/>
      <c r="AU518" s="570"/>
      <c r="AV518" s="570"/>
      <c r="AW518" s="570"/>
      <c r="AX518" s="570"/>
      <c r="AY518" s="570"/>
      <c r="AZ518" s="570"/>
      <c r="BA518" s="570"/>
      <c r="BB518" s="570"/>
      <c r="BC518" s="570"/>
      <c r="BD518" s="570"/>
      <c r="BE518" s="570"/>
      <c r="BF518" s="570"/>
      <c r="BG518" s="570"/>
      <c r="BH518" s="570"/>
      <c r="BI518" s="570"/>
      <c r="BJ518" s="570"/>
      <c r="BK518" s="591"/>
      <c r="BL518" s="591"/>
      <c r="BM518" s="591"/>
      <c r="BN518" s="592"/>
      <c r="BO518" s="592"/>
      <c r="BP518" s="592"/>
      <c r="BQ518" s="570"/>
      <c r="BR518" s="570"/>
      <c r="BS518" s="570"/>
      <c r="BT518" s="570"/>
      <c r="BU518" s="570"/>
      <c r="BV518" s="570"/>
      <c r="BW518" s="570"/>
      <c r="BX518" s="570"/>
      <c r="BY518" s="570"/>
      <c r="BZ518" s="844"/>
      <c r="CA518" s="844"/>
      <c r="CB518" s="844"/>
    </row>
    <row r="519" spans="1:80" s="11" customFormat="1" ht="15.75" x14ac:dyDescent="0.2">
      <c r="A519" s="54"/>
      <c r="B519" s="394"/>
      <c r="C519" s="704"/>
      <c r="D519" s="229"/>
      <c r="E519" s="230"/>
      <c r="F519" s="230"/>
      <c r="G519" s="98">
        <v>64</v>
      </c>
      <c r="H519" s="100" t="s">
        <v>624</v>
      </c>
      <c r="I519" s="100"/>
      <c r="J519" s="100"/>
      <c r="K519" s="186"/>
      <c r="L519" s="186"/>
      <c r="M519" s="186"/>
      <c r="N519" s="100"/>
      <c r="O519" s="212"/>
      <c r="P519" s="100"/>
      <c r="Q519" s="100"/>
      <c r="R519" s="336"/>
      <c r="S519" s="336"/>
      <c r="T519" s="336"/>
      <c r="U519" s="336"/>
      <c r="V519" s="336"/>
      <c r="W519" s="336"/>
      <c r="X519" s="336"/>
      <c r="Y519" s="336"/>
      <c r="Z519" s="336"/>
      <c r="AA519" s="336"/>
      <c r="AB519" s="336"/>
      <c r="AC519" s="336"/>
      <c r="AD519" s="336"/>
      <c r="AE519" s="336"/>
      <c r="AF519" s="336"/>
      <c r="AG519" s="336"/>
      <c r="AH519" s="336"/>
      <c r="AI519" s="336"/>
      <c r="AJ519" s="336"/>
      <c r="AK519" s="336"/>
      <c r="AL519" s="336"/>
      <c r="AM519" s="336"/>
      <c r="AN519" s="336"/>
      <c r="AO519" s="336"/>
      <c r="AP519" s="336"/>
      <c r="AQ519" s="336"/>
      <c r="AR519" s="336"/>
      <c r="AS519" s="336"/>
      <c r="AT519" s="336"/>
      <c r="AU519" s="336"/>
      <c r="AV519" s="336"/>
      <c r="AW519" s="336"/>
      <c r="AX519" s="336"/>
      <c r="AY519" s="336"/>
      <c r="AZ519" s="336"/>
      <c r="BA519" s="336"/>
      <c r="BB519" s="336"/>
      <c r="BC519" s="336"/>
      <c r="BD519" s="336"/>
      <c r="BE519" s="336"/>
      <c r="BF519" s="336"/>
      <c r="BG519" s="336"/>
      <c r="BH519" s="336"/>
      <c r="BI519" s="336"/>
      <c r="BJ519" s="336"/>
      <c r="BK519" s="552"/>
      <c r="BL519" s="552"/>
      <c r="BM519" s="552"/>
      <c r="BN519" s="336"/>
      <c r="BO519" s="336"/>
      <c r="BP519" s="336"/>
      <c r="BQ519" s="336"/>
      <c r="BR519" s="336"/>
      <c r="BS519" s="336"/>
      <c r="BT519" s="336"/>
      <c r="BU519" s="336"/>
      <c r="BV519" s="336"/>
      <c r="BW519" s="336"/>
      <c r="BX519" s="336"/>
      <c r="BY519" s="336"/>
      <c r="BZ519" s="338"/>
      <c r="CA519" s="338"/>
      <c r="CB519" s="338"/>
    </row>
    <row r="520" spans="1:80" s="11" customFormat="1" ht="113.25" customHeight="1" x14ac:dyDescent="0.2">
      <c r="A520" s="54"/>
      <c r="B520" s="393"/>
      <c r="C520" s="509">
        <v>37</v>
      </c>
      <c r="D520" s="517" t="s">
        <v>625</v>
      </c>
      <c r="E520" s="515" t="s">
        <v>72</v>
      </c>
      <c r="F520" s="521">
        <v>0.6</v>
      </c>
      <c r="G520" s="139"/>
      <c r="H520" s="57">
        <v>195</v>
      </c>
      <c r="I520" s="56" t="s">
        <v>626</v>
      </c>
      <c r="J520" s="57">
        <v>0</v>
      </c>
      <c r="K520" s="207">
        <v>1</v>
      </c>
      <c r="L520" s="275">
        <v>0.25</v>
      </c>
      <c r="M520" s="61">
        <v>201700360092</v>
      </c>
      <c r="N520" s="56" t="s">
        <v>573</v>
      </c>
      <c r="O520" s="498" t="s">
        <v>627</v>
      </c>
      <c r="P520" s="56" t="s">
        <v>628</v>
      </c>
      <c r="Q520" s="57" t="s">
        <v>51</v>
      </c>
      <c r="R520" s="539"/>
      <c r="S520" s="539"/>
      <c r="T520" s="539"/>
      <c r="U520" s="539"/>
      <c r="V520" s="539"/>
      <c r="W520" s="539"/>
      <c r="X520" s="539"/>
      <c r="Y520" s="539"/>
      <c r="Z520" s="539"/>
      <c r="AA520" s="539"/>
      <c r="AB520" s="539"/>
      <c r="AC520" s="539"/>
      <c r="AD520" s="539"/>
      <c r="AE520" s="539"/>
      <c r="AF520" s="539"/>
      <c r="AG520" s="539"/>
      <c r="AH520" s="539"/>
      <c r="AI520" s="539"/>
      <c r="AJ520" s="539"/>
      <c r="AK520" s="539"/>
      <c r="AL520" s="539"/>
      <c r="AM520" s="539"/>
      <c r="AN520" s="539"/>
      <c r="AO520" s="539"/>
      <c r="AP520" s="539"/>
      <c r="AQ520" s="539"/>
      <c r="AR520" s="539"/>
      <c r="AS520" s="539"/>
      <c r="AT520" s="539"/>
      <c r="AU520" s="539"/>
      <c r="AV520" s="539"/>
      <c r="AW520" s="539"/>
      <c r="AX520" s="539"/>
      <c r="AY520" s="539"/>
      <c r="AZ520" s="539"/>
      <c r="BA520" s="539"/>
      <c r="BB520" s="539"/>
      <c r="BC520" s="539"/>
      <c r="BD520" s="539"/>
      <c r="BE520" s="539"/>
      <c r="BF520" s="539"/>
      <c r="BG520" s="539"/>
      <c r="BH520" s="539"/>
      <c r="BI520" s="541"/>
      <c r="BJ520" s="541"/>
      <c r="BK520" s="542">
        <f>60000000+30000000</f>
        <v>90000000</v>
      </c>
      <c r="BL520" s="542">
        <v>31000000</v>
      </c>
      <c r="BM520" s="542">
        <v>11000000</v>
      </c>
      <c r="BN520" s="542"/>
      <c r="BO520" s="542"/>
      <c r="BP520" s="542"/>
      <c r="BQ520" s="539"/>
      <c r="BR520" s="541"/>
      <c r="BS520" s="541"/>
      <c r="BT520" s="541"/>
      <c r="BU520" s="541"/>
      <c r="BV520" s="541"/>
      <c r="BW520" s="541"/>
      <c r="BX520" s="541"/>
      <c r="BY520" s="541"/>
      <c r="BZ520" s="539">
        <f>R520+U520+X520+AA520+AD520+AG520+AJ520+AM520+AP520+AS520+AV520+AY520+BB520+BE520+BH520+BK520+BN520+BQ520+BT520+BW520</f>
        <v>90000000</v>
      </c>
      <c r="CA520" s="539">
        <f t="shared" ref="CA520" si="469">S520+V520+Y520+AB520+AE520+AH520+AK520+AN520+AQ520+AT520+AW520+AZ520+BC520+BF520+BI520+BL520+BO520+BR520+BU520+BX520</f>
        <v>31000000</v>
      </c>
      <c r="CB520" s="539">
        <f t="shared" ref="CB520" si="470">T520+W520+Z520+AC520+AF520+AI520+AL520+AO520+AR520+AU520+AX520+BA520+BD520+BG520+BJ520+BM520+BP520+BS520+BV520+BY520</f>
        <v>11000000</v>
      </c>
    </row>
    <row r="521" spans="1:80" s="459" customFormat="1" ht="15.75" x14ac:dyDescent="0.2">
      <c r="A521" s="54"/>
      <c r="B521" s="394"/>
      <c r="C521" s="703"/>
      <c r="D521" s="209"/>
      <c r="E521" s="259"/>
      <c r="F521" s="259"/>
      <c r="G521" s="77"/>
      <c r="H521" s="78"/>
      <c r="I521" s="77"/>
      <c r="J521" s="78"/>
      <c r="K521" s="240"/>
      <c r="L521" s="240"/>
      <c r="M521" s="240"/>
      <c r="N521" s="78"/>
      <c r="O521" s="78"/>
      <c r="P521" s="77"/>
      <c r="Q521" s="78"/>
      <c r="R521" s="548">
        <f t="shared" ref="R521:BY521" si="471">SUM(R520:R520)</f>
        <v>0</v>
      </c>
      <c r="S521" s="548">
        <f t="shared" si="471"/>
        <v>0</v>
      </c>
      <c r="T521" s="548">
        <f t="shared" si="471"/>
        <v>0</v>
      </c>
      <c r="U521" s="548">
        <f t="shared" si="471"/>
        <v>0</v>
      </c>
      <c r="V521" s="548">
        <f t="shared" si="471"/>
        <v>0</v>
      </c>
      <c r="W521" s="548">
        <f t="shared" si="471"/>
        <v>0</v>
      </c>
      <c r="X521" s="548">
        <f t="shared" si="471"/>
        <v>0</v>
      </c>
      <c r="Y521" s="548">
        <f t="shared" si="471"/>
        <v>0</v>
      </c>
      <c r="Z521" s="548">
        <f t="shared" si="471"/>
        <v>0</v>
      </c>
      <c r="AA521" s="548">
        <f t="shared" si="471"/>
        <v>0</v>
      </c>
      <c r="AB521" s="548">
        <f t="shared" si="471"/>
        <v>0</v>
      </c>
      <c r="AC521" s="548">
        <f t="shared" si="471"/>
        <v>0</v>
      </c>
      <c r="AD521" s="548">
        <f t="shared" si="471"/>
        <v>0</v>
      </c>
      <c r="AE521" s="548">
        <f t="shared" si="471"/>
        <v>0</v>
      </c>
      <c r="AF521" s="548">
        <f t="shared" si="471"/>
        <v>0</v>
      </c>
      <c r="AG521" s="548">
        <f t="shared" si="471"/>
        <v>0</v>
      </c>
      <c r="AH521" s="548">
        <f t="shared" si="471"/>
        <v>0</v>
      </c>
      <c r="AI521" s="548">
        <f t="shared" si="471"/>
        <v>0</v>
      </c>
      <c r="AJ521" s="548">
        <f t="shared" si="471"/>
        <v>0</v>
      </c>
      <c r="AK521" s="548">
        <f t="shared" si="471"/>
        <v>0</v>
      </c>
      <c r="AL521" s="548">
        <f t="shared" si="471"/>
        <v>0</v>
      </c>
      <c r="AM521" s="548">
        <f t="shared" si="471"/>
        <v>0</v>
      </c>
      <c r="AN521" s="548">
        <f t="shared" si="471"/>
        <v>0</v>
      </c>
      <c r="AO521" s="548">
        <f t="shared" si="471"/>
        <v>0</v>
      </c>
      <c r="AP521" s="548">
        <f t="shared" si="471"/>
        <v>0</v>
      </c>
      <c r="AQ521" s="548">
        <f t="shared" si="471"/>
        <v>0</v>
      </c>
      <c r="AR521" s="548">
        <f t="shared" si="471"/>
        <v>0</v>
      </c>
      <c r="AS521" s="548">
        <f t="shared" si="471"/>
        <v>0</v>
      </c>
      <c r="AT521" s="548">
        <f t="shared" si="471"/>
        <v>0</v>
      </c>
      <c r="AU521" s="548">
        <f t="shared" si="471"/>
        <v>0</v>
      </c>
      <c r="AV521" s="548">
        <f t="shared" si="471"/>
        <v>0</v>
      </c>
      <c r="AW521" s="548">
        <f t="shared" si="471"/>
        <v>0</v>
      </c>
      <c r="AX521" s="548">
        <f t="shared" si="471"/>
        <v>0</v>
      </c>
      <c r="AY521" s="548">
        <f t="shared" si="471"/>
        <v>0</v>
      </c>
      <c r="AZ521" s="548">
        <f t="shared" si="471"/>
        <v>0</v>
      </c>
      <c r="BA521" s="548">
        <f t="shared" si="471"/>
        <v>0</v>
      </c>
      <c r="BB521" s="548">
        <f t="shared" si="471"/>
        <v>0</v>
      </c>
      <c r="BC521" s="548">
        <f t="shared" si="471"/>
        <v>0</v>
      </c>
      <c r="BD521" s="548">
        <f t="shared" si="471"/>
        <v>0</v>
      </c>
      <c r="BE521" s="548">
        <f t="shared" si="471"/>
        <v>0</v>
      </c>
      <c r="BF521" s="548">
        <f t="shared" si="471"/>
        <v>0</v>
      </c>
      <c r="BG521" s="548">
        <f t="shared" si="471"/>
        <v>0</v>
      </c>
      <c r="BH521" s="548">
        <f t="shared" si="471"/>
        <v>0</v>
      </c>
      <c r="BI521" s="548">
        <f t="shared" si="471"/>
        <v>0</v>
      </c>
      <c r="BJ521" s="548">
        <f t="shared" si="471"/>
        <v>0</v>
      </c>
      <c r="BK521" s="548">
        <f t="shared" si="471"/>
        <v>90000000</v>
      </c>
      <c r="BL521" s="548">
        <f t="shared" si="471"/>
        <v>31000000</v>
      </c>
      <c r="BM521" s="548">
        <f t="shared" si="471"/>
        <v>11000000</v>
      </c>
      <c r="BN521" s="548">
        <f t="shared" si="471"/>
        <v>0</v>
      </c>
      <c r="BO521" s="548">
        <f t="shared" si="471"/>
        <v>0</v>
      </c>
      <c r="BP521" s="548">
        <f t="shared" si="471"/>
        <v>0</v>
      </c>
      <c r="BQ521" s="548">
        <f t="shared" si="471"/>
        <v>0</v>
      </c>
      <c r="BR521" s="548">
        <f t="shared" si="471"/>
        <v>0</v>
      </c>
      <c r="BS521" s="548">
        <f t="shared" si="471"/>
        <v>0</v>
      </c>
      <c r="BT521" s="548">
        <f t="shared" si="471"/>
        <v>0</v>
      </c>
      <c r="BU521" s="548">
        <f t="shared" si="471"/>
        <v>0</v>
      </c>
      <c r="BV521" s="548">
        <f t="shared" si="471"/>
        <v>0</v>
      </c>
      <c r="BW521" s="548">
        <f t="shared" si="471"/>
        <v>0</v>
      </c>
      <c r="BX521" s="548">
        <f t="shared" si="471"/>
        <v>0</v>
      </c>
      <c r="BY521" s="548">
        <f t="shared" si="471"/>
        <v>0</v>
      </c>
      <c r="BZ521" s="548">
        <f t="shared" ref="BZ521" si="472">SUM(BZ520:BZ520)</f>
        <v>90000000</v>
      </c>
      <c r="CA521" s="548">
        <f t="shared" ref="CA521:CB521" si="473">SUM(CA520:CA520)</f>
        <v>31000000</v>
      </c>
      <c r="CB521" s="548">
        <f t="shared" si="473"/>
        <v>11000000</v>
      </c>
    </row>
    <row r="522" spans="1:80" s="459" customFormat="1" ht="15.75" x14ac:dyDescent="0.2">
      <c r="A522" s="54"/>
      <c r="B522" s="394"/>
      <c r="C522" s="395"/>
      <c r="D522" s="360"/>
      <c r="E522" s="395"/>
      <c r="F522" s="395"/>
      <c r="G522" s="360"/>
      <c r="H522" s="395"/>
      <c r="I522" s="360"/>
      <c r="J522" s="396"/>
      <c r="K522" s="397"/>
      <c r="L522" s="397"/>
      <c r="M522" s="397"/>
      <c r="N522" s="396"/>
      <c r="O522" s="395"/>
      <c r="P522" s="360"/>
      <c r="Q522" s="395"/>
      <c r="R522" s="570"/>
      <c r="S522" s="570"/>
      <c r="T522" s="570"/>
      <c r="U522" s="571"/>
      <c r="V522" s="571"/>
      <c r="W522" s="571"/>
      <c r="X522" s="570"/>
      <c r="Y522" s="570"/>
      <c r="Z522" s="570"/>
      <c r="AA522" s="570"/>
      <c r="AB522" s="570"/>
      <c r="AC522" s="570"/>
      <c r="AD522" s="570"/>
      <c r="AE522" s="570"/>
      <c r="AF522" s="570"/>
      <c r="AG522" s="570"/>
      <c r="AH522" s="570"/>
      <c r="AI522" s="570"/>
      <c r="AJ522" s="570"/>
      <c r="AK522" s="570"/>
      <c r="AL522" s="570"/>
      <c r="AM522" s="570"/>
      <c r="AN522" s="570"/>
      <c r="AO522" s="570"/>
      <c r="AP522" s="570"/>
      <c r="AQ522" s="570"/>
      <c r="AR522" s="570"/>
      <c r="AS522" s="570"/>
      <c r="AT522" s="570"/>
      <c r="AU522" s="570"/>
      <c r="AV522" s="570"/>
      <c r="AW522" s="570"/>
      <c r="AX522" s="570"/>
      <c r="AY522" s="570"/>
      <c r="AZ522" s="570"/>
      <c r="BA522" s="570"/>
      <c r="BB522" s="570"/>
      <c r="BC522" s="570"/>
      <c r="BD522" s="570"/>
      <c r="BE522" s="570"/>
      <c r="BF522" s="570"/>
      <c r="BG522" s="570"/>
      <c r="BH522" s="570"/>
      <c r="BI522" s="570"/>
      <c r="BJ522" s="570"/>
      <c r="BK522" s="591"/>
      <c r="BL522" s="591"/>
      <c r="BM522" s="591"/>
      <c r="BN522" s="592"/>
      <c r="BO522" s="592"/>
      <c r="BP522" s="592"/>
      <c r="BQ522" s="570"/>
      <c r="BR522" s="570"/>
      <c r="BS522" s="570"/>
      <c r="BT522" s="570"/>
      <c r="BU522" s="570"/>
      <c r="BV522" s="570"/>
      <c r="BW522" s="570"/>
      <c r="BX522" s="570"/>
      <c r="BY522" s="570"/>
      <c r="BZ522" s="844"/>
      <c r="CA522" s="844"/>
      <c r="CB522" s="844"/>
    </row>
    <row r="523" spans="1:80" s="459" customFormat="1" ht="15.75" x14ac:dyDescent="0.2">
      <c r="A523" s="54"/>
      <c r="B523" s="394"/>
      <c r="C523" s="704"/>
      <c r="D523" s="229"/>
      <c r="E523" s="230"/>
      <c r="F523" s="230"/>
      <c r="G523" s="274">
        <v>65</v>
      </c>
      <c r="H523" s="100" t="s">
        <v>629</v>
      </c>
      <c r="I523" s="100"/>
      <c r="J523" s="100"/>
      <c r="K523" s="186"/>
      <c r="L523" s="186"/>
      <c r="M523" s="186"/>
      <c r="N523" s="100"/>
      <c r="O523" s="212"/>
      <c r="P523" s="100"/>
      <c r="Q523" s="100"/>
      <c r="R523" s="336"/>
      <c r="S523" s="336"/>
      <c r="T523" s="336"/>
      <c r="U523" s="594"/>
      <c r="V523" s="594"/>
      <c r="W523" s="594"/>
      <c r="X523" s="336"/>
      <c r="Y523" s="336"/>
      <c r="Z523" s="336"/>
      <c r="AA523" s="336"/>
      <c r="AB523" s="336"/>
      <c r="AC523" s="336"/>
      <c r="AD523" s="336"/>
      <c r="AE523" s="336"/>
      <c r="AF523" s="336"/>
      <c r="AG523" s="336"/>
      <c r="AH523" s="336"/>
      <c r="AI523" s="336"/>
      <c r="AJ523" s="336"/>
      <c r="AK523" s="336"/>
      <c r="AL523" s="336"/>
      <c r="AM523" s="336"/>
      <c r="AN523" s="336"/>
      <c r="AO523" s="336"/>
      <c r="AP523" s="336"/>
      <c r="AQ523" s="336"/>
      <c r="AR523" s="336"/>
      <c r="AS523" s="336"/>
      <c r="AT523" s="336"/>
      <c r="AU523" s="336"/>
      <c r="AV523" s="336"/>
      <c r="AW523" s="336"/>
      <c r="AX523" s="336"/>
      <c r="AY523" s="336"/>
      <c r="AZ523" s="336"/>
      <c r="BA523" s="336"/>
      <c r="BB523" s="336"/>
      <c r="BC523" s="336"/>
      <c r="BD523" s="336"/>
      <c r="BE523" s="336"/>
      <c r="BF523" s="336"/>
      <c r="BG523" s="336"/>
      <c r="BH523" s="336"/>
      <c r="BI523" s="336"/>
      <c r="BJ523" s="336"/>
      <c r="BK523" s="552"/>
      <c r="BL523" s="552"/>
      <c r="BM523" s="552"/>
      <c r="BN523" s="336"/>
      <c r="BO523" s="336"/>
      <c r="BP523" s="336"/>
      <c r="BQ523" s="336"/>
      <c r="BR523" s="336"/>
      <c r="BS523" s="336"/>
      <c r="BT523" s="336"/>
      <c r="BU523" s="336"/>
      <c r="BV523" s="336"/>
      <c r="BW523" s="336"/>
      <c r="BX523" s="336"/>
      <c r="BY523" s="336"/>
      <c r="BZ523" s="338"/>
      <c r="CA523" s="338"/>
      <c r="CB523" s="338"/>
    </row>
    <row r="524" spans="1:80" s="11" customFormat="1" ht="84.75" customHeight="1" x14ac:dyDescent="0.2">
      <c r="A524" s="54"/>
      <c r="B524" s="393"/>
      <c r="C524" s="509" t="s">
        <v>630</v>
      </c>
      <c r="D524" s="517" t="s">
        <v>949</v>
      </c>
      <c r="E524" s="509" t="s">
        <v>631</v>
      </c>
      <c r="F524" s="523" t="s">
        <v>632</v>
      </c>
      <c r="G524" s="102"/>
      <c r="H524" s="57">
        <v>196</v>
      </c>
      <c r="I524" s="56" t="s">
        <v>633</v>
      </c>
      <c r="J524" s="57">
        <v>0</v>
      </c>
      <c r="K524" s="207">
        <v>1</v>
      </c>
      <c r="L524" s="489">
        <v>0.4</v>
      </c>
      <c r="M524" s="61">
        <v>201700360093</v>
      </c>
      <c r="N524" s="56" t="s">
        <v>573</v>
      </c>
      <c r="O524" s="498" t="s">
        <v>634</v>
      </c>
      <c r="P524" s="56" t="s">
        <v>635</v>
      </c>
      <c r="Q524" s="57" t="s">
        <v>51</v>
      </c>
      <c r="R524" s="539">
        <v>0</v>
      </c>
      <c r="S524" s="539"/>
      <c r="T524" s="539"/>
      <c r="U524" s="539">
        <v>0</v>
      </c>
      <c r="V524" s="539"/>
      <c r="W524" s="539"/>
      <c r="X524" s="539">
        <v>0</v>
      </c>
      <c r="Y524" s="539"/>
      <c r="Z524" s="539"/>
      <c r="AA524" s="539">
        <v>0</v>
      </c>
      <c r="AB524" s="539"/>
      <c r="AC524" s="539"/>
      <c r="AD524" s="539">
        <v>0</v>
      </c>
      <c r="AE524" s="539"/>
      <c r="AF524" s="539"/>
      <c r="AG524" s="539">
        <v>0</v>
      </c>
      <c r="AH524" s="539"/>
      <c r="AI524" s="539"/>
      <c r="AJ524" s="539">
        <v>0</v>
      </c>
      <c r="AK524" s="539"/>
      <c r="AL524" s="539"/>
      <c r="AM524" s="539"/>
      <c r="AN524" s="539"/>
      <c r="AO524" s="539"/>
      <c r="AP524" s="539"/>
      <c r="AQ524" s="539"/>
      <c r="AR524" s="539"/>
      <c r="AS524" s="539">
        <v>0</v>
      </c>
      <c r="AT524" s="539"/>
      <c r="AU524" s="539"/>
      <c r="AV524" s="539">
        <v>0</v>
      </c>
      <c r="AW524" s="539"/>
      <c r="AX524" s="539"/>
      <c r="AY524" s="539"/>
      <c r="AZ524" s="539"/>
      <c r="BA524" s="539"/>
      <c r="BB524" s="539"/>
      <c r="BC524" s="539"/>
      <c r="BD524" s="539"/>
      <c r="BE524" s="539">
        <v>0</v>
      </c>
      <c r="BF524" s="539"/>
      <c r="BG524" s="539"/>
      <c r="BH524" s="539">
        <v>0</v>
      </c>
      <c r="BI524" s="539"/>
      <c r="BJ524" s="539"/>
      <c r="BK524" s="540">
        <f>25000000+31400000</f>
        <v>56400000</v>
      </c>
      <c r="BL524" s="540">
        <v>56400000</v>
      </c>
      <c r="BM524" s="540">
        <v>12780000</v>
      </c>
      <c r="BN524" s="540"/>
      <c r="BO524" s="540"/>
      <c r="BP524" s="540"/>
      <c r="BQ524" s="539">
        <v>0</v>
      </c>
      <c r="BR524" s="541"/>
      <c r="BS524" s="541"/>
      <c r="BT524" s="541"/>
      <c r="BU524" s="541"/>
      <c r="BV524" s="541"/>
      <c r="BW524" s="541"/>
      <c r="BX524" s="541"/>
      <c r="BY524" s="541"/>
      <c r="BZ524" s="539">
        <f>R524+U524+X524+AA524+AD524+AG524+AJ524+AM524+AP524+AS524+AV524+AY524+BB524+BE524+BH524+BK524+BN524+BQ524+BT524+BW524</f>
        <v>56400000</v>
      </c>
      <c r="CA524" s="539">
        <f t="shared" ref="CA524" si="474">S524+V524+Y524+AB524+AE524+AH524+AK524+AN524+AQ524+AT524+AW524+AZ524+BC524+BF524+BI524+BL524+BO524+BR524+BU524+BX524</f>
        <v>56400000</v>
      </c>
      <c r="CB524" s="539">
        <f t="shared" ref="CB524" si="475">T524+W524+Z524+AC524+AF524+AI524+AL524+AO524+AR524+AU524+AX524+BA524+BD524+BG524+BJ524+BM524+BP524+BS524+BV524+BY524</f>
        <v>12780000</v>
      </c>
    </row>
    <row r="525" spans="1:80" s="459" customFormat="1" ht="15.75" x14ac:dyDescent="0.2">
      <c r="A525" s="54"/>
      <c r="B525" s="394"/>
      <c r="C525" s="703"/>
      <c r="D525" s="209"/>
      <c r="E525" s="259"/>
      <c r="F525" s="259"/>
      <c r="G525" s="350"/>
      <c r="H525" s="78"/>
      <c r="I525" s="77"/>
      <c r="J525" s="78"/>
      <c r="K525" s="240"/>
      <c r="L525" s="240"/>
      <c r="M525" s="240"/>
      <c r="N525" s="78"/>
      <c r="O525" s="78"/>
      <c r="P525" s="77"/>
      <c r="Q525" s="78"/>
      <c r="R525" s="548">
        <f t="shared" ref="R525:BY525" si="476">SUM(R524)</f>
        <v>0</v>
      </c>
      <c r="S525" s="548">
        <f t="shared" si="476"/>
        <v>0</v>
      </c>
      <c r="T525" s="548">
        <f t="shared" si="476"/>
        <v>0</v>
      </c>
      <c r="U525" s="548">
        <f t="shared" si="476"/>
        <v>0</v>
      </c>
      <c r="V525" s="548">
        <f t="shared" si="476"/>
        <v>0</v>
      </c>
      <c r="W525" s="548">
        <f t="shared" si="476"/>
        <v>0</v>
      </c>
      <c r="X525" s="548">
        <f t="shared" si="476"/>
        <v>0</v>
      </c>
      <c r="Y525" s="548">
        <f t="shared" si="476"/>
        <v>0</v>
      </c>
      <c r="Z525" s="548">
        <f t="shared" si="476"/>
        <v>0</v>
      </c>
      <c r="AA525" s="548">
        <f t="shared" si="476"/>
        <v>0</v>
      </c>
      <c r="AB525" s="548">
        <f t="shared" si="476"/>
        <v>0</v>
      </c>
      <c r="AC525" s="548">
        <f t="shared" si="476"/>
        <v>0</v>
      </c>
      <c r="AD525" s="548">
        <f t="shared" si="476"/>
        <v>0</v>
      </c>
      <c r="AE525" s="548">
        <f t="shared" si="476"/>
        <v>0</v>
      </c>
      <c r="AF525" s="548">
        <f t="shared" si="476"/>
        <v>0</v>
      </c>
      <c r="AG525" s="548">
        <f t="shared" si="476"/>
        <v>0</v>
      </c>
      <c r="AH525" s="548">
        <f t="shared" si="476"/>
        <v>0</v>
      </c>
      <c r="AI525" s="548">
        <f t="shared" si="476"/>
        <v>0</v>
      </c>
      <c r="AJ525" s="548">
        <f t="shared" si="476"/>
        <v>0</v>
      </c>
      <c r="AK525" s="548">
        <f t="shared" si="476"/>
        <v>0</v>
      </c>
      <c r="AL525" s="548">
        <f t="shared" si="476"/>
        <v>0</v>
      </c>
      <c r="AM525" s="548">
        <f t="shared" si="476"/>
        <v>0</v>
      </c>
      <c r="AN525" s="548">
        <f t="shared" si="476"/>
        <v>0</v>
      </c>
      <c r="AO525" s="548">
        <f t="shared" si="476"/>
        <v>0</v>
      </c>
      <c r="AP525" s="548">
        <f t="shared" si="476"/>
        <v>0</v>
      </c>
      <c r="AQ525" s="548">
        <f t="shared" si="476"/>
        <v>0</v>
      </c>
      <c r="AR525" s="548">
        <f t="shared" si="476"/>
        <v>0</v>
      </c>
      <c r="AS525" s="548">
        <f t="shared" si="476"/>
        <v>0</v>
      </c>
      <c r="AT525" s="548">
        <f t="shared" si="476"/>
        <v>0</v>
      </c>
      <c r="AU525" s="548">
        <f t="shared" si="476"/>
        <v>0</v>
      </c>
      <c r="AV525" s="548">
        <f t="shared" si="476"/>
        <v>0</v>
      </c>
      <c r="AW525" s="548">
        <f t="shared" si="476"/>
        <v>0</v>
      </c>
      <c r="AX525" s="548">
        <f t="shared" si="476"/>
        <v>0</v>
      </c>
      <c r="AY525" s="548">
        <f t="shared" si="476"/>
        <v>0</v>
      </c>
      <c r="AZ525" s="548">
        <f t="shared" si="476"/>
        <v>0</v>
      </c>
      <c r="BA525" s="548">
        <f t="shared" si="476"/>
        <v>0</v>
      </c>
      <c r="BB525" s="548">
        <f t="shared" si="476"/>
        <v>0</v>
      </c>
      <c r="BC525" s="548">
        <f t="shared" si="476"/>
        <v>0</v>
      </c>
      <c r="BD525" s="548">
        <f t="shared" si="476"/>
        <v>0</v>
      </c>
      <c r="BE525" s="548">
        <f t="shared" si="476"/>
        <v>0</v>
      </c>
      <c r="BF525" s="548">
        <f t="shared" si="476"/>
        <v>0</v>
      </c>
      <c r="BG525" s="548">
        <f t="shared" si="476"/>
        <v>0</v>
      </c>
      <c r="BH525" s="548">
        <f t="shared" si="476"/>
        <v>0</v>
      </c>
      <c r="BI525" s="548">
        <f t="shared" si="476"/>
        <v>0</v>
      </c>
      <c r="BJ525" s="548">
        <f t="shared" si="476"/>
        <v>0</v>
      </c>
      <c r="BK525" s="548">
        <f t="shared" si="476"/>
        <v>56400000</v>
      </c>
      <c r="BL525" s="548">
        <f t="shared" si="476"/>
        <v>56400000</v>
      </c>
      <c r="BM525" s="548">
        <f t="shared" si="476"/>
        <v>12780000</v>
      </c>
      <c r="BN525" s="548">
        <f t="shared" si="476"/>
        <v>0</v>
      </c>
      <c r="BO525" s="548">
        <f t="shared" si="476"/>
        <v>0</v>
      </c>
      <c r="BP525" s="548">
        <f t="shared" si="476"/>
        <v>0</v>
      </c>
      <c r="BQ525" s="548">
        <f t="shared" si="476"/>
        <v>0</v>
      </c>
      <c r="BR525" s="548">
        <f t="shared" si="476"/>
        <v>0</v>
      </c>
      <c r="BS525" s="548">
        <f t="shared" si="476"/>
        <v>0</v>
      </c>
      <c r="BT525" s="548">
        <f t="shared" si="476"/>
        <v>0</v>
      </c>
      <c r="BU525" s="548">
        <f t="shared" si="476"/>
        <v>0</v>
      </c>
      <c r="BV525" s="548">
        <f t="shared" si="476"/>
        <v>0</v>
      </c>
      <c r="BW525" s="548">
        <f t="shared" si="476"/>
        <v>0</v>
      </c>
      <c r="BX525" s="548">
        <f t="shared" si="476"/>
        <v>0</v>
      </c>
      <c r="BY525" s="548">
        <f t="shared" si="476"/>
        <v>0</v>
      </c>
      <c r="BZ525" s="548">
        <f>SUM(BZ524)</f>
        <v>56400000</v>
      </c>
      <c r="CA525" s="548">
        <f t="shared" ref="CA525:CB525" si="477">SUM(CA524)</f>
        <v>56400000</v>
      </c>
      <c r="CB525" s="548">
        <f t="shared" si="477"/>
        <v>12780000</v>
      </c>
    </row>
    <row r="526" spans="1:80" s="459" customFormat="1" ht="21" customHeight="1" x14ac:dyDescent="0.2">
      <c r="A526" s="54"/>
      <c r="B526" s="394"/>
      <c r="C526" s="395"/>
      <c r="D526" s="360"/>
      <c r="E526" s="395"/>
      <c r="F526" s="395"/>
      <c r="G526" s="360"/>
      <c r="H526" s="395"/>
      <c r="I526" s="360"/>
      <c r="J526" s="396"/>
      <c r="K526" s="397"/>
      <c r="L526" s="397"/>
      <c r="M526" s="397"/>
      <c r="N526" s="396"/>
      <c r="O526" s="395"/>
      <c r="P526" s="360"/>
      <c r="Q526" s="395"/>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c r="AQ526" s="570"/>
      <c r="AR526" s="570"/>
      <c r="AS526" s="570"/>
      <c r="AT526" s="570"/>
      <c r="AU526" s="570"/>
      <c r="AV526" s="570"/>
      <c r="AW526" s="570"/>
      <c r="AX526" s="570"/>
      <c r="AY526" s="570"/>
      <c r="AZ526" s="570"/>
      <c r="BA526" s="570"/>
      <c r="BB526" s="570"/>
      <c r="BC526" s="570"/>
      <c r="BD526" s="570"/>
      <c r="BE526" s="570"/>
      <c r="BF526" s="570"/>
      <c r="BG526" s="570"/>
      <c r="BH526" s="570"/>
      <c r="BI526" s="570"/>
      <c r="BJ526" s="570"/>
      <c r="BK526" s="591"/>
      <c r="BL526" s="591"/>
      <c r="BM526" s="591"/>
      <c r="BN526" s="592"/>
      <c r="BO526" s="592"/>
      <c r="BP526" s="592"/>
      <c r="BQ526" s="570"/>
      <c r="BR526" s="570"/>
      <c r="BS526" s="570"/>
      <c r="BT526" s="570"/>
      <c r="BU526" s="570"/>
      <c r="BV526" s="570"/>
      <c r="BW526" s="570"/>
      <c r="BX526" s="570"/>
      <c r="BY526" s="570"/>
      <c r="BZ526" s="844"/>
      <c r="CA526" s="844"/>
      <c r="CB526" s="844"/>
    </row>
    <row r="527" spans="1:80" s="459" customFormat="1" ht="15.75" x14ac:dyDescent="0.2">
      <c r="A527" s="54"/>
      <c r="B527" s="394"/>
      <c r="C527" s="704"/>
      <c r="D527" s="229"/>
      <c r="E527" s="230"/>
      <c r="F527" s="230"/>
      <c r="G527" s="98">
        <v>66</v>
      </c>
      <c r="H527" s="100" t="s">
        <v>636</v>
      </c>
      <c r="I527" s="100"/>
      <c r="J527" s="100"/>
      <c r="K527" s="186"/>
      <c r="L527" s="186"/>
      <c r="M527" s="186"/>
      <c r="N527" s="100"/>
      <c r="O527" s="212"/>
      <c r="P527" s="100"/>
      <c r="Q527" s="100"/>
      <c r="R527" s="336"/>
      <c r="S527" s="336"/>
      <c r="T527" s="336"/>
      <c r="U527" s="336"/>
      <c r="V527" s="336"/>
      <c r="W527" s="336"/>
      <c r="X527" s="336"/>
      <c r="Y527" s="336"/>
      <c r="Z527" s="336"/>
      <c r="AA527" s="336"/>
      <c r="AB527" s="336"/>
      <c r="AC527" s="336"/>
      <c r="AD527" s="336"/>
      <c r="AE527" s="336"/>
      <c r="AF527" s="336"/>
      <c r="AG527" s="336"/>
      <c r="AH527" s="336"/>
      <c r="AI527" s="336"/>
      <c r="AJ527" s="336"/>
      <c r="AK527" s="336"/>
      <c r="AL527" s="336"/>
      <c r="AM527" s="336"/>
      <c r="AN527" s="336"/>
      <c r="AO527" s="336"/>
      <c r="AP527" s="336"/>
      <c r="AQ527" s="336"/>
      <c r="AR527" s="336"/>
      <c r="AS527" s="336"/>
      <c r="AT527" s="336"/>
      <c r="AU527" s="336"/>
      <c r="AV527" s="336"/>
      <c r="AW527" s="336"/>
      <c r="AX527" s="336"/>
      <c r="AY527" s="336"/>
      <c r="AZ527" s="336"/>
      <c r="BA527" s="336"/>
      <c r="BB527" s="336"/>
      <c r="BC527" s="336"/>
      <c r="BD527" s="336"/>
      <c r="BE527" s="336"/>
      <c r="BF527" s="336"/>
      <c r="BG527" s="336"/>
      <c r="BH527" s="336"/>
      <c r="BI527" s="336"/>
      <c r="BJ527" s="336"/>
      <c r="BK527" s="552"/>
      <c r="BL527" s="552"/>
      <c r="BM527" s="552"/>
      <c r="BN527" s="336"/>
      <c r="BO527" s="336"/>
      <c r="BP527" s="336"/>
      <c r="BQ527" s="336"/>
      <c r="BR527" s="336"/>
      <c r="BS527" s="336"/>
      <c r="BT527" s="336"/>
      <c r="BU527" s="336"/>
      <c r="BV527" s="336"/>
      <c r="BW527" s="336"/>
      <c r="BX527" s="336"/>
      <c r="BY527" s="336"/>
      <c r="BZ527" s="338"/>
      <c r="CA527" s="338"/>
      <c r="CB527" s="338"/>
    </row>
    <row r="528" spans="1:80" s="11" customFormat="1" ht="85.5" customHeight="1" x14ac:dyDescent="0.2">
      <c r="A528" s="54"/>
      <c r="B528" s="393"/>
      <c r="C528" s="509">
        <v>21</v>
      </c>
      <c r="D528" s="517" t="s">
        <v>950</v>
      </c>
      <c r="E528" s="509" t="s">
        <v>637</v>
      </c>
      <c r="F528" s="523">
        <v>0.27</v>
      </c>
      <c r="G528" s="139"/>
      <c r="H528" s="55">
        <v>197</v>
      </c>
      <c r="I528" s="56" t="s">
        <v>638</v>
      </c>
      <c r="J528" s="57">
        <v>1</v>
      </c>
      <c r="K528" s="207">
        <v>1</v>
      </c>
      <c r="L528" s="489">
        <v>0.2</v>
      </c>
      <c r="M528" s="61">
        <v>201700360094</v>
      </c>
      <c r="N528" s="56" t="s">
        <v>573</v>
      </c>
      <c r="O528" s="498" t="s">
        <v>639</v>
      </c>
      <c r="P528" s="56" t="s">
        <v>640</v>
      </c>
      <c r="Q528" s="57" t="s">
        <v>51</v>
      </c>
      <c r="R528" s="539"/>
      <c r="S528" s="539"/>
      <c r="T528" s="539"/>
      <c r="U528" s="539"/>
      <c r="V528" s="539"/>
      <c r="W528" s="539"/>
      <c r="X528" s="539"/>
      <c r="Y528" s="539"/>
      <c r="Z528" s="539"/>
      <c r="AA528" s="539"/>
      <c r="AB528" s="539"/>
      <c r="AC528" s="539"/>
      <c r="AD528" s="539"/>
      <c r="AE528" s="539"/>
      <c r="AF528" s="539"/>
      <c r="AG528" s="539"/>
      <c r="AH528" s="539"/>
      <c r="AI528" s="539"/>
      <c r="AJ528" s="539"/>
      <c r="AK528" s="539"/>
      <c r="AL528" s="539"/>
      <c r="AM528" s="539"/>
      <c r="AN528" s="539"/>
      <c r="AO528" s="539"/>
      <c r="AP528" s="539"/>
      <c r="AQ528" s="539"/>
      <c r="AR528" s="539"/>
      <c r="AS528" s="539"/>
      <c r="AT528" s="539"/>
      <c r="AU528" s="539"/>
      <c r="AV528" s="539"/>
      <c r="AW528" s="539"/>
      <c r="AX528" s="539"/>
      <c r="AY528" s="539"/>
      <c r="AZ528" s="539"/>
      <c r="BA528" s="539"/>
      <c r="BB528" s="539"/>
      <c r="BC528" s="539"/>
      <c r="BD528" s="539"/>
      <c r="BE528" s="539"/>
      <c r="BF528" s="539"/>
      <c r="BG528" s="539"/>
      <c r="BH528" s="539"/>
      <c r="BI528" s="539"/>
      <c r="BJ528" s="539"/>
      <c r="BK528" s="540">
        <f>45000000+24300000</f>
        <v>69300000</v>
      </c>
      <c r="BL528" s="540">
        <v>59520000</v>
      </c>
      <c r="BM528" s="540">
        <v>14560000</v>
      </c>
      <c r="BN528" s="553"/>
      <c r="BO528" s="553"/>
      <c r="BP528" s="553"/>
      <c r="BQ528" s="539"/>
      <c r="BR528" s="541"/>
      <c r="BS528" s="541"/>
      <c r="BT528" s="541"/>
      <c r="BU528" s="541"/>
      <c r="BV528" s="541"/>
      <c r="BW528" s="541"/>
      <c r="BX528" s="541"/>
      <c r="BY528" s="541"/>
      <c r="BZ528" s="539">
        <f>R528+U528+X528+AA528+AD528+AG528+AJ528+AM528+AP528+AS528+AV528+AY528+BB528+BE528+BH528+BK528+BN528+BQ528+BT528+BW528</f>
        <v>69300000</v>
      </c>
      <c r="CA528" s="539">
        <f t="shared" ref="CA528" si="478">S528+V528+Y528+AB528+AE528+AH528+AK528+AN528+AQ528+AT528+AW528+AZ528+BC528+BF528+BI528+BL528+BO528+BR528+BU528+BX528</f>
        <v>59520000</v>
      </c>
      <c r="CB528" s="539">
        <f t="shared" ref="CB528" si="479">T528+W528+Z528+AC528+AF528+AI528+AL528+AO528+AR528+AU528+AX528+BA528+BD528+BG528+BJ528+BM528+BP528+BS528+BV528+BY528</f>
        <v>14560000</v>
      </c>
    </row>
    <row r="529" spans="1:80" s="459" customFormat="1" ht="15.75" x14ac:dyDescent="0.2">
      <c r="A529" s="54"/>
      <c r="B529" s="399"/>
      <c r="C529" s="703"/>
      <c r="D529" s="209"/>
      <c r="E529" s="259"/>
      <c r="F529" s="259"/>
      <c r="G529" s="77"/>
      <c r="H529" s="78"/>
      <c r="I529" s="77"/>
      <c r="J529" s="78"/>
      <c r="K529" s="240"/>
      <c r="L529" s="240"/>
      <c r="M529" s="240"/>
      <c r="N529" s="78"/>
      <c r="O529" s="78"/>
      <c r="P529" s="77"/>
      <c r="Q529" s="78"/>
      <c r="R529" s="548">
        <f t="shared" ref="R529:BY529" si="480">SUM(R528:R528)</f>
        <v>0</v>
      </c>
      <c r="S529" s="548">
        <f t="shared" si="480"/>
        <v>0</v>
      </c>
      <c r="T529" s="548">
        <f t="shared" si="480"/>
        <v>0</v>
      </c>
      <c r="U529" s="548">
        <f t="shared" si="480"/>
        <v>0</v>
      </c>
      <c r="V529" s="548">
        <f t="shared" si="480"/>
        <v>0</v>
      </c>
      <c r="W529" s="548">
        <f t="shared" si="480"/>
        <v>0</v>
      </c>
      <c r="X529" s="548">
        <f t="shared" si="480"/>
        <v>0</v>
      </c>
      <c r="Y529" s="548">
        <f t="shared" si="480"/>
        <v>0</v>
      </c>
      <c r="Z529" s="548">
        <f t="shared" si="480"/>
        <v>0</v>
      </c>
      <c r="AA529" s="548">
        <f t="shared" si="480"/>
        <v>0</v>
      </c>
      <c r="AB529" s="548">
        <f t="shared" si="480"/>
        <v>0</v>
      </c>
      <c r="AC529" s="548">
        <f t="shared" si="480"/>
        <v>0</v>
      </c>
      <c r="AD529" s="548">
        <f t="shared" si="480"/>
        <v>0</v>
      </c>
      <c r="AE529" s="548">
        <f t="shared" si="480"/>
        <v>0</v>
      </c>
      <c r="AF529" s="548">
        <f t="shared" si="480"/>
        <v>0</v>
      </c>
      <c r="AG529" s="548">
        <f t="shared" si="480"/>
        <v>0</v>
      </c>
      <c r="AH529" s="548">
        <f t="shared" si="480"/>
        <v>0</v>
      </c>
      <c r="AI529" s="548">
        <f t="shared" si="480"/>
        <v>0</v>
      </c>
      <c r="AJ529" s="548">
        <f t="shared" si="480"/>
        <v>0</v>
      </c>
      <c r="AK529" s="548">
        <f t="shared" si="480"/>
        <v>0</v>
      </c>
      <c r="AL529" s="548">
        <f t="shared" si="480"/>
        <v>0</v>
      </c>
      <c r="AM529" s="548">
        <f t="shared" si="480"/>
        <v>0</v>
      </c>
      <c r="AN529" s="548">
        <f t="shared" si="480"/>
        <v>0</v>
      </c>
      <c r="AO529" s="548">
        <f t="shared" si="480"/>
        <v>0</v>
      </c>
      <c r="AP529" s="548">
        <f t="shared" si="480"/>
        <v>0</v>
      </c>
      <c r="AQ529" s="548">
        <f t="shared" si="480"/>
        <v>0</v>
      </c>
      <c r="AR529" s="548">
        <f t="shared" si="480"/>
        <v>0</v>
      </c>
      <c r="AS529" s="548">
        <f t="shared" si="480"/>
        <v>0</v>
      </c>
      <c r="AT529" s="548">
        <f t="shared" si="480"/>
        <v>0</v>
      </c>
      <c r="AU529" s="548">
        <f t="shared" si="480"/>
        <v>0</v>
      </c>
      <c r="AV529" s="548">
        <f t="shared" si="480"/>
        <v>0</v>
      </c>
      <c r="AW529" s="548">
        <f t="shared" si="480"/>
        <v>0</v>
      </c>
      <c r="AX529" s="548">
        <f t="shared" si="480"/>
        <v>0</v>
      </c>
      <c r="AY529" s="548">
        <f t="shared" si="480"/>
        <v>0</v>
      </c>
      <c r="AZ529" s="548">
        <f t="shared" si="480"/>
        <v>0</v>
      </c>
      <c r="BA529" s="548">
        <f t="shared" si="480"/>
        <v>0</v>
      </c>
      <c r="BB529" s="548">
        <f t="shared" si="480"/>
        <v>0</v>
      </c>
      <c r="BC529" s="548">
        <f t="shared" si="480"/>
        <v>0</v>
      </c>
      <c r="BD529" s="548">
        <f t="shared" si="480"/>
        <v>0</v>
      </c>
      <c r="BE529" s="548">
        <f t="shared" si="480"/>
        <v>0</v>
      </c>
      <c r="BF529" s="548">
        <f t="shared" si="480"/>
        <v>0</v>
      </c>
      <c r="BG529" s="548">
        <f t="shared" si="480"/>
        <v>0</v>
      </c>
      <c r="BH529" s="548">
        <f t="shared" si="480"/>
        <v>0</v>
      </c>
      <c r="BI529" s="548">
        <f t="shared" si="480"/>
        <v>0</v>
      </c>
      <c r="BJ529" s="548">
        <f t="shared" si="480"/>
        <v>0</v>
      </c>
      <c r="BK529" s="548">
        <f t="shared" si="480"/>
        <v>69300000</v>
      </c>
      <c r="BL529" s="548">
        <f t="shared" si="480"/>
        <v>59520000</v>
      </c>
      <c r="BM529" s="548">
        <f t="shared" si="480"/>
        <v>14560000</v>
      </c>
      <c r="BN529" s="548">
        <f t="shared" si="480"/>
        <v>0</v>
      </c>
      <c r="BO529" s="548">
        <f t="shared" si="480"/>
        <v>0</v>
      </c>
      <c r="BP529" s="548">
        <f t="shared" si="480"/>
        <v>0</v>
      </c>
      <c r="BQ529" s="548">
        <f t="shared" si="480"/>
        <v>0</v>
      </c>
      <c r="BR529" s="548">
        <f t="shared" si="480"/>
        <v>0</v>
      </c>
      <c r="BS529" s="548">
        <f t="shared" si="480"/>
        <v>0</v>
      </c>
      <c r="BT529" s="548">
        <f t="shared" si="480"/>
        <v>0</v>
      </c>
      <c r="BU529" s="548">
        <f t="shared" si="480"/>
        <v>0</v>
      </c>
      <c r="BV529" s="548">
        <f t="shared" si="480"/>
        <v>0</v>
      </c>
      <c r="BW529" s="548">
        <f t="shared" si="480"/>
        <v>0</v>
      </c>
      <c r="BX529" s="548">
        <f t="shared" si="480"/>
        <v>0</v>
      </c>
      <c r="BY529" s="548">
        <f t="shared" si="480"/>
        <v>0</v>
      </c>
      <c r="BZ529" s="548">
        <f t="shared" ref="BZ529" si="481">SUM(BZ528:BZ528)</f>
        <v>69300000</v>
      </c>
      <c r="CA529" s="548">
        <f t="shared" ref="CA529:CB529" si="482">SUM(CA528:CA528)</f>
        <v>59520000</v>
      </c>
      <c r="CB529" s="548">
        <f t="shared" si="482"/>
        <v>14560000</v>
      </c>
    </row>
    <row r="530" spans="1:80" s="459" customFormat="1" ht="15.75" x14ac:dyDescent="0.2">
      <c r="A530" s="54"/>
      <c r="B530" s="118"/>
      <c r="C530" s="82"/>
      <c r="D530" s="81"/>
      <c r="E530" s="82"/>
      <c r="F530" s="82"/>
      <c r="G530" s="81"/>
      <c r="H530" s="82"/>
      <c r="I530" s="81"/>
      <c r="J530" s="82"/>
      <c r="K530" s="261"/>
      <c r="L530" s="261"/>
      <c r="M530" s="261"/>
      <c r="N530" s="82"/>
      <c r="O530" s="82"/>
      <c r="P530" s="81"/>
      <c r="Q530" s="82"/>
      <c r="R530" s="554">
        <f t="shared" ref="R530:BY530" si="483">R529+R525+R521+R517+R512</f>
        <v>0</v>
      </c>
      <c r="S530" s="554">
        <f t="shared" si="483"/>
        <v>0</v>
      </c>
      <c r="T530" s="554">
        <f t="shared" si="483"/>
        <v>0</v>
      </c>
      <c r="U530" s="554">
        <f t="shared" si="483"/>
        <v>0</v>
      </c>
      <c r="V530" s="554">
        <f t="shared" si="483"/>
        <v>0</v>
      </c>
      <c r="W530" s="554">
        <f t="shared" si="483"/>
        <v>0</v>
      </c>
      <c r="X530" s="554">
        <f t="shared" si="483"/>
        <v>0</v>
      </c>
      <c r="Y530" s="554">
        <f t="shared" si="483"/>
        <v>0</v>
      </c>
      <c r="Z530" s="554">
        <f t="shared" si="483"/>
        <v>0</v>
      </c>
      <c r="AA530" s="554">
        <f t="shared" si="483"/>
        <v>0</v>
      </c>
      <c r="AB530" s="554">
        <f t="shared" si="483"/>
        <v>0</v>
      </c>
      <c r="AC530" s="554">
        <f t="shared" si="483"/>
        <v>0</v>
      </c>
      <c r="AD530" s="554">
        <f t="shared" si="483"/>
        <v>0</v>
      </c>
      <c r="AE530" s="554">
        <f t="shared" si="483"/>
        <v>0</v>
      </c>
      <c r="AF530" s="554">
        <f t="shared" si="483"/>
        <v>0</v>
      </c>
      <c r="AG530" s="554">
        <f t="shared" si="483"/>
        <v>0</v>
      </c>
      <c r="AH530" s="554">
        <f t="shared" si="483"/>
        <v>0</v>
      </c>
      <c r="AI530" s="554">
        <f t="shared" si="483"/>
        <v>0</v>
      </c>
      <c r="AJ530" s="554">
        <f t="shared" si="483"/>
        <v>0</v>
      </c>
      <c r="AK530" s="554">
        <f t="shared" si="483"/>
        <v>0</v>
      </c>
      <c r="AL530" s="554">
        <f t="shared" si="483"/>
        <v>0</v>
      </c>
      <c r="AM530" s="554">
        <f t="shared" si="483"/>
        <v>0</v>
      </c>
      <c r="AN530" s="554">
        <f t="shared" si="483"/>
        <v>0</v>
      </c>
      <c r="AO530" s="554">
        <f t="shared" si="483"/>
        <v>0</v>
      </c>
      <c r="AP530" s="554">
        <f t="shared" si="483"/>
        <v>0</v>
      </c>
      <c r="AQ530" s="554">
        <f t="shared" si="483"/>
        <v>0</v>
      </c>
      <c r="AR530" s="554">
        <f t="shared" si="483"/>
        <v>0</v>
      </c>
      <c r="AS530" s="554">
        <f t="shared" si="483"/>
        <v>0</v>
      </c>
      <c r="AT530" s="554">
        <f t="shared" si="483"/>
        <v>0</v>
      </c>
      <c r="AU530" s="554">
        <f t="shared" si="483"/>
        <v>0</v>
      </c>
      <c r="AV530" s="554">
        <f t="shared" si="483"/>
        <v>0</v>
      </c>
      <c r="AW530" s="554">
        <f t="shared" si="483"/>
        <v>0</v>
      </c>
      <c r="AX530" s="554">
        <f t="shared" si="483"/>
        <v>0</v>
      </c>
      <c r="AY530" s="554">
        <f t="shared" si="483"/>
        <v>0</v>
      </c>
      <c r="AZ530" s="554">
        <f t="shared" si="483"/>
        <v>0</v>
      </c>
      <c r="BA530" s="554">
        <f t="shared" si="483"/>
        <v>0</v>
      </c>
      <c r="BB530" s="554">
        <f t="shared" si="483"/>
        <v>0</v>
      </c>
      <c r="BC530" s="554">
        <f t="shared" si="483"/>
        <v>0</v>
      </c>
      <c r="BD530" s="554">
        <f t="shared" si="483"/>
        <v>0</v>
      </c>
      <c r="BE530" s="554">
        <f t="shared" si="483"/>
        <v>0</v>
      </c>
      <c r="BF530" s="554">
        <f t="shared" si="483"/>
        <v>0</v>
      </c>
      <c r="BG530" s="554">
        <f t="shared" si="483"/>
        <v>0</v>
      </c>
      <c r="BH530" s="554">
        <f t="shared" si="483"/>
        <v>0</v>
      </c>
      <c r="BI530" s="554">
        <f t="shared" si="483"/>
        <v>0</v>
      </c>
      <c r="BJ530" s="554">
        <f t="shared" si="483"/>
        <v>0</v>
      </c>
      <c r="BK530" s="554">
        <f t="shared" si="483"/>
        <v>1580700000</v>
      </c>
      <c r="BL530" s="554">
        <f t="shared" si="483"/>
        <v>403760000</v>
      </c>
      <c r="BM530" s="554">
        <f t="shared" si="483"/>
        <v>100730000</v>
      </c>
      <c r="BN530" s="554">
        <f t="shared" si="483"/>
        <v>0</v>
      </c>
      <c r="BO530" s="554">
        <f t="shared" si="483"/>
        <v>0</v>
      </c>
      <c r="BP530" s="554">
        <f t="shared" si="483"/>
        <v>0</v>
      </c>
      <c r="BQ530" s="554">
        <f t="shared" si="483"/>
        <v>0</v>
      </c>
      <c r="BR530" s="554">
        <f t="shared" si="483"/>
        <v>0</v>
      </c>
      <c r="BS530" s="554">
        <f t="shared" si="483"/>
        <v>0</v>
      </c>
      <c r="BT530" s="554">
        <f t="shared" si="483"/>
        <v>0</v>
      </c>
      <c r="BU530" s="554">
        <f t="shared" si="483"/>
        <v>0</v>
      </c>
      <c r="BV530" s="554">
        <f t="shared" si="483"/>
        <v>0</v>
      </c>
      <c r="BW530" s="554">
        <f t="shared" si="483"/>
        <v>0</v>
      </c>
      <c r="BX530" s="554">
        <f t="shared" si="483"/>
        <v>0</v>
      </c>
      <c r="BY530" s="554">
        <f t="shared" si="483"/>
        <v>0</v>
      </c>
      <c r="BZ530" s="554">
        <f t="shared" ref="BZ530" si="484">BZ529+BZ525+BZ521+BZ517+BZ512</f>
        <v>1580700000</v>
      </c>
      <c r="CA530" s="554">
        <f t="shared" ref="CA530:CB530" si="485">CA529+CA525+CA521+CA517+CA512</f>
        <v>403760000</v>
      </c>
      <c r="CB530" s="554">
        <f t="shared" si="485"/>
        <v>100730000</v>
      </c>
    </row>
    <row r="531" spans="1:80" s="459" customFormat="1" ht="15.75" x14ac:dyDescent="0.2">
      <c r="A531" s="54"/>
      <c r="B531" s="390"/>
      <c r="C531" s="391"/>
      <c r="D531" s="91"/>
      <c r="E531" s="92"/>
      <c r="F531" s="92"/>
      <c r="G531" s="91"/>
      <c r="H531" s="92"/>
      <c r="I531" s="91"/>
      <c r="J531" s="92"/>
      <c r="K531" s="245"/>
      <c r="L531" s="245"/>
      <c r="M531" s="245"/>
      <c r="N531" s="92"/>
      <c r="O531" s="500"/>
      <c r="P531" s="91"/>
      <c r="Q531" s="92"/>
      <c r="R531" s="543"/>
      <c r="S531" s="543"/>
      <c r="T531" s="543"/>
      <c r="U531" s="543"/>
      <c r="V531" s="543"/>
      <c r="W531" s="543"/>
      <c r="X531" s="543"/>
      <c r="Y531" s="543"/>
      <c r="Z531" s="543"/>
      <c r="AA531" s="543"/>
      <c r="AB531" s="543"/>
      <c r="AC531" s="543"/>
      <c r="AD531" s="543"/>
      <c r="AE531" s="543"/>
      <c r="AF531" s="543"/>
      <c r="AG531" s="543"/>
      <c r="AH531" s="543"/>
      <c r="AI531" s="543"/>
      <c r="AJ531" s="543"/>
      <c r="AK531" s="543"/>
      <c r="AL531" s="543"/>
      <c r="AM531" s="543"/>
      <c r="AN531" s="543"/>
      <c r="AO531" s="543"/>
      <c r="AP531" s="543"/>
      <c r="AQ531" s="543"/>
      <c r="AR531" s="543"/>
      <c r="AS531" s="543"/>
      <c r="AT531" s="543"/>
      <c r="AU531" s="543"/>
      <c r="AV531" s="543"/>
      <c r="AW531" s="543"/>
      <c r="AX531" s="543"/>
      <c r="AY531" s="543"/>
      <c r="AZ531" s="543"/>
      <c r="BA531" s="543"/>
      <c r="BB531" s="543"/>
      <c r="BC531" s="543"/>
      <c r="BD531" s="543"/>
      <c r="BE531" s="543"/>
      <c r="BF531" s="543"/>
      <c r="BG531" s="543"/>
      <c r="BH531" s="543"/>
      <c r="BI531" s="543"/>
      <c r="BJ531" s="543"/>
      <c r="BK531" s="545"/>
      <c r="BL531" s="545"/>
      <c r="BM531" s="545"/>
      <c r="BN531" s="546"/>
      <c r="BO531" s="546"/>
      <c r="BP531" s="546"/>
      <c r="BQ531" s="543"/>
      <c r="BR531" s="543"/>
      <c r="BS531" s="543"/>
      <c r="BT531" s="543"/>
      <c r="BU531" s="543"/>
      <c r="BV531" s="543"/>
      <c r="BW531" s="543"/>
      <c r="BX531" s="543"/>
      <c r="BY531" s="543"/>
      <c r="BZ531" s="547"/>
      <c r="CA531" s="547"/>
      <c r="CB531" s="547"/>
    </row>
    <row r="532" spans="1:80" s="459" customFormat="1" ht="15.75" x14ac:dyDescent="0.2">
      <c r="A532" s="54"/>
      <c r="B532" s="152">
        <v>19</v>
      </c>
      <c r="C532" s="49" t="s">
        <v>641</v>
      </c>
      <c r="D532" s="50"/>
      <c r="E532" s="50"/>
      <c r="F532" s="50"/>
      <c r="G532" s="50"/>
      <c r="H532" s="51"/>
      <c r="I532" s="50"/>
      <c r="J532" s="50"/>
      <c r="K532" s="252"/>
      <c r="L532" s="252"/>
      <c r="M532" s="252"/>
      <c r="N532" s="50"/>
      <c r="O532" s="51"/>
      <c r="P532" s="50"/>
      <c r="Q532" s="50"/>
      <c r="R532" s="550"/>
      <c r="S532" s="550"/>
      <c r="T532" s="550"/>
      <c r="U532" s="550"/>
      <c r="V532" s="550"/>
      <c r="W532" s="550"/>
      <c r="X532" s="550"/>
      <c r="Y532" s="550"/>
      <c r="Z532" s="550"/>
      <c r="AA532" s="550"/>
      <c r="AB532" s="550"/>
      <c r="AC532" s="550"/>
      <c r="AD532" s="550"/>
      <c r="AE532" s="550"/>
      <c r="AF532" s="550"/>
      <c r="AG532" s="550"/>
      <c r="AH532" s="550"/>
      <c r="AI532" s="550"/>
      <c r="AJ532" s="550"/>
      <c r="AK532" s="550"/>
      <c r="AL532" s="550"/>
      <c r="AM532" s="550"/>
      <c r="AN532" s="550"/>
      <c r="AO532" s="550"/>
      <c r="AP532" s="550"/>
      <c r="AQ532" s="550"/>
      <c r="AR532" s="550"/>
      <c r="AS532" s="550"/>
      <c r="AT532" s="550"/>
      <c r="AU532" s="550"/>
      <c r="AV532" s="550"/>
      <c r="AW532" s="550"/>
      <c r="AX532" s="550"/>
      <c r="AY532" s="550"/>
      <c r="AZ532" s="550"/>
      <c r="BA532" s="550"/>
      <c r="BB532" s="550"/>
      <c r="BC532" s="550"/>
      <c r="BD532" s="550"/>
      <c r="BE532" s="550"/>
      <c r="BF532" s="550"/>
      <c r="BG532" s="550"/>
      <c r="BH532" s="550"/>
      <c r="BI532" s="550"/>
      <c r="BJ532" s="550"/>
      <c r="BK532" s="551"/>
      <c r="BL532" s="551"/>
      <c r="BM532" s="551"/>
      <c r="BN532" s="550"/>
      <c r="BO532" s="550"/>
      <c r="BP532" s="550"/>
      <c r="BQ532" s="550"/>
      <c r="BR532" s="550"/>
      <c r="BS532" s="550"/>
      <c r="BT532" s="550"/>
      <c r="BU532" s="550"/>
      <c r="BV532" s="550"/>
      <c r="BW532" s="550"/>
      <c r="BX532" s="550"/>
      <c r="BY532" s="550"/>
      <c r="BZ532" s="555"/>
      <c r="CA532" s="555"/>
      <c r="CB532" s="555"/>
    </row>
    <row r="533" spans="1:80" s="459" customFormat="1" ht="15.75" x14ac:dyDescent="0.2">
      <c r="A533" s="54"/>
      <c r="B533" s="392"/>
      <c r="C533" s="401"/>
      <c r="D533" s="75"/>
      <c r="E533" s="76"/>
      <c r="F533" s="76"/>
      <c r="G533" s="274">
        <v>67</v>
      </c>
      <c r="H533" s="100" t="s">
        <v>642</v>
      </c>
      <c r="I533" s="100"/>
      <c r="J533" s="100"/>
      <c r="K533" s="186"/>
      <c r="L533" s="186"/>
      <c r="M533" s="186"/>
      <c r="N533" s="100"/>
      <c r="O533" s="212"/>
      <c r="P533" s="100"/>
      <c r="Q533" s="100"/>
      <c r="R533" s="336"/>
      <c r="S533" s="336"/>
      <c r="T533" s="336"/>
      <c r="U533" s="336"/>
      <c r="V533" s="336"/>
      <c r="W533" s="336"/>
      <c r="X533" s="336"/>
      <c r="Y533" s="336"/>
      <c r="Z533" s="336"/>
      <c r="AA533" s="336"/>
      <c r="AB533" s="336"/>
      <c r="AC533" s="336"/>
      <c r="AD533" s="336"/>
      <c r="AE533" s="336"/>
      <c r="AF533" s="336"/>
      <c r="AG533" s="336"/>
      <c r="AH533" s="336"/>
      <c r="AI533" s="336"/>
      <c r="AJ533" s="336"/>
      <c r="AK533" s="336"/>
      <c r="AL533" s="336"/>
      <c r="AM533" s="336"/>
      <c r="AN533" s="336"/>
      <c r="AO533" s="336"/>
      <c r="AP533" s="336"/>
      <c r="AQ533" s="336"/>
      <c r="AR533" s="336"/>
      <c r="AS533" s="336"/>
      <c r="AT533" s="336"/>
      <c r="AU533" s="336"/>
      <c r="AV533" s="336"/>
      <c r="AW533" s="336"/>
      <c r="AX533" s="336"/>
      <c r="AY533" s="336"/>
      <c r="AZ533" s="336"/>
      <c r="BA533" s="336"/>
      <c r="BB533" s="336"/>
      <c r="BC533" s="336"/>
      <c r="BD533" s="336"/>
      <c r="BE533" s="336"/>
      <c r="BF533" s="336"/>
      <c r="BG533" s="336"/>
      <c r="BH533" s="336"/>
      <c r="BI533" s="336"/>
      <c r="BJ533" s="336"/>
      <c r="BK533" s="552"/>
      <c r="BL533" s="552"/>
      <c r="BM533" s="552"/>
      <c r="BN533" s="336"/>
      <c r="BO533" s="336"/>
      <c r="BP533" s="336"/>
      <c r="BQ533" s="336"/>
      <c r="BR533" s="336"/>
      <c r="BS533" s="336"/>
      <c r="BT533" s="336"/>
      <c r="BU533" s="336"/>
      <c r="BV533" s="336"/>
      <c r="BW533" s="336"/>
      <c r="BX533" s="336"/>
      <c r="BY533" s="336"/>
      <c r="BZ533" s="338"/>
      <c r="CA533" s="338"/>
      <c r="CB533" s="338"/>
    </row>
    <row r="534" spans="1:80" s="2" customFormat="1" ht="72.75" customHeight="1" x14ac:dyDescent="0.25">
      <c r="A534" s="54"/>
      <c r="B534" s="393"/>
      <c r="C534" s="856">
        <v>35</v>
      </c>
      <c r="D534" s="856" t="s">
        <v>643</v>
      </c>
      <c r="E534" s="856" t="s">
        <v>644</v>
      </c>
      <c r="F534" s="856" t="s">
        <v>645</v>
      </c>
      <c r="G534" s="58"/>
      <c r="H534" s="92">
        <v>198</v>
      </c>
      <c r="I534" s="56" t="s">
        <v>646</v>
      </c>
      <c r="J534" s="57">
        <v>1</v>
      </c>
      <c r="K534" s="207">
        <v>1</v>
      </c>
      <c r="L534" s="489">
        <v>0.2</v>
      </c>
      <c r="M534" s="850">
        <v>201700360095</v>
      </c>
      <c r="N534" s="853" t="s">
        <v>573</v>
      </c>
      <c r="O534" s="856" t="s">
        <v>647</v>
      </c>
      <c r="P534" s="853" t="s">
        <v>648</v>
      </c>
      <c r="Q534" s="57" t="s">
        <v>51</v>
      </c>
      <c r="R534" s="539">
        <v>0</v>
      </c>
      <c r="S534" s="539"/>
      <c r="T534" s="539"/>
      <c r="U534" s="539">
        <v>0</v>
      </c>
      <c r="V534" s="539"/>
      <c r="W534" s="539"/>
      <c r="X534" s="539"/>
      <c r="Y534" s="539"/>
      <c r="Z534" s="539"/>
      <c r="AA534" s="539">
        <v>0</v>
      </c>
      <c r="AB534" s="539"/>
      <c r="AC534" s="539"/>
      <c r="AD534" s="539">
        <v>0</v>
      </c>
      <c r="AE534" s="539"/>
      <c r="AF534" s="539"/>
      <c r="AG534" s="539">
        <v>0</v>
      </c>
      <c r="AH534" s="539"/>
      <c r="AI534" s="539"/>
      <c r="AJ534" s="539">
        <v>0</v>
      </c>
      <c r="AK534" s="539"/>
      <c r="AL534" s="539"/>
      <c r="AM534" s="539"/>
      <c r="AN534" s="539"/>
      <c r="AO534" s="539"/>
      <c r="AP534" s="539"/>
      <c r="AQ534" s="539"/>
      <c r="AR534" s="539"/>
      <c r="AS534" s="539">
        <v>0</v>
      </c>
      <c r="AT534" s="539"/>
      <c r="AU534" s="539"/>
      <c r="AV534" s="539">
        <v>0</v>
      </c>
      <c r="AW534" s="539"/>
      <c r="AX534" s="539"/>
      <c r="AY534" s="539"/>
      <c r="AZ534" s="539"/>
      <c r="BA534" s="539"/>
      <c r="BB534" s="539"/>
      <c r="BC534" s="539"/>
      <c r="BD534" s="539"/>
      <c r="BE534" s="539">
        <v>0</v>
      </c>
      <c r="BF534" s="539"/>
      <c r="BG534" s="539"/>
      <c r="BH534" s="539">
        <v>0</v>
      </c>
      <c r="BI534" s="541"/>
      <c r="BJ534" s="541"/>
      <c r="BK534" s="542">
        <f>44000000</f>
        <v>44000000</v>
      </c>
      <c r="BL534" s="542">
        <v>30180000</v>
      </c>
      <c r="BM534" s="542">
        <v>10060000</v>
      </c>
      <c r="BN534" s="542"/>
      <c r="BO534" s="542"/>
      <c r="BP534" s="542"/>
      <c r="BQ534" s="539">
        <v>0</v>
      </c>
      <c r="BR534" s="541"/>
      <c r="BS534" s="541"/>
      <c r="BT534" s="541"/>
      <c r="BU534" s="541"/>
      <c r="BV534" s="541"/>
      <c r="BW534" s="541"/>
      <c r="BX534" s="541"/>
      <c r="BY534" s="541"/>
      <c r="BZ534" s="539">
        <f t="shared" ref="BZ534:BZ537" si="486">R534+U534+X534+AA534+AD534+AG534+AJ534+AM534+AP534+AS534+AV534+AY534+BB534+BE534+BH534+BK534+BN534+BQ534+BT534+BW534</f>
        <v>44000000</v>
      </c>
      <c r="CA534" s="539">
        <f t="shared" ref="CA534:CA537" si="487">S534+V534+Y534+AB534+AE534+AH534+AK534+AN534+AQ534+AT534+AW534+AZ534+BC534+BF534+BI534+BL534+BO534+BR534+BU534+BX534</f>
        <v>30180000</v>
      </c>
      <c r="CB534" s="539">
        <f t="shared" ref="CB534:CB537" si="488">T534+W534+Z534+AC534+AF534+AI534+AL534+AO534+AR534+AU534+AX534+BA534+BD534+BG534+BJ534+BM534+BP534+BS534+BV534+BY534</f>
        <v>10060000</v>
      </c>
    </row>
    <row r="535" spans="1:80" s="2" customFormat="1" ht="66" customHeight="1" x14ac:dyDescent="0.25">
      <c r="A535" s="54"/>
      <c r="B535" s="393"/>
      <c r="C535" s="857"/>
      <c r="D535" s="857"/>
      <c r="E535" s="857"/>
      <c r="F535" s="857"/>
      <c r="G535" s="64"/>
      <c r="H535" s="57">
        <v>199</v>
      </c>
      <c r="I535" s="56" t="s">
        <v>649</v>
      </c>
      <c r="J535" s="57">
        <v>0</v>
      </c>
      <c r="K535" s="207">
        <v>4</v>
      </c>
      <c r="L535" s="489">
        <v>0.2</v>
      </c>
      <c r="M535" s="851"/>
      <c r="N535" s="854"/>
      <c r="O535" s="857"/>
      <c r="P535" s="854"/>
      <c r="Q535" s="57" t="s">
        <v>51</v>
      </c>
      <c r="R535" s="539"/>
      <c r="S535" s="539"/>
      <c r="T535" s="539"/>
      <c r="U535" s="539"/>
      <c r="V535" s="539"/>
      <c r="W535" s="539"/>
      <c r="X535" s="539"/>
      <c r="Y535" s="539"/>
      <c r="Z535" s="539"/>
      <c r="AA535" s="539"/>
      <c r="AB535" s="539"/>
      <c r="AC535" s="539"/>
      <c r="AD535" s="539"/>
      <c r="AE535" s="539"/>
      <c r="AF535" s="539"/>
      <c r="AG535" s="539"/>
      <c r="AH535" s="539"/>
      <c r="AI535" s="539"/>
      <c r="AJ535" s="539"/>
      <c r="AK535" s="539"/>
      <c r="AL535" s="539"/>
      <c r="AM535" s="539"/>
      <c r="AN535" s="539"/>
      <c r="AO535" s="539"/>
      <c r="AP535" s="539"/>
      <c r="AQ535" s="539"/>
      <c r="AR535" s="539"/>
      <c r="AS535" s="539"/>
      <c r="AT535" s="539"/>
      <c r="AU535" s="539"/>
      <c r="AV535" s="539"/>
      <c r="AW535" s="539"/>
      <c r="AX535" s="539"/>
      <c r="AY535" s="539"/>
      <c r="AZ535" s="539"/>
      <c r="BA535" s="539"/>
      <c r="BB535" s="539"/>
      <c r="BC535" s="539"/>
      <c r="BD535" s="539"/>
      <c r="BE535" s="539"/>
      <c r="BF535" s="539"/>
      <c r="BG535" s="539"/>
      <c r="BH535" s="539"/>
      <c r="BI535" s="541"/>
      <c r="BJ535" s="541"/>
      <c r="BK535" s="542">
        <f>37000000+24300000</f>
        <v>61300000</v>
      </c>
      <c r="BL535" s="542">
        <v>47760000</v>
      </c>
      <c r="BM535" s="542">
        <v>13280000</v>
      </c>
      <c r="BN535" s="542"/>
      <c r="BO535" s="542"/>
      <c r="BP535" s="542"/>
      <c r="BQ535" s="539"/>
      <c r="BR535" s="541"/>
      <c r="BS535" s="541"/>
      <c r="BT535" s="541"/>
      <c r="BU535" s="541"/>
      <c r="BV535" s="541"/>
      <c r="BW535" s="541"/>
      <c r="BX535" s="541"/>
      <c r="BY535" s="541"/>
      <c r="BZ535" s="539">
        <f t="shared" si="486"/>
        <v>61300000</v>
      </c>
      <c r="CA535" s="539">
        <f t="shared" si="487"/>
        <v>47760000</v>
      </c>
      <c r="CB535" s="539">
        <f t="shared" si="488"/>
        <v>13280000</v>
      </c>
    </row>
    <row r="536" spans="1:80" s="11" customFormat="1" ht="43.5" customHeight="1" x14ac:dyDescent="0.2">
      <c r="A536" s="54"/>
      <c r="B536" s="393"/>
      <c r="C536" s="857"/>
      <c r="D536" s="857"/>
      <c r="E536" s="857"/>
      <c r="F536" s="857"/>
      <c r="G536" s="64"/>
      <c r="H536" s="92">
        <v>200</v>
      </c>
      <c r="I536" s="56" t="s">
        <v>650</v>
      </c>
      <c r="J536" s="57">
        <v>12</v>
      </c>
      <c r="K536" s="207">
        <v>12</v>
      </c>
      <c r="L536" s="207">
        <v>0</v>
      </c>
      <c r="M536" s="851"/>
      <c r="N536" s="854"/>
      <c r="O536" s="857"/>
      <c r="P536" s="854"/>
      <c r="Q536" s="57" t="s">
        <v>51</v>
      </c>
      <c r="R536" s="539">
        <v>0</v>
      </c>
      <c r="S536" s="541"/>
      <c r="T536" s="541"/>
      <c r="U536" s="542">
        <f>1059360000+186430364.4</f>
        <v>1245790364.4000001</v>
      </c>
      <c r="V536" s="542"/>
      <c r="W536" s="542"/>
      <c r="X536" s="539"/>
      <c r="Y536" s="539"/>
      <c r="Z536" s="539"/>
      <c r="AA536" s="539">
        <v>0</v>
      </c>
      <c r="AB536" s="539"/>
      <c r="AC536" s="539"/>
      <c r="AD536" s="539">
        <v>0</v>
      </c>
      <c r="AE536" s="539"/>
      <c r="AF536" s="539"/>
      <c r="AG536" s="539">
        <v>0</v>
      </c>
      <c r="AH536" s="539"/>
      <c r="AI536" s="539"/>
      <c r="AJ536" s="539">
        <v>0</v>
      </c>
      <c r="AK536" s="539"/>
      <c r="AL536" s="539"/>
      <c r="AM536" s="539"/>
      <c r="AN536" s="539"/>
      <c r="AO536" s="539"/>
      <c r="AP536" s="539"/>
      <c r="AQ536" s="539"/>
      <c r="AR536" s="539"/>
      <c r="AS536" s="539">
        <v>0</v>
      </c>
      <c r="AT536" s="539"/>
      <c r="AU536" s="539"/>
      <c r="AV536" s="539">
        <v>0</v>
      </c>
      <c r="AW536" s="539"/>
      <c r="AX536" s="539"/>
      <c r="AY536" s="539"/>
      <c r="AZ536" s="539"/>
      <c r="BA536" s="539"/>
      <c r="BB536" s="539"/>
      <c r="BC536" s="539"/>
      <c r="BD536" s="539"/>
      <c r="BE536" s="539">
        <v>0</v>
      </c>
      <c r="BF536" s="539"/>
      <c r="BG536" s="539"/>
      <c r="BH536" s="539">
        <v>0</v>
      </c>
      <c r="BI536" s="539"/>
      <c r="BJ536" s="539"/>
      <c r="BK536" s="540"/>
      <c r="BL536" s="540"/>
      <c r="BM536" s="540"/>
      <c r="BN536" s="553"/>
      <c r="BO536" s="553"/>
      <c r="BP536" s="553"/>
      <c r="BQ536" s="539">
        <v>0</v>
      </c>
      <c r="BR536" s="541"/>
      <c r="BS536" s="541"/>
      <c r="BT536" s="541"/>
      <c r="BU536" s="541"/>
      <c r="BV536" s="541"/>
      <c r="BW536" s="541"/>
      <c r="BX536" s="541"/>
      <c r="BY536" s="541"/>
      <c r="BZ536" s="539">
        <f t="shared" si="486"/>
        <v>1245790364.4000001</v>
      </c>
      <c r="CA536" s="539">
        <f t="shared" si="487"/>
        <v>0</v>
      </c>
      <c r="CB536" s="539">
        <f t="shared" si="488"/>
        <v>0</v>
      </c>
    </row>
    <row r="537" spans="1:80" s="11" customFormat="1" ht="51" customHeight="1" x14ac:dyDescent="0.2">
      <c r="A537" s="54"/>
      <c r="B537" s="393"/>
      <c r="C537" s="858"/>
      <c r="D537" s="858"/>
      <c r="E537" s="858"/>
      <c r="F537" s="858"/>
      <c r="G537" s="139"/>
      <c r="H537" s="92">
        <v>201</v>
      </c>
      <c r="I537" s="56" t="s">
        <v>651</v>
      </c>
      <c r="J537" s="131">
        <v>14</v>
      </c>
      <c r="K537" s="207">
        <v>14</v>
      </c>
      <c r="L537" s="207">
        <v>0</v>
      </c>
      <c r="M537" s="852"/>
      <c r="N537" s="855"/>
      <c r="O537" s="858"/>
      <c r="P537" s="855"/>
      <c r="Q537" s="57" t="s">
        <v>51</v>
      </c>
      <c r="R537" s="539">
        <v>0</v>
      </c>
      <c r="S537" s="541"/>
      <c r="T537" s="541"/>
      <c r="U537" s="542">
        <f>2471840000+79898727.6</f>
        <v>2551738727.5999999</v>
      </c>
      <c r="V537" s="542"/>
      <c r="W537" s="542"/>
      <c r="X537" s="539">
        <v>0</v>
      </c>
      <c r="Y537" s="539"/>
      <c r="Z537" s="539"/>
      <c r="AA537" s="539">
        <v>0</v>
      </c>
      <c r="AB537" s="539"/>
      <c r="AC537" s="539"/>
      <c r="AD537" s="539">
        <v>0</v>
      </c>
      <c r="AE537" s="539"/>
      <c r="AF537" s="539"/>
      <c r="AG537" s="539">
        <v>0</v>
      </c>
      <c r="AH537" s="539"/>
      <c r="AI537" s="539"/>
      <c r="AJ537" s="539">
        <v>0</v>
      </c>
      <c r="AK537" s="539"/>
      <c r="AL537" s="539"/>
      <c r="AM537" s="539"/>
      <c r="AN537" s="539"/>
      <c r="AO537" s="539"/>
      <c r="AP537" s="539"/>
      <c r="AQ537" s="539"/>
      <c r="AR537" s="539"/>
      <c r="AS537" s="539">
        <v>0</v>
      </c>
      <c r="AT537" s="539"/>
      <c r="AU537" s="539"/>
      <c r="AV537" s="539">
        <v>0</v>
      </c>
      <c r="AW537" s="539"/>
      <c r="AX537" s="539"/>
      <c r="AY537" s="539"/>
      <c r="AZ537" s="539"/>
      <c r="BA537" s="539"/>
      <c r="BB537" s="539"/>
      <c r="BC537" s="539"/>
      <c r="BD537" s="539"/>
      <c r="BE537" s="539">
        <v>0</v>
      </c>
      <c r="BF537" s="539"/>
      <c r="BG537" s="539"/>
      <c r="BH537" s="539">
        <v>0</v>
      </c>
      <c r="BI537" s="539"/>
      <c r="BJ537" s="539"/>
      <c r="BK537" s="540">
        <v>0</v>
      </c>
      <c r="BL537" s="540"/>
      <c r="BM537" s="540"/>
      <c r="BN537" s="553"/>
      <c r="BO537" s="553"/>
      <c r="BP537" s="553"/>
      <c r="BQ537" s="539">
        <v>0</v>
      </c>
      <c r="BR537" s="541"/>
      <c r="BS537" s="541"/>
      <c r="BT537" s="541"/>
      <c r="BU537" s="541"/>
      <c r="BV537" s="541"/>
      <c r="BW537" s="541"/>
      <c r="BX537" s="541"/>
      <c r="BY537" s="541"/>
      <c r="BZ537" s="539">
        <f t="shared" si="486"/>
        <v>2551738727.5999999</v>
      </c>
      <c r="CA537" s="539">
        <f t="shared" si="487"/>
        <v>0</v>
      </c>
      <c r="CB537" s="539">
        <f t="shared" si="488"/>
        <v>0</v>
      </c>
    </row>
    <row r="538" spans="1:80" s="459" customFormat="1" ht="15.75" x14ac:dyDescent="0.2">
      <c r="A538" s="54"/>
      <c r="B538" s="399"/>
      <c r="C538" s="402"/>
      <c r="D538" s="75"/>
      <c r="E538" s="76"/>
      <c r="F538" s="76"/>
      <c r="G538" s="77"/>
      <c r="H538" s="78"/>
      <c r="I538" s="77"/>
      <c r="J538" s="164"/>
      <c r="K538" s="240"/>
      <c r="L538" s="240"/>
      <c r="M538" s="240"/>
      <c r="N538" s="164"/>
      <c r="O538" s="78"/>
      <c r="P538" s="403"/>
      <c r="Q538" s="78"/>
      <c r="R538" s="548">
        <f t="shared" ref="R538:BY538" si="489">SUM(R534:R537)</f>
        <v>0</v>
      </c>
      <c r="S538" s="548">
        <f t="shared" si="489"/>
        <v>0</v>
      </c>
      <c r="T538" s="548">
        <f t="shared" si="489"/>
        <v>0</v>
      </c>
      <c r="U538" s="548">
        <f t="shared" si="489"/>
        <v>3797529092</v>
      </c>
      <c r="V538" s="548">
        <f t="shared" si="489"/>
        <v>0</v>
      </c>
      <c r="W538" s="548">
        <f t="shared" si="489"/>
        <v>0</v>
      </c>
      <c r="X538" s="548">
        <f t="shared" si="489"/>
        <v>0</v>
      </c>
      <c r="Y538" s="548">
        <f t="shared" si="489"/>
        <v>0</v>
      </c>
      <c r="Z538" s="548">
        <f t="shared" si="489"/>
        <v>0</v>
      </c>
      <c r="AA538" s="548">
        <f t="shared" si="489"/>
        <v>0</v>
      </c>
      <c r="AB538" s="548">
        <f t="shared" si="489"/>
        <v>0</v>
      </c>
      <c r="AC538" s="548">
        <f t="shared" si="489"/>
        <v>0</v>
      </c>
      <c r="AD538" s="548">
        <f t="shared" si="489"/>
        <v>0</v>
      </c>
      <c r="AE538" s="548">
        <f t="shared" si="489"/>
        <v>0</v>
      </c>
      <c r="AF538" s="548">
        <f t="shared" si="489"/>
        <v>0</v>
      </c>
      <c r="AG538" s="548">
        <f t="shared" si="489"/>
        <v>0</v>
      </c>
      <c r="AH538" s="548">
        <f t="shared" si="489"/>
        <v>0</v>
      </c>
      <c r="AI538" s="548">
        <f t="shared" si="489"/>
        <v>0</v>
      </c>
      <c r="AJ538" s="548">
        <f t="shared" si="489"/>
        <v>0</v>
      </c>
      <c r="AK538" s="548">
        <f t="shared" si="489"/>
        <v>0</v>
      </c>
      <c r="AL538" s="548">
        <f t="shared" si="489"/>
        <v>0</v>
      </c>
      <c r="AM538" s="548">
        <f t="shared" si="489"/>
        <v>0</v>
      </c>
      <c r="AN538" s="548">
        <f t="shared" si="489"/>
        <v>0</v>
      </c>
      <c r="AO538" s="548">
        <f t="shared" si="489"/>
        <v>0</v>
      </c>
      <c r="AP538" s="548">
        <f t="shared" si="489"/>
        <v>0</v>
      </c>
      <c r="AQ538" s="548">
        <f t="shared" si="489"/>
        <v>0</v>
      </c>
      <c r="AR538" s="548">
        <f t="shared" si="489"/>
        <v>0</v>
      </c>
      <c r="AS538" s="548">
        <f t="shared" si="489"/>
        <v>0</v>
      </c>
      <c r="AT538" s="548">
        <f t="shared" si="489"/>
        <v>0</v>
      </c>
      <c r="AU538" s="548">
        <f t="shared" si="489"/>
        <v>0</v>
      </c>
      <c r="AV538" s="548">
        <f t="shared" si="489"/>
        <v>0</v>
      </c>
      <c r="AW538" s="548">
        <f t="shared" si="489"/>
        <v>0</v>
      </c>
      <c r="AX538" s="548">
        <f t="shared" si="489"/>
        <v>0</v>
      </c>
      <c r="AY538" s="548">
        <f t="shared" si="489"/>
        <v>0</v>
      </c>
      <c r="AZ538" s="548">
        <f t="shared" si="489"/>
        <v>0</v>
      </c>
      <c r="BA538" s="548">
        <f t="shared" si="489"/>
        <v>0</v>
      </c>
      <c r="BB538" s="548">
        <f t="shared" si="489"/>
        <v>0</v>
      </c>
      <c r="BC538" s="548">
        <f t="shared" si="489"/>
        <v>0</v>
      </c>
      <c r="BD538" s="548">
        <f t="shared" si="489"/>
        <v>0</v>
      </c>
      <c r="BE538" s="548">
        <f t="shared" si="489"/>
        <v>0</v>
      </c>
      <c r="BF538" s="548">
        <f t="shared" si="489"/>
        <v>0</v>
      </c>
      <c r="BG538" s="548">
        <f t="shared" si="489"/>
        <v>0</v>
      </c>
      <c r="BH538" s="548">
        <f t="shared" si="489"/>
        <v>0</v>
      </c>
      <c r="BI538" s="548">
        <f t="shared" si="489"/>
        <v>0</v>
      </c>
      <c r="BJ538" s="548">
        <f t="shared" si="489"/>
        <v>0</v>
      </c>
      <c r="BK538" s="548">
        <f t="shared" si="489"/>
        <v>105300000</v>
      </c>
      <c r="BL538" s="548">
        <f t="shared" si="489"/>
        <v>77940000</v>
      </c>
      <c r="BM538" s="548">
        <f t="shared" si="489"/>
        <v>23340000</v>
      </c>
      <c r="BN538" s="548">
        <f t="shared" si="489"/>
        <v>0</v>
      </c>
      <c r="BO538" s="548">
        <f t="shared" si="489"/>
        <v>0</v>
      </c>
      <c r="BP538" s="548">
        <f t="shared" si="489"/>
        <v>0</v>
      </c>
      <c r="BQ538" s="548">
        <f t="shared" si="489"/>
        <v>0</v>
      </c>
      <c r="BR538" s="548">
        <f t="shared" si="489"/>
        <v>0</v>
      </c>
      <c r="BS538" s="548">
        <f t="shared" si="489"/>
        <v>0</v>
      </c>
      <c r="BT538" s="548">
        <f t="shared" si="489"/>
        <v>0</v>
      </c>
      <c r="BU538" s="548">
        <f t="shared" si="489"/>
        <v>0</v>
      </c>
      <c r="BV538" s="548">
        <f t="shared" si="489"/>
        <v>0</v>
      </c>
      <c r="BW538" s="548">
        <f t="shared" si="489"/>
        <v>0</v>
      </c>
      <c r="BX538" s="548">
        <f t="shared" si="489"/>
        <v>0</v>
      </c>
      <c r="BY538" s="548">
        <f t="shared" si="489"/>
        <v>0</v>
      </c>
      <c r="BZ538" s="548">
        <f>SUM(BZ534:BZ537)</f>
        <v>3902829092</v>
      </c>
      <c r="CA538" s="548">
        <f t="shared" ref="CA538:CB538" si="490">SUM(CA534:CA537)</f>
        <v>77940000</v>
      </c>
      <c r="CB538" s="548">
        <f t="shared" si="490"/>
        <v>23340000</v>
      </c>
    </row>
    <row r="539" spans="1:80" s="459" customFormat="1" ht="15.75" x14ac:dyDescent="0.2">
      <c r="A539" s="74"/>
      <c r="B539" s="118"/>
      <c r="C539" s="82"/>
      <c r="D539" s="81"/>
      <c r="E539" s="82"/>
      <c r="F539" s="82"/>
      <c r="G539" s="81"/>
      <c r="H539" s="82"/>
      <c r="I539" s="81"/>
      <c r="J539" s="178"/>
      <c r="K539" s="261"/>
      <c r="L539" s="261"/>
      <c r="M539" s="261"/>
      <c r="N539" s="178"/>
      <c r="O539" s="82"/>
      <c r="P539" s="404"/>
      <c r="Q539" s="82"/>
      <c r="R539" s="554">
        <f t="shared" ref="R539:BY539" si="491">R538</f>
        <v>0</v>
      </c>
      <c r="S539" s="554">
        <f t="shared" si="491"/>
        <v>0</v>
      </c>
      <c r="T539" s="554">
        <f t="shared" si="491"/>
        <v>0</v>
      </c>
      <c r="U539" s="554">
        <f t="shared" si="491"/>
        <v>3797529092</v>
      </c>
      <c r="V539" s="554">
        <f t="shared" si="491"/>
        <v>0</v>
      </c>
      <c r="W539" s="554">
        <f t="shared" si="491"/>
        <v>0</v>
      </c>
      <c r="X539" s="554">
        <f t="shared" si="491"/>
        <v>0</v>
      </c>
      <c r="Y539" s="554">
        <f t="shared" si="491"/>
        <v>0</v>
      </c>
      <c r="Z539" s="554">
        <f t="shared" si="491"/>
        <v>0</v>
      </c>
      <c r="AA539" s="554">
        <f t="shared" si="491"/>
        <v>0</v>
      </c>
      <c r="AB539" s="554">
        <f t="shared" si="491"/>
        <v>0</v>
      </c>
      <c r="AC539" s="554">
        <f t="shared" si="491"/>
        <v>0</v>
      </c>
      <c r="AD539" s="554">
        <f t="shared" si="491"/>
        <v>0</v>
      </c>
      <c r="AE539" s="554">
        <f t="shared" si="491"/>
        <v>0</v>
      </c>
      <c r="AF539" s="554">
        <f t="shared" si="491"/>
        <v>0</v>
      </c>
      <c r="AG539" s="554">
        <f t="shared" si="491"/>
        <v>0</v>
      </c>
      <c r="AH539" s="554">
        <f t="shared" si="491"/>
        <v>0</v>
      </c>
      <c r="AI539" s="554">
        <f t="shared" si="491"/>
        <v>0</v>
      </c>
      <c r="AJ539" s="554">
        <f t="shared" si="491"/>
        <v>0</v>
      </c>
      <c r="AK539" s="554">
        <f t="shared" si="491"/>
        <v>0</v>
      </c>
      <c r="AL539" s="554">
        <f t="shared" si="491"/>
        <v>0</v>
      </c>
      <c r="AM539" s="554">
        <f t="shared" si="491"/>
        <v>0</v>
      </c>
      <c r="AN539" s="554">
        <f t="shared" si="491"/>
        <v>0</v>
      </c>
      <c r="AO539" s="554">
        <f t="shared" si="491"/>
        <v>0</v>
      </c>
      <c r="AP539" s="554">
        <f t="shared" si="491"/>
        <v>0</v>
      </c>
      <c r="AQ539" s="554">
        <f t="shared" si="491"/>
        <v>0</v>
      </c>
      <c r="AR539" s="554">
        <f t="shared" si="491"/>
        <v>0</v>
      </c>
      <c r="AS539" s="554">
        <f t="shared" si="491"/>
        <v>0</v>
      </c>
      <c r="AT539" s="554">
        <f t="shared" si="491"/>
        <v>0</v>
      </c>
      <c r="AU539" s="554">
        <f t="shared" si="491"/>
        <v>0</v>
      </c>
      <c r="AV539" s="554">
        <f t="shared" si="491"/>
        <v>0</v>
      </c>
      <c r="AW539" s="554">
        <f t="shared" si="491"/>
        <v>0</v>
      </c>
      <c r="AX539" s="554">
        <f t="shared" si="491"/>
        <v>0</v>
      </c>
      <c r="AY539" s="554">
        <f t="shared" si="491"/>
        <v>0</v>
      </c>
      <c r="AZ539" s="554">
        <f t="shared" si="491"/>
        <v>0</v>
      </c>
      <c r="BA539" s="554">
        <f t="shared" si="491"/>
        <v>0</v>
      </c>
      <c r="BB539" s="554">
        <f t="shared" si="491"/>
        <v>0</v>
      </c>
      <c r="BC539" s="554">
        <f t="shared" si="491"/>
        <v>0</v>
      </c>
      <c r="BD539" s="554">
        <f t="shared" si="491"/>
        <v>0</v>
      </c>
      <c r="BE539" s="554">
        <f t="shared" si="491"/>
        <v>0</v>
      </c>
      <c r="BF539" s="554">
        <f t="shared" si="491"/>
        <v>0</v>
      </c>
      <c r="BG539" s="554">
        <f t="shared" si="491"/>
        <v>0</v>
      </c>
      <c r="BH539" s="554">
        <f t="shared" si="491"/>
        <v>0</v>
      </c>
      <c r="BI539" s="554">
        <f t="shared" si="491"/>
        <v>0</v>
      </c>
      <c r="BJ539" s="554">
        <f t="shared" si="491"/>
        <v>0</v>
      </c>
      <c r="BK539" s="554">
        <f t="shared" si="491"/>
        <v>105300000</v>
      </c>
      <c r="BL539" s="554">
        <f t="shared" si="491"/>
        <v>77940000</v>
      </c>
      <c r="BM539" s="554">
        <f t="shared" si="491"/>
        <v>23340000</v>
      </c>
      <c r="BN539" s="554">
        <f t="shared" si="491"/>
        <v>0</v>
      </c>
      <c r="BO539" s="554">
        <f t="shared" si="491"/>
        <v>0</v>
      </c>
      <c r="BP539" s="554">
        <f t="shared" si="491"/>
        <v>0</v>
      </c>
      <c r="BQ539" s="554">
        <f t="shared" si="491"/>
        <v>0</v>
      </c>
      <c r="BR539" s="554">
        <f t="shared" si="491"/>
        <v>0</v>
      </c>
      <c r="BS539" s="554">
        <f t="shared" si="491"/>
        <v>0</v>
      </c>
      <c r="BT539" s="554">
        <f t="shared" si="491"/>
        <v>0</v>
      </c>
      <c r="BU539" s="554">
        <f t="shared" si="491"/>
        <v>0</v>
      </c>
      <c r="BV539" s="554">
        <f t="shared" si="491"/>
        <v>0</v>
      </c>
      <c r="BW539" s="554">
        <f t="shared" si="491"/>
        <v>0</v>
      </c>
      <c r="BX539" s="554">
        <f t="shared" si="491"/>
        <v>0</v>
      </c>
      <c r="BY539" s="554">
        <f t="shared" si="491"/>
        <v>0</v>
      </c>
      <c r="BZ539" s="554">
        <f t="shared" ref="BZ539" si="492">BZ538</f>
        <v>3902829092</v>
      </c>
      <c r="CA539" s="554">
        <f t="shared" ref="CA539:CB539" si="493">CA538</f>
        <v>77940000</v>
      </c>
      <c r="CB539" s="554">
        <f t="shared" si="493"/>
        <v>23340000</v>
      </c>
    </row>
    <row r="540" spans="1:80" s="459" customFormat="1" x14ac:dyDescent="0.2">
      <c r="A540" s="180"/>
      <c r="B540" s="84"/>
      <c r="C540" s="85"/>
      <c r="D540" s="84"/>
      <c r="E540" s="85"/>
      <c r="F540" s="85"/>
      <c r="G540" s="84"/>
      <c r="H540" s="85"/>
      <c r="I540" s="84"/>
      <c r="J540" s="181"/>
      <c r="K540" s="265"/>
      <c r="L540" s="265"/>
      <c r="M540" s="265"/>
      <c r="N540" s="181"/>
      <c r="O540" s="85"/>
      <c r="P540" s="405"/>
      <c r="Q540" s="85"/>
      <c r="R540" s="560">
        <f t="shared" ref="R540:BY540" si="494">R539+R530+R506+R484</f>
        <v>0</v>
      </c>
      <c r="S540" s="560">
        <f t="shared" si="494"/>
        <v>0</v>
      </c>
      <c r="T540" s="560">
        <f t="shared" si="494"/>
        <v>0</v>
      </c>
      <c r="U540" s="560">
        <f t="shared" si="494"/>
        <v>3797529092</v>
      </c>
      <c r="V540" s="560">
        <f t="shared" si="494"/>
        <v>0</v>
      </c>
      <c r="W540" s="560">
        <f t="shared" si="494"/>
        <v>0</v>
      </c>
      <c r="X540" s="560">
        <f t="shared" si="494"/>
        <v>0</v>
      </c>
      <c r="Y540" s="560">
        <f t="shared" si="494"/>
        <v>0</v>
      </c>
      <c r="Z540" s="560">
        <f t="shared" si="494"/>
        <v>0</v>
      </c>
      <c r="AA540" s="560">
        <f t="shared" si="494"/>
        <v>0</v>
      </c>
      <c r="AB540" s="560">
        <f t="shared" si="494"/>
        <v>0</v>
      </c>
      <c r="AC540" s="560">
        <f t="shared" si="494"/>
        <v>0</v>
      </c>
      <c r="AD540" s="560">
        <f t="shared" si="494"/>
        <v>0</v>
      </c>
      <c r="AE540" s="560">
        <f t="shared" si="494"/>
        <v>0</v>
      </c>
      <c r="AF540" s="560">
        <f t="shared" si="494"/>
        <v>0</v>
      </c>
      <c r="AG540" s="560">
        <f t="shared" si="494"/>
        <v>0</v>
      </c>
      <c r="AH540" s="560">
        <f t="shared" si="494"/>
        <v>0</v>
      </c>
      <c r="AI540" s="560">
        <f t="shared" si="494"/>
        <v>0</v>
      </c>
      <c r="AJ540" s="560">
        <f t="shared" si="494"/>
        <v>0</v>
      </c>
      <c r="AK540" s="560">
        <f t="shared" si="494"/>
        <v>0</v>
      </c>
      <c r="AL540" s="560">
        <f t="shared" si="494"/>
        <v>0</v>
      </c>
      <c r="AM540" s="560">
        <f t="shared" si="494"/>
        <v>0</v>
      </c>
      <c r="AN540" s="560">
        <f t="shared" si="494"/>
        <v>0</v>
      </c>
      <c r="AO540" s="560">
        <f t="shared" si="494"/>
        <v>0</v>
      </c>
      <c r="AP540" s="560">
        <f t="shared" si="494"/>
        <v>0</v>
      </c>
      <c r="AQ540" s="560">
        <f t="shared" si="494"/>
        <v>0</v>
      </c>
      <c r="AR540" s="560">
        <f t="shared" si="494"/>
        <v>0</v>
      </c>
      <c r="AS540" s="560">
        <f t="shared" si="494"/>
        <v>0</v>
      </c>
      <c r="AT540" s="560">
        <f t="shared" si="494"/>
        <v>0</v>
      </c>
      <c r="AU540" s="560">
        <f t="shared" si="494"/>
        <v>0</v>
      </c>
      <c r="AV540" s="560">
        <f t="shared" si="494"/>
        <v>0</v>
      </c>
      <c r="AW540" s="560">
        <f t="shared" si="494"/>
        <v>0</v>
      </c>
      <c r="AX540" s="560">
        <f t="shared" si="494"/>
        <v>0</v>
      </c>
      <c r="AY540" s="560">
        <f t="shared" si="494"/>
        <v>0</v>
      </c>
      <c r="AZ540" s="560">
        <f t="shared" si="494"/>
        <v>0</v>
      </c>
      <c r="BA540" s="560">
        <f t="shared" si="494"/>
        <v>0</v>
      </c>
      <c r="BB540" s="560">
        <f t="shared" si="494"/>
        <v>0</v>
      </c>
      <c r="BC540" s="560">
        <f t="shared" si="494"/>
        <v>0</v>
      </c>
      <c r="BD540" s="560">
        <f t="shared" si="494"/>
        <v>0</v>
      </c>
      <c r="BE540" s="560">
        <f t="shared" si="494"/>
        <v>0</v>
      </c>
      <c r="BF540" s="560">
        <f t="shared" si="494"/>
        <v>0</v>
      </c>
      <c r="BG540" s="560">
        <f t="shared" si="494"/>
        <v>0</v>
      </c>
      <c r="BH540" s="560">
        <f t="shared" si="494"/>
        <v>0</v>
      </c>
      <c r="BI540" s="560">
        <f t="shared" si="494"/>
        <v>0</v>
      </c>
      <c r="BJ540" s="560">
        <f t="shared" si="494"/>
        <v>0</v>
      </c>
      <c r="BK540" s="560">
        <f t="shared" si="494"/>
        <v>2737000000</v>
      </c>
      <c r="BL540" s="560">
        <f t="shared" si="494"/>
        <v>695780000</v>
      </c>
      <c r="BM540" s="560">
        <f t="shared" si="494"/>
        <v>180540000</v>
      </c>
      <c r="BN540" s="560">
        <f t="shared" si="494"/>
        <v>0</v>
      </c>
      <c r="BO540" s="560">
        <f t="shared" si="494"/>
        <v>0</v>
      </c>
      <c r="BP540" s="560">
        <f t="shared" si="494"/>
        <v>0</v>
      </c>
      <c r="BQ540" s="560">
        <f t="shared" si="494"/>
        <v>0</v>
      </c>
      <c r="BR540" s="560">
        <f t="shared" si="494"/>
        <v>0</v>
      </c>
      <c r="BS540" s="560">
        <f t="shared" si="494"/>
        <v>0</v>
      </c>
      <c r="BT540" s="560">
        <f t="shared" si="494"/>
        <v>0</v>
      </c>
      <c r="BU540" s="560">
        <f t="shared" si="494"/>
        <v>0</v>
      </c>
      <c r="BV540" s="560">
        <f t="shared" si="494"/>
        <v>0</v>
      </c>
      <c r="BW540" s="560">
        <f t="shared" si="494"/>
        <v>0</v>
      </c>
      <c r="BX540" s="560">
        <f t="shared" si="494"/>
        <v>0</v>
      </c>
      <c r="BY540" s="560">
        <f t="shared" si="494"/>
        <v>0</v>
      </c>
      <c r="BZ540" s="560">
        <f>BZ539+BZ530+BZ506+BZ484</f>
        <v>6534529092</v>
      </c>
      <c r="CA540" s="560">
        <f t="shared" ref="CA540:CB540" si="495">CA539+CA530+CA506+CA484</f>
        <v>695780000</v>
      </c>
      <c r="CB540" s="560">
        <f t="shared" si="495"/>
        <v>180540000</v>
      </c>
    </row>
    <row r="541" spans="1:80" s="459" customFormat="1" x14ac:dyDescent="0.2">
      <c r="A541" s="87"/>
      <c r="B541" s="87"/>
      <c r="C541" s="88"/>
      <c r="D541" s="87"/>
      <c r="E541" s="88"/>
      <c r="F541" s="88"/>
      <c r="G541" s="87"/>
      <c r="H541" s="88"/>
      <c r="I541" s="406"/>
      <c r="J541" s="89"/>
      <c r="K541" s="389"/>
      <c r="L541" s="389"/>
      <c r="M541" s="389"/>
      <c r="N541" s="89"/>
      <c r="O541" s="88"/>
      <c r="P541" s="87"/>
      <c r="Q541" s="88"/>
      <c r="R541" s="561">
        <f t="shared" ref="R541:BY541" si="496">+R540</f>
        <v>0</v>
      </c>
      <c r="S541" s="561">
        <f t="shared" si="496"/>
        <v>0</v>
      </c>
      <c r="T541" s="561">
        <f t="shared" si="496"/>
        <v>0</v>
      </c>
      <c r="U541" s="561">
        <f t="shared" si="496"/>
        <v>3797529092</v>
      </c>
      <c r="V541" s="561">
        <f t="shared" si="496"/>
        <v>0</v>
      </c>
      <c r="W541" s="561">
        <f t="shared" si="496"/>
        <v>0</v>
      </c>
      <c r="X541" s="561">
        <f t="shared" si="496"/>
        <v>0</v>
      </c>
      <c r="Y541" s="561">
        <f t="shared" si="496"/>
        <v>0</v>
      </c>
      <c r="Z541" s="561">
        <f t="shared" si="496"/>
        <v>0</v>
      </c>
      <c r="AA541" s="561">
        <f t="shared" si="496"/>
        <v>0</v>
      </c>
      <c r="AB541" s="561">
        <f t="shared" si="496"/>
        <v>0</v>
      </c>
      <c r="AC541" s="561">
        <f t="shared" si="496"/>
        <v>0</v>
      </c>
      <c r="AD541" s="561">
        <f t="shared" si="496"/>
        <v>0</v>
      </c>
      <c r="AE541" s="561">
        <f t="shared" si="496"/>
        <v>0</v>
      </c>
      <c r="AF541" s="561">
        <f t="shared" si="496"/>
        <v>0</v>
      </c>
      <c r="AG541" s="561">
        <f t="shared" si="496"/>
        <v>0</v>
      </c>
      <c r="AH541" s="561">
        <f t="shared" si="496"/>
        <v>0</v>
      </c>
      <c r="AI541" s="561">
        <f t="shared" si="496"/>
        <v>0</v>
      </c>
      <c r="AJ541" s="561">
        <f t="shared" si="496"/>
        <v>0</v>
      </c>
      <c r="AK541" s="561">
        <f t="shared" si="496"/>
        <v>0</v>
      </c>
      <c r="AL541" s="561">
        <f t="shared" si="496"/>
        <v>0</v>
      </c>
      <c r="AM541" s="561">
        <f t="shared" si="496"/>
        <v>0</v>
      </c>
      <c r="AN541" s="561">
        <f t="shared" si="496"/>
        <v>0</v>
      </c>
      <c r="AO541" s="561">
        <f t="shared" si="496"/>
        <v>0</v>
      </c>
      <c r="AP541" s="561">
        <f t="shared" si="496"/>
        <v>0</v>
      </c>
      <c r="AQ541" s="561">
        <f t="shared" si="496"/>
        <v>0</v>
      </c>
      <c r="AR541" s="561">
        <f t="shared" si="496"/>
        <v>0</v>
      </c>
      <c r="AS541" s="561">
        <f t="shared" si="496"/>
        <v>0</v>
      </c>
      <c r="AT541" s="561">
        <f t="shared" si="496"/>
        <v>0</v>
      </c>
      <c r="AU541" s="561">
        <f t="shared" si="496"/>
        <v>0</v>
      </c>
      <c r="AV541" s="561">
        <f t="shared" si="496"/>
        <v>0</v>
      </c>
      <c r="AW541" s="561">
        <f t="shared" si="496"/>
        <v>0</v>
      </c>
      <c r="AX541" s="561">
        <f t="shared" si="496"/>
        <v>0</v>
      </c>
      <c r="AY541" s="561">
        <f t="shared" si="496"/>
        <v>0</v>
      </c>
      <c r="AZ541" s="561">
        <f t="shared" si="496"/>
        <v>0</v>
      </c>
      <c r="BA541" s="561">
        <f t="shared" si="496"/>
        <v>0</v>
      </c>
      <c r="BB541" s="561">
        <f t="shared" si="496"/>
        <v>0</v>
      </c>
      <c r="BC541" s="561">
        <f t="shared" si="496"/>
        <v>0</v>
      </c>
      <c r="BD541" s="561">
        <f t="shared" si="496"/>
        <v>0</v>
      </c>
      <c r="BE541" s="561">
        <f t="shared" si="496"/>
        <v>0</v>
      </c>
      <c r="BF541" s="561">
        <f t="shared" si="496"/>
        <v>0</v>
      </c>
      <c r="BG541" s="561">
        <f t="shared" si="496"/>
        <v>0</v>
      </c>
      <c r="BH541" s="561">
        <f t="shared" si="496"/>
        <v>0</v>
      </c>
      <c r="BI541" s="561">
        <f t="shared" si="496"/>
        <v>0</v>
      </c>
      <c r="BJ541" s="561">
        <f t="shared" si="496"/>
        <v>0</v>
      </c>
      <c r="BK541" s="561">
        <f t="shared" si="496"/>
        <v>2737000000</v>
      </c>
      <c r="BL541" s="561">
        <f t="shared" si="496"/>
        <v>695780000</v>
      </c>
      <c r="BM541" s="561">
        <f t="shared" si="496"/>
        <v>180540000</v>
      </c>
      <c r="BN541" s="561">
        <f t="shared" si="496"/>
        <v>0</v>
      </c>
      <c r="BO541" s="561">
        <f t="shared" si="496"/>
        <v>0</v>
      </c>
      <c r="BP541" s="561">
        <f t="shared" si="496"/>
        <v>0</v>
      </c>
      <c r="BQ541" s="561">
        <f t="shared" si="496"/>
        <v>0</v>
      </c>
      <c r="BR541" s="561">
        <f t="shared" si="496"/>
        <v>0</v>
      </c>
      <c r="BS541" s="561">
        <f t="shared" si="496"/>
        <v>0</v>
      </c>
      <c r="BT541" s="561">
        <f t="shared" si="496"/>
        <v>0</v>
      </c>
      <c r="BU541" s="561">
        <f t="shared" si="496"/>
        <v>0</v>
      </c>
      <c r="BV541" s="561">
        <f t="shared" si="496"/>
        <v>0</v>
      </c>
      <c r="BW541" s="561">
        <f t="shared" si="496"/>
        <v>0</v>
      </c>
      <c r="BX541" s="561">
        <f t="shared" si="496"/>
        <v>0</v>
      </c>
      <c r="BY541" s="561">
        <f t="shared" si="496"/>
        <v>0</v>
      </c>
      <c r="BZ541" s="561">
        <f t="shared" ref="BZ541" si="497">+BZ540</f>
        <v>6534529092</v>
      </c>
      <c r="CA541" s="561">
        <f t="shared" ref="CA541:CB541" si="498">+CA540</f>
        <v>695780000</v>
      </c>
      <c r="CB541" s="561">
        <f t="shared" si="498"/>
        <v>180540000</v>
      </c>
    </row>
    <row r="542" spans="1:80" s="11" customFormat="1" x14ac:dyDescent="0.2">
      <c r="A542" s="90"/>
      <c r="B542" s="91"/>
      <c r="C542" s="92"/>
      <c r="D542" s="91"/>
      <c r="E542" s="92"/>
      <c r="F542" s="92"/>
      <c r="G542" s="91"/>
      <c r="H542" s="92"/>
      <c r="I542" s="202"/>
      <c r="J542" s="93"/>
      <c r="K542" s="247"/>
      <c r="L542" s="247"/>
      <c r="M542" s="247"/>
      <c r="N542" s="93"/>
      <c r="O542" s="500"/>
      <c r="P542" s="91"/>
      <c r="Q542" s="92"/>
      <c r="R542" s="543"/>
      <c r="S542" s="543"/>
      <c r="T542" s="543"/>
      <c r="U542" s="544"/>
      <c r="V542" s="544"/>
      <c r="W542" s="544"/>
      <c r="X542" s="543"/>
      <c r="Y542" s="543"/>
      <c r="Z542" s="543"/>
      <c r="AA542" s="543"/>
      <c r="AB542" s="543"/>
      <c r="AC542" s="543"/>
      <c r="AD542" s="543"/>
      <c r="AE542" s="543"/>
      <c r="AF542" s="543"/>
      <c r="AG542" s="543"/>
      <c r="AH542" s="543"/>
      <c r="AI542" s="543"/>
      <c r="AJ542" s="543"/>
      <c r="AK542" s="543"/>
      <c r="AL542" s="543"/>
      <c r="AM542" s="543"/>
      <c r="AN542" s="543"/>
      <c r="AO542" s="543"/>
      <c r="AP542" s="543"/>
      <c r="AQ542" s="543"/>
      <c r="AR542" s="543"/>
      <c r="AS542" s="543"/>
      <c r="AT542" s="543"/>
      <c r="AU542" s="543"/>
      <c r="AV542" s="543"/>
      <c r="AW542" s="543"/>
      <c r="AX542" s="543"/>
      <c r="AY542" s="544"/>
      <c r="AZ542" s="544"/>
      <c r="BA542" s="544"/>
      <c r="BB542" s="544"/>
      <c r="BC542" s="544"/>
      <c r="BD542" s="544"/>
      <c r="BE542" s="543"/>
      <c r="BF542" s="543"/>
      <c r="BG542" s="543"/>
      <c r="BH542" s="543"/>
      <c r="BI542" s="543"/>
      <c r="BJ542" s="543"/>
      <c r="BK542" s="545" t="s">
        <v>62</v>
      </c>
      <c r="BL542" s="545"/>
      <c r="BM542" s="545"/>
      <c r="BN542" s="546"/>
      <c r="BO542" s="546"/>
      <c r="BP542" s="546"/>
      <c r="BQ542" s="543"/>
      <c r="BR542" s="543"/>
      <c r="BS542" s="543"/>
      <c r="BT542" s="543"/>
      <c r="BU542" s="543"/>
      <c r="BV542" s="543"/>
      <c r="BW542" s="543"/>
      <c r="BX542" s="543"/>
      <c r="BY542" s="543"/>
      <c r="BZ542" s="547" t="s">
        <v>62</v>
      </c>
      <c r="CA542" s="547" t="s">
        <v>62</v>
      </c>
      <c r="CB542" s="547" t="s">
        <v>62</v>
      </c>
    </row>
    <row r="543" spans="1:80" s="2" customFormat="1" ht="20.25" x14ac:dyDescent="0.25">
      <c r="A543" s="41" t="s">
        <v>652</v>
      </c>
      <c r="B543" s="42"/>
      <c r="C543" s="43"/>
      <c r="D543" s="42"/>
      <c r="E543" s="42"/>
      <c r="F543" s="42"/>
      <c r="G543" s="42"/>
      <c r="H543" s="43"/>
      <c r="I543" s="42"/>
      <c r="J543" s="42"/>
      <c r="K543" s="272"/>
      <c r="L543" s="272"/>
      <c r="M543" s="272"/>
      <c r="N543" s="42"/>
      <c r="O543" s="43"/>
      <c r="P543" s="42"/>
      <c r="Q543" s="43"/>
      <c r="R543" s="617"/>
      <c r="S543" s="617"/>
      <c r="T543" s="617"/>
      <c r="U543" s="617"/>
      <c r="V543" s="617"/>
      <c r="W543" s="617"/>
      <c r="X543" s="617"/>
      <c r="Y543" s="617"/>
      <c r="Z543" s="617"/>
      <c r="AA543" s="617"/>
      <c r="AB543" s="617"/>
      <c r="AC543" s="617"/>
      <c r="AD543" s="617"/>
      <c r="AE543" s="617"/>
      <c r="AF543" s="617"/>
      <c r="AG543" s="617"/>
      <c r="AH543" s="617"/>
      <c r="AI543" s="617"/>
      <c r="AJ543" s="617"/>
      <c r="AK543" s="617"/>
      <c r="AL543" s="617"/>
      <c r="AM543" s="617"/>
      <c r="AN543" s="617"/>
      <c r="AO543" s="617"/>
      <c r="AP543" s="617"/>
      <c r="AQ543" s="617"/>
      <c r="AR543" s="617"/>
      <c r="AS543" s="617"/>
      <c r="AT543" s="617"/>
      <c r="AU543" s="617"/>
      <c r="AV543" s="617"/>
      <c r="AW543" s="617"/>
      <c r="AX543" s="617"/>
      <c r="AY543" s="617"/>
      <c r="AZ543" s="617"/>
      <c r="BA543" s="617"/>
      <c r="BB543" s="617"/>
      <c r="BC543" s="617"/>
      <c r="BD543" s="617"/>
      <c r="BE543" s="617"/>
      <c r="BF543" s="617"/>
      <c r="BG543" s="617"/>
      <c r="BH543" s="617"/>
      <c r="BI543" s="617"/>
      <c r="BJ543" s="617"/>
      <c r="BK543" s="618"/>
      <c r="BL543" s="618"/>
      <c r="BM543" s="618"/>
      <c r="BN543" s="619"/>
      <c r="BO543" s="619"/>
      <c r="BP543" s="619"/>
      <c r="BQ543" s="617"/>
      <c r="BR543" s="617"/>
      <c r="BS543" s="617"/>
      <c r="BT543" s="617"/>
      <c r="BU543" s="617"/>
      <c r="BV543" s="617"/>
      <c r="BW543" s="617"/>
      <c r="BX543" s="617"/>
      <c r="BY543" s="617"/>
      <c r="BZ543" s="620"/>
      <c r="CA543" s="620"/>
      <c r="CB543" s="620"/>
    </row>
    <row r="544" spans="1:80" s="2" customFormat="1" ht="20.25" x14ac:dyDescent="0.25">
      <c r="A544" s="44">
        <v>5</v>
      </c>
      <c r="B544" s="45" t="s">
        <v>38</v>
      </c>
      <c r="C544" s="46"/>
      <c r="D544" s="45"/>
      <c r="E544" s="45"/>
      <c r="F544" s="45"/>
      <c r="G544" s="45"/>
      <c r="H544" s="46"/>
      <c r="I544" s="45"/>
      <c r="J544" s="45"/>
      <c r="K544" s="273"/>
      <c r="L544" s="273"/>
      <c r="M544" s="273"/>
      <c r="N544" s="45"/>
      <c r="O544" s="46"/>
      <c r="P544" s="45"/>
      <c r="Q544" s="45"/>
      <c r="R544" s="572"/>
      <c r="S544" s="572"/>
      <c r="T544" s="572"/>
      <c r="U544" s="572"/>
      <c r="V544" s="572"/>
      <c r="W544" s="572"/>
      <c r="X544" s="572"/>
      <c r="Y544" s="572"/>
      <c r="Z544" s="572"/>
      <c r="AA544" s="572"/>
      <c r="AB544" s="572"/>
      <c r="AC544" s="572"/>
      <c r="AD544" s="572"/>
      <c r="AE544" s="572"/>
      <c r="AF544" s="572"/>
      <c r="AG544" s="572"/>
      <c r="AH544" s="572"/>
      <c r="AI544" s="572"/>
      <c r="AJ544" s="572"/>
      <c r="AK544" s="572"/>
      <c r="AL544" s="572"/>
      <c r="AM544" s="572"/>
      <c r="AN544" s="572"/>
      <c r="AO544" s="572"/>
      <c r="AP544" s="572"/>
      <c r="AQ544" s="572"/>
      <c r="AR544" s="572"/>
      <c r="AS544" s="572"/>
      <c r="AT544" s="572"/>
      <c r="AU544" s="572"/>
      <c r="AV544" s="572"/>
      <c r="AW544" s="572"/>
      <c r="AX544" s="572"/>
      <c r="AY544" s="572"/>
      <c r="AZ544" s="572"/>
      <c r="BA544" s="572"/>
      <c r="BB544" s="572"/>
      <c r="BC544" s="572"/>
      <c r="BD544" s="572"/>
      <c r="BE544" s="572"/>
      <c r="BF544" s="572"/>
      <c r="BG544" s="572"/>
      <c r="BH544" s="572"/>
      <c r="BI544" s="572"/>
      <c r="BJ544" s="572"/>
      <c r="BK544" s="573"/>
      <c r="BL544" s="573"/>
      <c r="BM544" s="573"/>
      <c r="BN544" s="572"/>
      <c r="BO544" s="572"/>
      <c r="BP544" s="572"/>
      <c r="BQ544" s="572"/>
      <c r="BR544" s="572"/>
      <c r="BS544" s="572"/>
      <c r="BT544" s="572"/>
      <c r="BU544" s="572"/>
      <c r="BV544" s="572"/>
      <c r="BW544" s="572"/>
      <c r="BX544" s="572"/>
      <c r="BY544" s="572"/>
      <c r="BZ544" s="574"/>
      <c r="CA544" s="574"/>
      <c r="CB544" s="574"/>
    </row>
    <row r="545" spans="1:80" s="2" customFormat="1" ht="20.25" x14ac:dyDescent="0.25">
      <c r="A545" s="96"/>
      <c r="B545" s="152">
        <v>26</v>
      </c>
      <c r="C545" s="51" t="s">
        <v>69</v>
      </c>
      <c r="D545" s="50"/>
      <c r="E545" s="50"/>
      <c r="F545" s="50"/>
      <c r="G545" s="50"/>
      <c r="H545" s="51"/>
      <c r="I545" s="50"/>
      <c r="J545" s="50"/>
      <c r="K545" s="252"/>
      <c r="L545" s="252"/>
      <c r="M545" s="252"/>
      <c r="N545" s="50"/>
      <c r="O545" s="51"/>
      <c r="P545" s="50"/>
      <c r="Q545" s="50"/>
      <c r="R545" s="550"/>
      <c r="S545" s="550"/>
      <c r="T545" s="550"/>
      <c r="U545" s="550"/>
      <c r="V545" s="550"/>
      <c r="W545" s="550"/>
      <c r="X545" s="550"/>
      <c r="Y545" s="550"/>
      <c r="Z545" s="550"/>
      <c r="AA545" s="550"/>
      <c r="AB545" s="550"/>
      <c r="AC545" s="550"/>
      <c r="AD545" s="550"/>
      <c r="AE545" s="550"/>
      <c r="AF545" s="550"/>
      <c r="AG545" s="550"/>
      <c r="AH545" s="550"/>
      <c r="AI545" s="550"/>
      <c r="AJ545" s="550"/>
      <c r="AK545" s="550"/>
      <c r="AL545" s="550"/>
      <c r="AM545" s="550"/>
      <c r="AN545" s="550"/>
      <c r="AO545" s="550"/>
      <c r="AP545" s="550"/>
      <c r="AQ545" s="550"/>
      <c r="AR545" s="550"/>
      <c r="AS545" s="550"/>
      <c r="AT545" s="550"/>
      <c r="AU545" s="550"/>
      <c r="AV545" s="550"/>
      <c r="AW545" s="550"/>
      <c r="AX545" s="550"/>
      <c r="AY545" s="550"/>
      <c r="AZ545" s="550"/>
      <c r="BA545" s="550"/>
      <c r="BB545" s="550"/>
      <c r="BC545" s="550"/>
      <c r="BD545" s="550"/>
      <c r="BE545" s="550"/>
      <c r="BF545" s="550"/>
      <c r="BG545" s="550"/>
      <c r="BH545" s="550"/>
      <c r="BI545" s="550"/>
      <c r="BJ545" s="550"/>
      <c r="BK545" s="551"/>
      <c r="BL545" s="551"/>
      <c r="BM545" s="551"/>
      <c r="BN545" s="550"/>
      <c r="BO545" s="550"/>
      <c r="BP545" s="550"/>
      <c r="BQ545" s="550"/>
      <c r="BR545" s="550"/>
      <c r="BS545" s="550"/>
      <c r="BT545" s="550"/>
      <c r="BU545" s="550"/>
      <c r="BV545" s="550"/>
      <c r="BW545" s="550"/>
      <c r="BX545" s="550"/>
      <c r="BY545" s="550"/>
      <c r="BZ545" s="555"/>
      <c r="CA545" s="555"/>
      <c r="CB545" s="555"/>
    </row>
    <row r="546" spans="1:80" s="2" customFormat="1" ht="20.25" x14ac:dyDescent="0.25">
      <c r="A546" s="54"/>
      <c r="B546" s="96"/>
      <c r="C546" s="508"/>
      <c r="D546" s="516"/>
      <c r="E546" s="508"/>
      <c r="F546" s="508"/>
      <c r="G546" s="274">
        <v>83</v>
      </c>
      <c r="H546" s="100" t="s">
        <v>70</v>
      </c>
      <c r="I546" s="100"/>
      <c r="J546" s="100"/>
      <c r="K546" s="186"/>
      <c r="L546" s="186"/>
      <c r="M546" s="186"/>
      <c r="N546" s="100"/>
      <c r="O546" s="212"/>
      <c r="P546" s="100"/>
      <c r="Q546" s="100"/>
      <c r="R546" s="336"/>
      <c r="S546" s="336"/>
      <c r="T546" s="336"/>
      <c r="U546" s="336"/>
      <c r="V546" s="336"/>
      <c r="W546" s="336"/>
      <c r="X546" s="336"/>
      <c r="Y546" s="336"/>
      <c r="Z546" s="336"/>
      <c r="AA546" s="336"/>
      <c r="AB546" s="336"/>
      <c r="AC546" s="336"/>
      <c r="AD546" s="336"/>
      <c r="AE546" s="336"/>
      <c r="AF546" s="336"/>
      <c r="AG546" s="336"/>
      <c r="AH546" s="336"/>
      <c r="AI546" s="336"/>
      <c r="AJ546" s="336"/>
      <c r="AK546" s="336"/>
      <c r="AL546" s="336"/>
      <c r="AM546" s="336"/>
      <c r="AN546" s="336"/>
      <c r="AO546" s="336"/>
      <c r="AP546" s="336"/>
      <c r="AQ546" s="336"/>
      <c r="AR546" s="336"/>
      <c r="AS546" s="336"/>
      <c r="AT546" s="336"/>
      <c r="AU546" s="336"/>
      <c r="AV546" s="336"/>
      <c r="AW546" s="336"/>
      <c r="AX546" s="336"/>
      <c r="AY546" s="336"/>
      <c r="AZ546" s="336"/>
      <c r="BA546" s="336"/>
      <c r="BB546" s="336"/>
      <c r="BC546" s="336"/>
      <c r="BD546" s="336"/>
      <c r="BE546" s="336"/>
      <c r="BF546" s="336"/>
      <c r="BG546" s="336"/>
      <c r="BH546" s="336"/>
      <c r="BI546" s="336"/>
      <c r="BJ546" s="336"/>
      <c r="BK546" s="552"/>
      <c r="BL546" s="552"/>
      <c r="BM546" s="552"/>
      <c r="BN546" s="336"/>
      <c r="BO546" s="336"/>
      <c r="BP546" s="336"/>
      <c r="BQ546" s="336"/>
      <c r="BR546" s="336"/>
      <c r="BS546" s="336"/>
      <c r="BT546" s="336"/>
      <c r="BU546" s="336"/>
      <c r="BV546" s="336"/>
      <c r="BW546" s="336"/>
      <c r="BX546" s="336"/>
      <c r="BY546" s="336"/>
      <c r="BZ546" s="338"/>
      <c r="CA546" s="338"/>
      <c r="CB546" s="338"/>
    </row>
    <row r="547" spans="1:80" s="11" customFormat="1" ht="91.5" customHeight="1" x14ac:dyDescent="0.2">
      <c r="A547" s="54"/>
      <c r="B547" s="54"/>
      <c r="C547" s="509">
        <v>37</v>
      </c>
      <c r="D547" s="517" t="s">
        <v>653</v>
      </c>
      <c r="E547" s="526">
        <v>0.54610000000000003</v>
      </c>
      <c r="F547" s="523">
        <v>0.6</v>
      </c>
      <c r="G547" s="139"/>
      <c r="H547" s="538">
        <v>243</v>
      </c>
      <c r="I547" s="56" t="s">
        <v>654</v>
      </c>
      <c r="J547" s="59" t="s">
        <v>42</v>
      </c>
      <c r="K547" s="237">
        <v>6</v>
      </c>
      <c r="L547" s="237"/>
      <c r="M547" s="61">
        <v>2017003630017</v>
      </c>
      <c r="N547" s="56" t="s">
        <v>443</v>
      </c>
      <c r="O547" s="498" t="s">
        <v>655</v>
      </c>
      <c r="P547" s="56" t="s">
        <v>656</v>
      </c>
      <c r="Q547" s="57" t="s">
        <v>67</v>
      </c>
      <c r="R547" s="539"/>
      <c r="S547" s="539"/>
      <c r="T547" s="539"/>
      <c r="U547" s="539"/>
      <c r="V547" s="539"/>
      <c r="W547" s="539"/>
      <c r="X547" s="539"/>
      <c r="Y547" s="539"/>
      <c r="Z547" s="539"/>
      <c r="AA547" s="539"/>
      <c r="AB547" s="539"/>
      <c r="AC547" s="539"/>
      <c r="AD547" s="539"/>
      <c r="AE547" s="539"/>
      <c r="AF547" s="539"/>
      <c r="AG547" s="539"/>
      <c r="AH547" s="539"/>
      <c r="AI547" s="539"/>
      <c r="AJ547" s="539"/>
      <c r="AK547" s="539"/>
      <c r="AL547" s="539"/>
      <c r="AM547" s="539"/>
      <c r="AN547" s="539"/>
      <c r="AO547" s="539"/>
      <c r="AP547" s="539"/>
      <c r="AQ547" s="539"/>
      <c r="AR547" s="539"/>
      <c r="AS547" s="539"/>
      <c r="AT547" s="539"/>
      <c r="AU547" s="539"/>
      <c r="AV547" s="539"/>
      <c r="AW547" s="539"/>
      <c r="AX547" s="539"/>
      <c r="AY547" s="539"/>
      <c r="AZ547" s="539"/>
      <c r="BA547" s="539"/>
      <c r="BB547" s="539"/>
      <c r="BC547" s="539"/>
      <c r="BD547" s="539"/>
      <c r="BE547" s="539"/>
      <c r="BF547" s="539"/>
      <c r="BG547" s="539"/>
      <c r="BH547" s="539"/>
      <c r="BI547" s="541"/>
      <c r="BJ547" s="541"/>
      <c r="BK547" s="542">
        <v>72000000</v>
      </c>
      <c r="BL547" s="542">
        <v>68400000</v>
      </c>
      <c r="BM547" s="542">
        <v>7600000</v>
      </c>
      <c r="BN547" s="542"/>
      <c r="BO547" s="542"/>
      <c r="BP547" s="542"/>
      <c r="BQ547" s="539"/>
      <c r="BR547" s="541"/>
      <c r="BS547" s="541"/>
      <c r="BT547" s="541"/>
      <c r="BU547" s="541"/>
      <c r="BV547" s="541"/>
      <c r="BW547" s="541"/>
      <c r="BX547" s="541"/>
      <c r="BY547" s="541"/>
      <c r="BZ547" s="539">
        <f>R547+U547+X547+AA547+AD547+AG547+AJ547+AM547+AP547+AS547+AV547+AY547+BB547+BE547+BH547+BK547+BN547+BQ547+BT547+BW547</f>
        <v>72000000</v>
      </c>
      <c r="CA547" s="539">
        <f t="shared" ref="CA547" si="499">S547+V547+Y547+AB547+AE547+AH547+AK547+AN547+AQ547+AT547+AW547+AZ547+BC547+BF547+BI547+BL547+BO547+BR547+BU547+BX547</f>
        <v>68400000</v>
      </c>
      <c r="CB547" s="539">
        <f t="shared" ref="CB547" si="500">T547+W547+Z547+AC547+AF547+AI547+AL547+AO547+AR547+AU547+AX547+BA547+BD547+BG547+BJ547+BM547+BP547+BS547+BV547+BY547</f>
        <v>7600000</v>
      </c>
    </row>
    <row r="548" spans="1:80" s="459" customFormat="1" ht="15.75" x14ac:dyDescent="0.2">
      <c r="A548" s="54"/>
      <c r="B548" s="74"/>
      <c r="C548" s="510"/>
      <c r="D548" s="209"/>
      <c r="E548" s="259"/>
      <c r="F548" s="259"/>
      <c r="G548" s="366"/>
      <c r="H548" s="367"/>
      <c r="I548" s="77"/>
      <c r="J548" s="79"/>
      <c r="K548" s="246"/>
      <c r="L548" s="246"/>
      <c r="M548" s="246"/>
      <c r="N548" s="79"/>
      <c r="O548" s="78"/>
      <c r="P548" s="77"/>
      <c r="Q548" s="78"/>
      <c r="R548" s="548">
        <f t="shared" ref="R548:BY548" si="501">SUM(R547:R547)</f>
        <v>0</v>
      </c>
      <c r="S548" s="548">
        <f t="shared" si="501"/>
        <v>0</v>
      </c>
      <c r="T548" s="548">
        <f t="shared" si="501"/>
        <v>0</v>
      </c>
      <c r="U548" s="548">
        <f t="shared" si="501"/>
        <v>0</v>
      </c>
      <c r="V548" s="548">
        <f t="shared" si="501"/>
        <v>0</v>
      </c>
      <c r="W548" s="548">
        <f t="shared" si="501"/>
        <v>0</v>
      </c>
      <c r="X548" s="548">
        <f t="shared" si="501"/>
        <v>0</v>
      </c>
      <c r="Y548" s="548">
        <f t="shared" si="501"/>
        <v>0</v>
      </c>
      <c r="Z548" s="548">
        <f t="shared" si="501"/>
        <v>0</v>
      </c>
      <c r="AA548" s="548">
        <f t="shared" si="501"/>
        <v>0</v>
      </c>
      <c r="AB548" s="548">
        <f t="shared" si="501"/>
        <v>0</v>
      </c>
      <c r="AC548" s="548">
        <f t="shared" si="501"/>
        <v>0</v>
      </c>
      <c r="AD548" s="548">
        <f t="shared" si="501"/>
        <v>0</v>
      </c>
      <c r="AE548" s="548">
        <f t="shared" si="501"/>
        <v>0</v>
      </c>
      <c r="AF548" s="548">
        <f t="shared" si="501"/>
        <v>0</v>
      </c>
      <c r="AG548" s="548">
        <f t="shared" si="501"/>
        <v>0</v>
      </c>
      <c r="AH548" s="548">
        <f t="shared" si="501"/>
        <v>0</v>
      </c>
      <c r="AI548" s="548">
        <f t="shared" si="501"/>
        <v>0</v>
      </c>
      <c r="AJ548" s="548">
        <f t="shared" si="501"/>
        <v>0</v>
      </c>
      <c r="AK548" s="548">
        <f t="shared" si="501"/>
        <v>0</v>
      </c>
      <c r="AL548" s="548">
        <f t="shared" si="501"/>
        <v>0</v>
      </c>
      <c r="AM548" s="548">
        <f t="shared" si="501"/>
        <v>0</v>
      </c>
      <c r="AN548" s="548">
        <f t="shared" si="501"/>
        <v>0</v>
      </c>
      <c r="AO548" s="548">
        <f t="shared" si="501"/>
        <v>0</v>
      </c>
      <c r="AP548" s="548">
        <f t="shared" si="501"/>
        <v>0</v>
      </c>
      <c r="AQ548" s="548">
        <f t="shared" si="501"/>
        <v>0</v>
      </c>
      <c r="AR548" s="548">
        <f t="shared" si="501"/>
        <v>0</v>
      </c>
      <c r="AS548" s="548">
        <f t="shared" si="501"/>
        <v>0</v>
      </c>
      <c r="AT548" s="548">
        <f t="shared" si="501"/>
        <v>0</v>
      </c>
      <c r="AU548" s="548">
        <f t="shared" si="501"/>
        <v>0</v>
      </c>
      <c r="AV548" s="548">
        <f t="shared" si="501"/>
        <v>0</v>
      </c>
      <c r="AW548" s="548">
        <f t="shared" si="501"/>
        <v>0</v>
      </c>
      <c r="AX548" s="548">
        <f t="shared" si="501"/>
        <v>0</v>
      </c>
      <c r="AY548" s="548">
        <f t="shared" si="501"/>
        <v>0</v>
      </c>
      <c r="AZ548" s="548">
        <f t="shared" si="501"/>
        <v>0</v>
      </c>
      <c r="BA548" s="548">
        <f t="shared" si="501"/>
        <v>0</v>
      </c>
      <c r="BB548" s="548">
        <f t="shared" si="501"/>
        <v>0</v>
      </c>
      <c r="BC548" s="548">
        <f t="shared" si="501"/>
        <v>0</v>
      </c>
      <c r="BD548" s="548">
        <f t="shared" si="501"/>
        <v>0</v>
      </c>
      <c r="BE548" s="548">
        <f t="shared" si="501"/>
        <v>0</v>
      </c>
      <c r="BF548" s="548">
        <f t="shared" si="501"/>
        <v>0</v>
      </c>
      <c r="BG548" s="548">
        <f t="shared" si="501"/>
        <v>0</v>
      </c>
      <c r="BH548" s="548">
        <f t="shared" si="501"/>
        <v>0</v>
      </c>
      <c r="BI548" s="548">
        <f t="shared" si="501"/>
        <v>0</v>
      </c>
      <c r="BJ548" s="548">
        <f t="shared" si="501"/>
        <v>0</v>
      </c>
      <c r="BK548" s="548">
        <f t="shared" si="501"/>
        <v>72000000</v>
      </c>
      <c r="BL548" s="548">
        <f t="shared" si="501"/>
        <v>68400000</v>
      </c>
      <c r="BM548" s="548">
        <f t="shared" si="501"/>
        <v>7600000</v>
      </c>
      <c r="BN548" s="548">
        <f t="shared" si="501"/>
        <v>0</v>
      </c>
      <c r="BO548" s="548">
        <f t="shared" si="501"/>
        <v>0</v>
      </c>
      <c r="BP548" s="548">
        <f t="shared" si="501"/>
        <v>0</v>
      </c>
      <c r="BQ548" s="548">
        <f t="shared" si="501"/>
        <v>0</v>
      </c>
      <c r="BR548" s="548">
        <f t="shared" si="501"/>
        <v>0</v>
      </c>
      <c r="BS548" s="548">
        <f t="shared" si="501"/>
        <v>0</v>
      </c>
      <c r="BT548" s="548">
        <f t="shared" si="501"/>
        <v>0</v>
      </c>
      <c r="BU548" s="548">
        <f t="shared" si="501"/>
        <v>0</v>
      </c>
      <c r="BV548" s="548">
        <f t="shared" si="501"/>
        <v>0</v>
      </c>
      <c r="BW548" s="548">
        <f t="shared" si="501"/>
        <v>0</v>
      </c>
      <c r="BX548" s="548">
        <f t="shared" si="501"/>
        <v>0</v>
      </c>
      <c r="BY548" s="548">
        <f t="shared" si="501"/>
        <v>0</v>
      </c>
      <c r="BZ548" s="548">
        <f>SUM(BZ547:BZ547)</f>
        <v>72000000</v>
      </c>
      <c r="CA548" s="548">
        <f t="shared" ref="CA548:CB548" si="502">SUM(CA547:CA547)</f>
        <v>68400000</v>
      </c>
      <c r="CB548" s="548">
        <f t="shared" si="502"/>
        <v>7600000</v>
      </c>
    </row>
    <row r="549" spans="1:80" s="459" customFormat="1" ht="15.75" x14ac:dyDescent="0.2">
      <c r="A549" s="74"/>
      <c r="B549" s="118"/>
      <c r="C549" s="82"/>
      <c r="D549" s="81"/>
      <c r="E549" s="82"/>
      <c r="F549" s="82"/>
      <c r="G549" s="81"/>
      <c r="H549" s="82"/>
      <c r="I549" s="81"/>
      <c r="J549" s="83"/>
      <c r="K549" s="251"/>
      <c r="L549" s="251"/>
      <c r="M549" s="251"/>
      <c r="N549" s="83"/>
      <c r="O549" s="82"/>
      <c r="P549" s="81"/>
      <c r="Q549" s="82"/>
      <c r="R549" s="554">
        <f t="shared" ref="R549:BY549" si="503">R548</f>
        <v>0</v>
      </c>
      <c r="S549" s="554">
        <f t="shared" si="503"/>
        <v>0</v>
      </c>
      <c r="T549" s="554">
        <f t="shared" si="503"/>
        <v>0</v>
      </c>
      <c r="U549" s="554">
        <f t="shared" si="503"/>
        <v>0</v>
      </c>
      <c r="V549" s="554">
        <f t="shared" si="503"/>
        <v>0</v>
      </c>
      <c r="W549" s="554">
        <f t="shared" si="503"/>
        <v>0</v>
      </c>
      <c r="X549" s="554">
        <f t="shared" si="503"/>
        <v>0</v>
      </c>
      <c r="Y549" s="554">
        <f t="shared" si="503"/>
        <v>0</v>
      </c>
      <c r="Z549" s="554">
        <f t="shared" si="503"/>
        <v>0</v>
      </c>
      <c r="AA549" s="554">
        <f t="shared" si="503"/>
        <v>0</v>
      </c>
      <c r="AB549" s="554">
        <f t="shared" si="503"/>
        <v>0</v>
      </c>
      <c r="AC549" s="554">
        <f t="shared" si="503"/>
        <v>0</v>
      </c>
      <c r="AD549" s="554">
        <f t="shared" si="503"/>
        <v>0</v>
      </c>
      <c r="AE549" s="554">
        <f t="shared" si="503"/>
        <v>0</v>
      </c>
      <c r="AF549" s="554">
        <f t="shared" si="503"/>
        <v>0</v>
      </c>
      <c r="AG549" s="554">
        <f t="shared" si="503"/>
        <v>0</v>
      </c>
      <c r="AH549" s="554">
        <f t="shared" si="503"/>
        <v>0</v>
      </c>
      <c r="AI549" s="554">
        <f t="shared" si="503"/>
        <v>0</v>
      </c>
      <c r="AJ549" s="554">
        <f t="shared" si="503"/>
        <v>0</v>
      </c>
      <c r="AK549" s="554">
        <f t="shared" si="503"/>
        <v>0</v>
      </c>
      <c r="AL549" s="554">
        <f t="shared" si="503"/>
        <v>0</v>
      </c>
      <c r="AM549" s="554">
        <f t="shared" si="503"/>
        <v>0</v>
      </c>
      <c r="AN549" s="554">
        <f t="shared" si="503"/>
        <v>0</v>
      </c>
      <c r="AO549" s="554">
        <f t="shared" si="503"/>
        <v>0</v>
      </c>
      <c r="AP549" s="554">
        <f t="shared" si="503"/>
        <v>0</v>
      </c>
      <c r="AQ549" s="554">
        <f t="shared" si="503"/>
        <v>0</v>
      </c>
      <c r="AR549" s="554">
        <f t="shared" si="503"/>
        <v>0</v>
      </c>
      <c r="AS549" s="554">
        <f t="shared" si="503"/>
        <v>0</v>
      </c>
      <c r="AT549" s="554">
        <f t="shared" si="503"/>
        <v>0</v>
      </c>
      <c r="AU549" s="554">
        <f t="shared" si="503"/>
        <v>0</v>
      </c>
      <c r="AV549" s="554">
        <f t="shared" si="503"/>
        <v>0</v>
      </c>
      <c r="AW549" s="554">
        <f t="shared" si="503"/>
        <v>0</v>
      </c>
      <c r="AX549" s="554">
        <f t="shared" si="503"/>
        <v>0</v>
      </c>
      <c r="AY549" s="554">
        <f t="shared" si="503"/>
        <v>0</v>
      </c>
      <c r="AZ549" s="554">
        <f t="shared" si="503"/>
        <v>0</v>
      </c>
      <c r="BA549" s="554">
        <f t="shared" si="503"/>
        <v>0</v>
      </c>
      <c r="BB549" s="554">
        <f t="shared" si="503"/>
        <v>0</v>
      </c>
      <c r="BC549" s="554">
        <f t="shared" si="503"/>
        <v>0</v>
      </c>
      <c r="BD549" s="554">
        <f t="shared" si="503"/>
        <v>0</v>
      </c>
      <c r="BE549" s="554">
        <f t="shared" si="503"/>
        <v>0</v>
      </c>
      <c r="BF549" s="554">
        <f t="shared" si="503"/>
        <v>0</v>
      </c>
      <c r="BG549" s="554">
        <f t="shared" si="503"/>
        <v>0</v>
      </c>
      <c r="BH549" s="554">
        <f t="shared" si="503"/>
        <v>0</v>
      </c>
      <c r="BI549" s="554">
        <f t="shared" si="503"/>
        <v>0</v>
      </c>
      <c r="BJ549" s="554">
        <f t="shared" si="503"/>
        <v>0</v>
      </c>
      <c r="BK549" s="554">
        <f t="shared" si="503"/>
        <v>72000000</v>
      </c>
      <c r="BL549" s="554">
        <f t="shared" si="503"/>
        <v>68400000</v>
      </c>
      <c r="BM549" s="554">
        <f t="shared" si="503"/>
        <v>7600000</v>
      </c>
      <c r="BN549" s="554">
        <f t="shared" si="503"/>
        <v>0</v>
      </c>
      <c r="BO549" s="554">
        <f t="shared" si="503"/>
        <v>0</v>
      </c>
      <c r="BP549" s="554">
        <f t="shared" si="503"/>
        <v>0</v>
      </c>
      <c r="BQ549" s="554">
        <f t="shared" si="503"/>
        <v>0</v>
      </c>
      <c r="BR549" s="554">
        <f t="shared" si="503"/>
        <v>0</v>
      </c>
      <c r="BS549" s="554">
        <f t="shared" si="503"/>
        <v>0</v>
      </c>
      <c r="BT549" s="554">
        <f t="shared" si="503"/>
        <v>0</v>
      </c>
      <c r="BU549" s="554">
        <f t="shared" si="503"/>
        <v>0</v>
      </c>
      <c r="BV549" s="554">
        <f t="shared" si="503"/>
        <v>0</v>
      </c>
      <c r="BW549" s="554">
        <f t="shared" si="503"/>
        <v>0</v>
      </c>
      <c r="BX549" s="554">
        <f t="shared" si="503"/>
        <v>0</v>
      </c>
      <c r="BY549" s="554">
        <f t="shared" si="503"/>
        <v>0</v>
      </c>
      <c r="BZ549" s="554">
        <f t="shared" ref="BZ549:BZ551" si="504">BZ548</f>
        <v>72000000</v>
      </c>
      <c r="CA549" s="554">
        <f t="shared" ref="CA549:CB549" si="505">CA548</f>
        <v>68400000</v>
      </c>
      <c r="CB549" s="554">
        <f t="shared" si="505"/>
        <v>7600000</v>
      </c>
    </row>
    <row r="550" spans="1:80" s="459" customFormat="1" x14ac:dyDescent="0.2">
      <c r="A550" s="84"/>
      <c r="B550" s="84"/>
      <c r="C550" s="85"/>
      <c r="D550" s="84"/>
      <c r="E550" s="85"/>
      <c r="F550" s="85"/>
      <c r="G550" s="84"/>
      <c r="H550" s="85"/>
      <c r="I550" s="84"/>
      <c r="J550" s="86"/>
      <c r="K550" s="407"/>
      <c r="L550" s="407"/>
      <c r="M550" s="407"/>
      <c r="N550" s="86"/>
      <c r="O550" s="85"/>
      <c r="P550" s="84"/>
      <c r="Q550" s="85"/>
      <c r="R550" s="560">
        <f t="shared" ref="R550:BY550" si="506">R549</f>
        <v>0</v>
      </c>
      <c r="S550" s="560">
        <f t="shared" si="506"/>
        <v>0</v>
      </c>
      <c r="T550" s="560">
        <f t="shared" si="506"/>
        <v>0</v>
      </c>
      <c r="U550" s="560">
        <f t="shared" si="506"/>
        <v>0</v>
      </c>
      <c r="V550" s="560">
        <f t="shared" si="506"/>
        <v>0</v>
      </c>
      <c r="W550" s="560">
        <f t="shared" si="506"/>
        <v>0</v>
      </c>
      <c r="X550" s="560">
        <f t="shared" si="506"/>
        <v>0</v>
      </c>
      <c r="Y550" s="560">
        <f t="shared" si="506"/>
        <v>0</v>
      </c>
      <c r="Z550" s="560">
        <f t="shared" si="506"/>
        <v>0</v>
      </c>
      <c r="AA550" s="560">
        <f t="shared" si="506"/>
        <v>0</v>
      </c>
      <c r="AB550" s="560">
        <f t="shared" si="506"/>
        <v>0</v>
      </c>
      <c r="AC550" s="560">
        <f t="shared" si="506"/>
        <v>0</v>
      </c>
      <c r="AD550" s="560">
        <f t="shared" si="506"/>
        <v>0</v>
      </c>
      <c r="AE550" s="560">
        <f t="shared" si="506"/>
        <v>0</v>
      </c>
      <c r="AF550" s="560">
        <f t="shared" si="506"/>
        <v>0</v>
      </c>
      <c r="AG550" s="560">
        <f t="shared" si="506"/>
        <v>0</v>
      </c>
      <c r="AH550" s="560">
        <f t="shared" si="506"/>
        <v>0</v>
      </c>
      <c r="AI550" s="560">
        <f t="shared" si="506"/>
        <v>0</v>
      </c>
      <c r="AJ550" s="560">
        <f t="shared" si="506"/>
        <v>0</v>
      </c>
      <c r="AK550" s="560">
        <f t="shared" si="506"/>
        <v>0</v>
      </c>
      <c r="AL550" s="560">
        <f t="shared" si="506"/>
        <v>0</v>
      </c>
      <c r="AM550" s="560">
        <f t="shared" si="506"/>
        <v>0</v>
      </c>
      <c r="AN550" s="560">
        <f t="shared" si="506"/>
        <v>0</v>
      </c>
      <c r="AO550" s="560">
        <f t="shared" si="506"/>
        <v>0</v>
      </c>
      <c r="AP550" s="560">
        <f t="shared" si="506"/>
        <v>0</v>
      </c>
      <c r="AQ550" s="560">
        <f t="shared" si="506"/>
        <v>0</v>
      </c>
      <c r="AR550" s="560">
        <f t="shared" si="506"/>
        <v>0</v>
      </c>
      <c r="AS550" s="560">
        <f t="shared" si="506"/>
        <v>0</v>
      </c>
      <c r="AT550" s="560">
        <f t="shared" si="506"/>
        <v>0</v>
      </c>
      <c r="AU550" s="560">
        <f t="shared" si="506"/>
        <v>0</v>
      </c>
      <c r="AV550" s="560">
        <f t="shared" si="506"/>
        <v>0</v>
      </c>
      <c r="AW550" s="560">
        <f t="shared" si="506"/>
        <v>0</v>
      </c>
      <c r="AX550" s="560">
        <f t="shared" si="506"/>
        <v>0</v>
      </c>
      <c r="AY550" s="560">
        <f t="shared" si="506"/>
        <v>0</v>
      </c>
      <c r="AZ550" s="560">
        <f t="shared" si="506"/>
        <v>0</v>
      </c>
      <c r="BA550" s="560">
        <f t="shared" si="506"/>
        <v>0</v>
      </c>
      <c r="BB550" s="560">
        <f t="shared" si="506"/>
        <v>0</v>
      </c>
      <c r="BC550" s="560">
        <f t="shared" si="506"/>
        <v>0</v>
      </c>
      <c r="BD550" s="560">
        <f t="shared" si="506"/>
        <v>0</v>
      </c>
      <c r="BE550" s="560">
        <f t="shared" si="506"/>
        <v>0</v>
      </c>
      <c r="BF550" s="560">
        <f t="shared" si="506"/>
        <v>0</v>
      </c>
      <c r="BG550" s="560">
        <f t="shared" si="506"/>
        <v>0</v>
      </c>
      <c r="BH550" s="560">
        <f t="shared" si="506"/>
        <v>0</v>
      </c>
      <c r="BI550" s="560">
        <f t="shared" si="506"/>
        <v>0</v>
      </c>
      <c r="BJ550" s="560">
        <f t="shared" si="506"/>
        <v>0</v>
      </c>
      <c r="BK550" s="560">
        <f t="shared" si="506"/>
        <v>72000000</v>
      </c>
      <c r="BL550" s="560">
        <f t="shared" si="506"/>
        <v>68400000</v>
      </c>
      <c r="BM550" s="560">
        <f t="shared" si="506"/>
        <v>7600000</v>
      </c>
      <c r="BN550" s="560">
        <f t="shared" si="506"/>
        <v>0</v>
      </c>
      <c r="BO550" s="560">
        <f t="shared" si="506"/>
        <v>0</v>
      </c>
      <c r="BP550" s="560">
        <f t="shared" si="506"/>
        <v>0</v>
      </c>
      <c r="BQ550" s="560">
        <f t="shared" si="506"/>
        <v>0</v>
      </c>
      <c r="BR550" s="560">
        <f t="shared" si="506"/>
        <v>0</v>
      </c>
      <c r="BS550" s="560">
        <f t="shared" si="506"/>
        <v>0</v>
      </c>
      <c r="BT550" s="560">
        <f t="shared" si="506"/>
        <v>0</v>
      </c>
      <c r="BU550" s="560">
        <f t="shared" si="506"/>
        <v>0</v>
      </c>
      <c r="BV550" s="560">
        <f t="shared" si="506"/>
        <v>0</v>
      </c>
      <c r="BW550" s="560">
        <f t="shared" si="506"/>
        <v>0</v>
      </c>
      <c r="BX550" s="560">
        <f t="shared" si="506"/>
        <v>0</v>
      </c>
      <c r="BY550" s="560">
        <f t="shared" si="506"/>
        <v>0</v>
      </c>
      <c r="BZ550" s="560">
        <f t="shared" si="504"/>
        <v>72000000</v>
      </c>
      <c r="CA550" s="560">
        <f t="shared" ref="CA550:CB550" si="507">CA549</f>
        <v>68400000</v>
      </c>
      <c r="CB550" s="560">
        <f t="shared" si="507"/>
        <v>7600000</v>
      </c>
    </row>
    <row r="551" spans="1:80" s="459" customFormat="1" x14ac:dyDescent="0.2">
      <c r="A551" s="87"/>
      <c r="B551" s="87"/>
      <c r="C551" s="88"/>
      <c r="D551" s="87"/>
      <c r="E551" s="88"/>
      <c r="F551" s="88"/>
      <c r="G551" s="87"/>
      <c r="H551" s="88"/>
      <c r="I551" s="87"/>
      <c r="J551" s="89"/>
      <c r="K551" s="389"/>
      <c r="L551" s="389"/>
      <c r="M551" s="389"/>
      <c r="N551" s="89"/>
      <c r="O551" s="88"/>
      <c r="P551" s="87"/>
      <c r="Q551" s="88"/>
      <c r="R551" s="561">
        <f t="shared" ref="R551:BY551" si="508">R550</f>
        <v>0</v>
      </c>
      <c r="S551" s="561">
        <f t="shared" si="508"/>
        <v>0</v>
      </c>
      <c r="T551" s="561">
        <f t="shared" si="508"/>
        <v>0</v>
      </c>
      <c r="U551" s="561">
        <f t="shared" si="508"/>
        <v>0</v>
      </c>
      <c r="V551" s="561">
        <f t="shared" si="508"/>
        <v>0</v>
      </c>
      <c r="W551" s="561">
        <f t="shared" si="508"/>
        <v>0</v>
      </c>
      <c r="X551" s="561">
        <f t="shared" si="508"/>
        <v>0</v>
      </c>
      <c r="Y551" s="561">
        <f t="shared" si="508"/>
        <v>0</v>
      </c>
      <c r="Z551" s="561">
        <f t="shared" si="508"/>
        <v>0</v>
      </c>
      <c r="AA551" s="561">
        <f t="shared" si="508"/>
        <v>0</v>
      </c>
      <c r="AB551" s="561">
        <f t="shared" si="508"/>
        <v>0</v>
      </c>
      <c r="AC551" s="561">
        <f t="shared" si="508"/>
        <v>0</v>
      </c>
      <c r="AD551" s="561">
        <f t="shared" si="508"/>
        <v>0</v>
      </c>
      <c r="AE551" s="561">
        <f t="shared" si="508"/>
        <v>0</v>
      </c>
      <c r="AF551" s="561">
        <f t="shared" si="508"/>
        <v>0</v>
      </c>
      <c r="AG551" s="561">
        <f t="shared" si="508"/>
        <v>0</v>
      </c>
      <c r="AH551" s="561">
        <f t="shared" si="508"/>
        <v>0</v>
      </c>
      <c r="AI551" s="561">
        <f t="shared" si="508"/>
        <v>0</v>
      </c>
      <c r="AJ551" s="561">
        <f t="shared" si="508"/>
        <v>0</v>
      </c>
      <c r="AK551" s="561">
        <f t="shared" si="508"/>
        <v>0</v>
      </c>
      <c r="AL551" s="561">
        <f t="shared" si="508"/>
        <v>0</v>
      </c>
      <c r="AM551" s="561">
        <f t="shared" si="508"/>
        <v>0</v>
      </c>
      <c r="AN551" s="561">
        <f t="shared" si="508"/>
        <v>0</v>
      </c>
      <c r="AO551" s="561">
        <f t="shared" si="508"/>
        <v>0</v>
      </c>
      <c r="AP551" s="561">
        <f t="shared" si="508"/>
        <v>0</v>
      </c>
      <c r="AQ551" s="561">
        <f t="shared" si="508"/>
        <v>0</v>
      </c>
      <c r="AR551" s="561">
        <f t="shared" si="508"/>
        <v>0</v>
      </c>
      <c r="AS551" s="561">
        <f t="shared" si="508"/>
        <v>0</v>
      </c>
      <c r="AT551" s="561">
        <f t="shared" si="508"/>
        <v>0</v>
      </c>
      <c r="AU551" s="561">
        <f t="shared" si="508"/>
        <v>0</v>
      </c>
      <c r="AV551" s="561">
        <f t="shared" si="508"/>
        <v>0</v>
      </c>
      <c r="AW551" s="561">
        <f t="shared" si="508"/>
        <v>0</v>
      </c>
      <c r="AX551" s="561">
        <f t="shared" si="508"/>
        <v>0</v>
      </c>
      <c r="AY551" s="561">
        <f t="shared" si="508"/>
        <v>0</v>
      </c>
      <c r="AZ551" s="561">
        <f t="shared" si="508"/>
        <v>0</v>
      </c>
      <c r="BA551" s="561">
        <f t="shared" si="508"/>
        <v>0</v>
      </c>
      <c r="BB551" s="561">
        <f t="shared" si="508"/>
        <v>0</v>
      </c>
      <c r="BC551" s="561">
        <f t="shared" si="508"/>
        <v>0</v>
      </c>
      <c r="BD551" s="561">
        <f t="shared" si="508"/>
        <v>0</v>
      </c>
      <c r="BE551" s="561">
        <f t="shared" si="508"/>
        <v>0</v>
      </c>
      <c r="BF551" s="561">
        <f t="shared" si="508"/>
        <v>0</v>
      </c>
      <c r="BG551" s="561">
        <f t="shared" si="508"/>
        <v>0</v>
      </c>
      <c r="BH551" s="561">
        <f t="shared" si="508"/>
        <v>0</v>
      </c>
      <c r="BI551" s="561">
        <f t="shared" si="508"/>
        <v>0</v>
      </c>
      <c r="BJ551" s="561">
        <f t="shared" si="508"/>
        <v>0</v>
      </c>
      <c r="BK551" s="561">
        <f t="shared" si="508"/>
        <v>72000000</v>
      </c>
      <c r="BL551" s="561">
        <f t="shared" si="508"/>
        <v>68400000</v>
      </c>
      <c r="BM551" s="561">
        <f t="shared" si="508"/>
        <v>7600000</v>
      </c>
      <c r="BN551" s="561">
        <f t="shared" si="508"/>
        <v>0</v>
      </c>
      <c r="BO551" s="561">
        <f t="shared" si="508"/>
        <v>0</v>
      </c>
      <c r="BP551" s="561">
        <f t="shared" si="508"/>
        <v>0</v>
      </c>
      <c r="BQ551" s="561">
        <f t="shared" si="508"/>
        <v>0</v>
      </c>
      <c r="BR551" s="561">
        <f t="shared" si="508"/>
        <v>0</v>
      </c>
      <c r="BS551" s="561">
        <f t="shared" si="508"/>
        <v>0</v>
      </c>
      <c r="BT551" s="561">
        <f t="shared" si="508"/>
        <v>0</v>
      </c>
      <c r="BU551" s="561">
        <f t="shared" si="508"/>
        <v>0</v>
      </c>
      <c r="BV551" s="561">
        <f t="shared" si="508"/>
        <v>0</v>
      </c>
      <c r="BW551" s="561">
        <f t="shared" si="508"/>
        <v>0</v>
      </c>
      <c r="BX551" s="561">
        <f t="shared" si="508"/>
        <v>0</v>
      </c>
      <c r="BY551" s="561">
        <f t="shared" si="508"/>
        <v>0</v>
      </c>
      <c r="BZ551" s="561">
        <f t="shared" si="504"/>
        <v>72000000</v>
      </c>
      <c r="CA551" s="561">
        <f t="shared" ref="CA551:CB551" si="509">CA550</f>
        <v>68400000</v>
      </c>
      <c r="CB551" s="561">
        <f t="shared" si="509"/>
        <v>7600000</v>
      </c>
    </row>
    <row r="552" spans="1:80" s="11" customFormat="1" x14ac:dyDescent="0.2">
      <c r="A552" s="90"/>
      <c r="B552" s="91"/>
      <c r="C552" s="92"/>
      <c r="D552" s="91"/>
      <c r="E552" s="92"/>
      <c r="F552" s="92"/>
      <c r="G552" s="91"/>
      <c r="H552" s="92"/>
      <c r="I552" s="91"/>
      <c r="J552" s="93"/>
      <c r="K552" s="247"/>
      <c r="L552" s="247"/>
      <c r="M552" s="247"/>
      <c r="N552" s="93"/>
      <c r="O552" s="500"/>
      <c r="P552" s="91"/>
      <c r="Q552" s="92"/>
      <c r="R552" s="543"/>
      <c r="S552" s="543"/>
      <c r="T552" s="543"/>
      <c r="U552" s="544"/>
      <c r="V552" s="544"/>
      <c r="W552" s="544"/>
      <c r="X552" s="543"/>
      <c r="Y552" s="543"/>
      <c r="Z552" s="543"/>
      <c r="AA552" s="543"/>
      <c r="AB552" s="543"/>
      <c r="AC552" s="543"/>
      <c r="AD552" s="543"/>
      <c r="AE552" s="543"/>
      <c r="AF552" s="543"/>
      <c r="AG552" s="543"/>
      <c r="AH552" s="543"/>
      <c r="AI552" s="543"/>
      <c r="AJ552" s="543"/>
      <c r="AK552" s="543"/>
      <c r="AL552" s="543"/>
      <c r="AM552" s="543"/>
      <c r="AN552" s="543"/>
      <c r="AO552" s="543"/>
      <c r="AP552" s="543"/>
      <c r="AQ552" s="543"/>
      <c r="AR552" s="543"/>
      <c r="AS552" s="543"/>
      <c r="AT552" s="543"/>
      <c r="AU552" s="543"/>
      <c r="AV552" s="543"/>
      <c r="AW552" s="543"/>
      <c r="AX552" s="543"/>
      <c r="AY552" s="544"/>
      <c r="AZ552" s="544"/>
      <c r="BA552" s="544"/>
      <c r="BB552" s="544"/>
      <c r="BC552" s="544"/>
      <c r="BD552" s="544"/>
      <c r="BE552" s="543"/>
      <c r="BF552" s="543"/>
      <c r="BG552" s="543"/>
      <c r="BH552" s="543"/>
      <c r="BI552" s="543"/>
      <c r="BJ552" s="543"/>
      <c r="BK552" s="545"/>
      <c r="BL552" s="545"/>
      <c r="BM552" s="545"/>
      <c r="BN552" s="546"/>
      <c r="BO552" s="546"/>
      <c r="BP552" s="546"/>
      <c r="BQ552" s="543"/>
      <c r="BR552" s="543"/>
      <c r="BS552" s="543"/>
      <c r="BT552" s="543"/>
      <c r="BU552" s="543"/>
      <c r="BV552" s="543"/>
      <c r="BW552" s="543"/>
      <c r="BX552" s="543"/>
      <c r="BY552" s="543"/>
      <c r="BZ552" s="547" t="s">
        <v>62</v>
      </c>
      <c r="CA552" s="547" t="s">
        <v>62</v>
      </c>
      <c r="CB552" s="547" t="s">
        <v>62</v>
      </c>
    </row>
    <row r="553" spans="1:80" s="459" customFormat="1" ht="15.75" x14ac:dyDescent="0.2">
      <c r="A553" s="41" t="s">
        <v>657</v>
      </c>
      <c r="B553" s="42"/>
      <c r="C553" s="43"/>
      <c r="D553" s="42"/>
      <c r="E553" s="42"/>
      <c r="F553" s="42"/>
      <c r="G553" s="42"/>
      <c r="H553" s="43"/>
      <c r="I553" s="42"/>
      <c r="J553" s="42"/>
      <c r="K553" s="272"/>
      <c r="L553" s="272"/>
      <c r="M553" s="272"/>
      <c r="N553" s="42"/>
      <c r="O553" s="43"/>
      <c r="P553" s="42"/>
      <c r="Q553" s="43"/>
      <c r="R553" s="617"/>
      <c r="S553" s="617"/>
      <c r="T553" s="617"/>
      <c r="U553" s="617"/>
      <c r="V553" s="617"/>
      <c r="W553" s="617"/>
      <c r="X553" s="617"/>
      <c r="Y553" s="617"/>
      <c r="Z553" s="617"/>
      <c r="AA553" s="617"/>
      <c r="AB553" s="617"/>
      <c r="AC553" s="617"/>
      <c r="AD553" s="617"/>
      <c r="AE553" s="617"/>
      <c r="AF553" s="617"/>
      <c r="AG553" s="617"/>
      <c r="AH553" s="617"/>
      <c r="AI553" s="617"/>
      <c r="AJ553" s="617"/>
      <c r="AK553" s="617"/>
      <c r="AL553" s="617"/>
      <c r="AM553" s="617"/>
      <c r="AN553" s="617"/>
      <c r="AO553" s="617"/>
      <c r="AP553" s="617"/>
      <c r="AQ553" s="617"/>
      <c r="AR553" s="617"/>
      <c r="AS553" s="617"/>
      <c r="AT553" s="617"/>
      <c r="AU553" s="617"/>
      <c r="AV553" s="617"/>
      <c r="AW553" s="617"/>
      <c r="AX553" s="617"/>
      <c r="AY553" s="617"/>
      <c r="AZ553" s="617"/>
      <c r="BA553" s="617"/>
      <c r="BB553" s="617"/>
      <c r="BC553" s="617"/>
      <c r="BD553" s="617"/>
      <c r="BE553" s="617"/>
      <c r="BF553" s="617"/>
      <c r="BG553" s="617"/>
      <c r="BH553" s="617"/>
      <c r="BI553" s="617"/>
      <c r="BJ553" s="617"/>
      <c r="BK553" s="618"/>
      <c r="BL553" s="618"/>
      <c r="BM553" s="618"/>
      <c r="BN553" s="619"/>
      <c r="BO553" s="619"/>
      <c r="BP553" s="619"/>
      <c r="BQ553" s="617"/>
      <c r="BR553" s="617"/>
      <c r="BS553" s="617"/>
      <c r="BT553" s="617"/>
      <c r="BU553" s="617"/>
      <c r="BV553" s="617"/>
      <c r="BW553" s="617"/>
      <c r="BX553" s="617"/>
      <c r="BY553" s="617"/>
      <c r="BZ553" s="620" t="s">
        <v>62</v>
      </c>
      <c r="CA553" s="620" t="s">
        <v>62</v>
      </c>
      <c r="CB553" s="620" t="s">
        <v>62</v>
      </c>
    </row>
    <row r="554" spans="1:80" s="11" customFormat="1" ht="15.75" x14ac:dyDescent="0.2">
      <c r="A554" s="44">
        <v>3</v>
      </c>
      <c r="B554" s="45" t="s">
        <v>427</v>
      </c>
      <c r="C554" s="46"/>
      <c r="D554" s="45"/>
      <c r="E554" s="45"/>
      <c r="F554" s="45"/>
      <c r="G554" s="45"/>
      <c r="H554" s="46"/>
      <c r="I554" s="45"/>
      <c r="J554" s="45"/>
      <c r="K554" s="273"/>
      <c r="L554" s="273"/>
      <c r="M554" s="273"/>
      <c r="N554" s="45"/>
      <c r="O554" s="46"/>
      <c r="P554" s="45"/>
      <c r="Q554" s="45"/>
      <c r="R554" s="572"/>
      <c r="S554" s="572"/>
      <c r="T554" s="572"/>
      <c r="U554" s="572"/>
      <c r="V554" s="572"/>
      <c r="W554" s="572"/>
      <c r="X554" s="572"/>
      <c r="Y554" s="572"/>
      <c r="Z554" s="572"/>
      <c r="AA554" s="572"/>
      <c r="AB554" s="572"/>
      <c r="AC554" s="572"/>
      <c r="AD554" s="572"/>
      <c r="AE554" s="572"/>
      <c r="AF554" s="572"/>
      <c r="AG554" s="572"/>
      <c r="AH554" s="572"/>
      <c r="AI554" s="572"/>
      <c r="AJ554" s="572"/>
      <c r="AK554" s="572"/>
      <c r="AL554" s="572"/>
      <c r="AM554" s="572"/>
      <c r="AN554" s="572"/>
      <c r="AO554" s="572"/>
      <c r="AP554" s="572"/>
      <c r="AQ554" s="572"/>
      <c r="AR554" s="572"/>
      <c r="AS554" s="572"/>
      <c r="AT554" s="572"/>
      <c r="AU554" s="572"/>
      <c r="AV554" s="572"/>
      <c r="AW554" s="572"/>
      <c r="AX554" s="572"/>
      <c r="AY554" s="572"/>
      <c r="AZ554" s="572"/>
      <c r="BA554" s="572"/>
      <c r="BB554" s="572"/>
      <c r="BC554" s="572"/>
      <c r="BD554" s="572"/>
      <c r="BE554" s="572"/>
      <c r="BF554" s="572"/>
      <c r="BG554" s="572"/>
      <c r="BH554" s="572"/>
      <c r="BI554" s="572"/>
      <c r="BJ554" s="572"/>
      <c r="BK554" s="573"/>
      <c r="BL554" s="573"/>
      <c r="BM554" s="573"/>
      <c r="BN554" s="572"/>
      <c r="BO554" s="572"/>
      <c r="BP554" s="572"/>
      <c r="BQ554" s="572"/>
      <c r="BR554" s="572"/>
      <c r="BS554" s="572"/>
      <c r="BT554" s="572"/>
      <c r="BU554" s="572"/>
      <c r="BV554" s="572"/>
      <c r="BW554" s="572"/>
      <c r="BX554" s="572"/>
      <c r="BY554" s="572"/>
      <c r="BZ554" s="574"/>
      <c r="CA554" s="574"/>
      <c r="CB554" s="574"/>
    </row>
    <row r="555" spans="1:80" s="11" customFormat="1" ht="15.75" x14ac:dyDescent="0.2">
      <c r="A555" s="96"/>
      <c r="B555" s="152">
        <v>11</v>
      </c>
      <c r="C555" s="49" t="s">
        <v>428</v>
      </c>
      <c r="D555" s="50"/>
      <c r="E555" s="50"/>
      <c r="F555" s="50"/>
      <c r="G555" s="50"/>
      <c r="H555" s="51"/>
      <c r="I555" s="50"/>
      <c r="J555" s="50"/>
      <c r="K555" s="252"/>
      <c r="L555" s="252"/>
      <c r="M555" s="252"/>
      <c r="N555" s="50"/>
      <c r="O555" s="51"/>
      <c r="P555" s="50"/>
      <c r="Q555" s="50"/>
      <c r="R555" s="550"/>
      <c r="S555" s="550"/>
      <c r="T555" s="550"/>
      <c r="U555" s="550"/>
      <c r="V555" s="550"/>
      <c r="W555" s="550"/>
      <c r="X555" s="550"/>
      <c r="Y555" s="550"/>
      <c r="Z555" s="550"/>
      <c r="AA555" s="550"/>
      <c r="AB555" s="550"/>
      <c r="AC555" s="550"/>
      <c r="AD555" s="550"/>
      <c r="AE555" s="550"/>
      <c r="AF555" s="550"/>
      <c r="AG555" s="550"/>
      <c r="AH555" s="550"/>
      <c r="AI555" s="550"/>
      <c r="AJ555" s="550"/>
      <c r="AK555" s="550"/>
      <c r="AL555" s="550"/>
      <c r="AM555" s="550"/>
      <c r="AN555" s="550"/>
      <c r="AO555" s="550"/>
      <c r="AP555" s="550"/>
      <c r="AQ555" s="550"/>
      <c r="AR555" s="550"/>
      <c r="AS555" s="550"/>
      <c r="AT555" s="550"/>
      <c r="AU555" s="550"/>
      <c r="AV555" s="550"/>
      <c r="AW555" s="550"/>
      <c r="AX555" s="550"/>
      <c r="AY555" s="550"/>
      <c r="AZ555" s="550"/>
      <c r="BA555" s="550"/>
      <c r="BB555" s="550"/>
      <c r="BC555" s="550"/>
      <c r="BD555" s="550"/>
      <c r="BE555" s="550"/>
      <c r="BF555" s="550"/>
      <c r="BG555" s="550"/>
      <c r="BH555" s="550"/>
      <c r="BI555" s="550"/>
      <c r="BJ555" s="550"/>
      <c r="BK555" s="551"/>
      <c r="BL555" s="551"/>
      <c r="BM555" s="551"/>
      <c r="BN555" s="550"/>
      <c r="BO555" s="550"/>
      <c r="BP555" s="550"/>
      <c r="BQ555" s="550"/>
      <c r="BR555" s="550"/>
      <c r="BS555" s="550"/>
      <c r="BT555" s="550"/>
      <c r="BU555" s="550"/>
      <c r="BV555" s="550"/>
      <c r="BW555" s="550"/>
      <c r="BX555" s="550"/>
      <c r="BY555" s="550"/>
      <c r="BZ555" s="555"/>
      <c r="CA555" s="555"/>
      <c r="CB555" s="555"/>
    </row>
    <row r="556" spans="1:80" s="11" customFormat="1" ht="15.75" x14ac:dyDescent="0.2">
      <c r="A556" s="54"/>
      <c r="B556" s="96"/>
      <c r="C556" s="508"/>
      <c r="D556" s="516"/>
      <c r="E556" s="508"/>
      <c r="F556" s="508"/>
      <c r="G556" s="274">
        <v>35</v>
      </c>
      <c r="H556" s="99" t="s">
        <v>658</v>
      </c>
      <c r="I556" s="99"/>
      <c r="J556" s="99"/>
      <c r="K556" s="398"/>
      <c r="L556" s="398"/>
      <c r="M556" s="398"/>
      <c r="N556" s="99"/>
      <c r="O556" s="212"/>
      <c r="P556" s="99"/>
      <c r="Q556" s="99"/>
      <c r="R556" s="336"/>
      <c r="S556" s="336"/>
      <c r="T556" s="336"/>
      <c r="U556" s="336"/>
      <c r="V556" s="336"/>
      <c r="W556" s="336"/>
      <c r="X556" s="336"/>
      <c r="Y556" s="336"/>
      <c r="Z556" s="336"/>
      <c r="AA556" s="336"/>
      <c r="AB556" s="336"/>
      <c r="AC556" s="336"/>
      <c r="AD556" s="336"/>
      <c r="AE556" s="336"/>
      <c r="AF556" s="336"/>
      <c r="AG556" s="336"/>
      <c r="AH556" s="336"/>
      <c r="AI556" s="336"/>
      <c r="AJ556" s="336"/>
      <c r="AK556" s="336"/>
      <c r="AL556" s="336"/>
      <c r="AM556" s="336"/>
      <c r="AN556" s="336"/>
      <c r="AO556" s="336"/>
      <c r="AP556" s="336"/>
      <c r="AQ556" s="336"/>
      <c r="AR556" s="336"/>
      <c r="AS556" s="336"/>
      <c r="AT556" s="336"/>
      <c r="AU556" s="336"/>
      <c r="AV556" s="336"/>
      <c r="AW556" s="336"/>
      <c r="AX556" s="336"/>
      <c r="AY556" s="336"/>
      <c r="AZ556" s="336"/>
      <c r="BA556" s="336"/>
      <c r="BB556" s="336"/>
      <c r="BC556" s="336"/>
      <c r="BD556" s="336"/>
      <c r="BE556" s="336"/>
      <c r="BF556" s="336"/>
      <c r="BG556" s="336"/>
      <c r="BH556" s="336"/>
      <c r="BI556" s="336"/>
      <c r="BJ556" s="336"/>
      <c r="BK556" s="552"/>
      <c r="BL556" s="552"/>
      <c r="BM556" s="552"/>
      <c r="BN556" s="336"/>
      <c r="BO556" s="336"/>
      <c r="BP556" s="336"/>
      <c r="BQ556" s="336"/>
      <c r="BR556" s="336"/>
      <c r="BS556" s="336"/>
      <c r="BT556" s="336"/>
      <c r="BU556" s="336"/>
      <c r="BV556" s="336"/>
      <c r="BW556" s="336"/>
      <c r="BX556" s="336"/>
      <c r="BY556" s="336"/>
      <c r="BZ556" s="338"/>
      <c r="CA556" s="338"/>
      <c r="CB556" s="338"/>
    </row>
    <row r="557" spans="1:80" s="11" customFormat="1" ht="130.5" customHeight="1" x14ac:dyDescent="0.2">
      <c r="A557" s="54"/>
      <c r="B557" s="256"/>
      <c r="C557" s="466"/>
      <c r="D557" s="467"/>
      <c r="E557" s="467"/>
      <c r="F557" s="467"/>
      <c r="G557" s="200"/>
      <c r="H557" s="55">
        <v>127</v>
      </c>
      <c r="I557" s="56" t="s">
        <v>659</v>
      </c>
      <c r="J557" s="57" t="s">
        <v>42</v>
      </c>
      <c r="K557" s="207">
        <v>1</v>
      </c>
      <c r="L557" s="275">
        <v>0.25</v>
      </c>
      <c r="M557" s="850">
        <v>2017003630103</v>
      </c>
      <c r="N557" s="856" t="s">
        <v>660</v>
      </c>
      <c r="O557" s="856" t="s">
        <v>661</v>
      </c>
      <c r="P557" s="853" t="s">
        <v>662</v>
      </c>
      <c r="Q557" s="57" t="s">
        <v>51</v>
      </c>
      <c r="R557" s="539">
        <v>0</v>
      </c>
      <c r="S557" s="539"/>
      <c r="T557" s="539"/>
      <c r="U557" s="539">
        <v>0</v>
      </c>
      <c r="V557" s="539"/>
      <c r="W557" s="539"/>
      <c r="X557" s="539">
        <v>0</v>
      </c>
      <c r="Y557" s="539"/>
      <c r="Z557" s="539"/>
      <c r="AA557" s="539">
        <v>0</v>
      </c>
      <c r="AB557" s="539"/>
      <c r="AC557" s="539"/>
      <c r="AD557" s="539">
        <v>0</v>
      </c>
      <c r="AE557" s="539"/>
      <c r="AF557" s="539"/>
      <c r="AG557" s="539">
        <v>0</v>
      </c>
      <c r="AH557" s="539"/>
      <c r="AI557" s="539"/>
      <c r="AJ557" s="539">
        <v>0</v>
      </c>
      <c r="AK557" s="539"/>
      <c r="AL557" s="539"/>
      <c r="AM557" s="540">
        <f>65000000+27282000</f>
        <v>92282000</v>
      </c>
      <c r="AN557" s="540">
        <v>46400000</v>
      </c>
      <c r="AO557" s="540">
        <v>18560000</v>
      </c>
      <c r="AP557" s="540"/>
      <c r="AQ557" s="540"/>
      <c r="AR557" s="540"/>
      <c r="AS557" s="539"/>
      <c r="AT557" s="539"/>
      <c r="AU557" s="539"/>
      <c r="AV557" s="539">
        <v>0</v>
      </c>
      <c r="AW557" s="539"/>
      <c r="AX557" s="539"/>
      <c r="AY557" s="539"/>
      <c r="AZ557" s="539"/>
      <c r="BA557" s="539"/>
      <c r="BB557" s="539"/>
      <c r="BC557" s="539"/>
      <c r="BD557" s="539"/>
      <c r="BE557" s="539">
        <v>0</v>
      </c>
      <c r="BF557" s="539"/>
      <c r="BG557" s="539"/>
      <c r="BH557" s="539">
        <v>0</v>
      </c>
      <c r="BI557" s="539"/>
      <c r="BJ557" s="539"/>
      <c r="BK557" s="540">
        <v>0</v>
      </c>
      <c r="BL557" s="540"/>
      <c r="BM557" s="540"/>
      <c r="BN557" s="553"/>
      <c r="BO557" s="553"/>
      <c r="BP557" s="553"/>
      <c r="BQ557" s="539">
        <v>0</v>
      </c>
      <c r="BR557" s="541"/>
      <c r="BS557" s="541"/>
      <c r="BT557" s="541"/>
      <c r="BU557" s="541"/>
      <c r="BV557" s="541"/>
      <c r="BW557" s="541"/>
      <c r="BX557" s="541"/>
      <c r="BY557" s="541"/>
      <c r="BZ557" s="539">
        <f t="shared" ref="BZ557:BZ559" si="510">R557+U557+X557+AA557+AD557+AG557+AJ557+AM557+AP557+AS557+AV557+AY557+BB557+BE557+BH557+BK557+BN557+BQ557+BT557+BW557</f>
        <v>92282000</v>
      </c>
      <c r="CA557" s="539">
        <f t="shared" ref="CA557:CA559" si="511">S557+V557+Y557+AB557+AE557+AH557+AK557+AN557+AQ557+AT557+AW557+AZ557+BC557+BF557+BI557+BL557+BO557+BR557+BU557+BX557</f>
        <v>46400000</v>
      </c>
      <c r="CB557" s="539">
        <f t="shared" ref="CB557:CB559" si="512">T557+W557+Z557+AC557+AF557+AI557+AL557+AO557+AR557+AU557+AX557+BA557+BD557+BG557+BJ557+BM557+BP557+BS557+BV557+BY557</f>
        <v>18560000</v>
      </c>
    </row>
    <row r="558" spans="1:80" s="11" customFormat="1" ht="49.5" customHeight="1" x14ac:dyDescent="0.2">
      <c r="A558" s="54"/>
      <c r="B558" s="256"/>
      <c r="C558" s="509">
        <v>24</v>
      </c>
      <c r="D558" s="517" t="s">
        <v>663</v>
      </c>
      <c r="E558" s="509" t="s">
        <v>664</v>
      </c>
      <c r="F558" s="509" t="s">
        <v>664</v>
      </c>
      <c r="G558" s="68"/>
      <c r="H558" s="55">
        <v>128</v>
      </c>
      <c r="I558" s="56" t="s">
        <v>665</v>
      </c>
      <c r="J558" s="57">
        <v>1</v>
      </c>
      <c r="K558" s="207">
        <v>1</v>
      </c>
      <c r="L558" s="275">
        <v>0.25</v>
      </c>
      <c r="M558" s="851"/>
      <c r="N558" s="857"/>
      <c r="O558" s="857"/>
      <c r="P558" s="854"/>
      <c r="Q558" s="57" t="s">
        <v>51</v>
      </c>
      <c r="R558" s="539">
        <v>0</v>
      </c>
      <c r="S558" s="539"/>
      <c r="T558" s="539"/>
      <c r="U558" s="539">
        <v>0</v>
      </c>
      <c r="V558" s="539"/>
      <c r="W558" s="539"/>
      <c r="X558" s="539">
        <v>0</v>
      </c>
      <c r="Y558" s="539"/>
      <c r="Z558" s="539"/>
      <c r="AA558" s="539">
        <v>0</v>
      </c>
      <c r="AB558" s="539"/>
      <c r="AC558" s="539"/>
      <c r="AD558" s="539">
        <v>0</v>
      </c>
      <c r="AE558" s="539"/>
      <c r="AF558" s="539"/>
      <c r="AG558" s="539">
        <v>0</v>
      </c>
      <c r="AH558" s="539"/>
      <c r="AI558" s="539"/>
      <c r="AJ558" s="539">
        <v>0</v>
      </c>
      <c r="AK558" s="539"/>
      <c r="AL558" s="539"/>
      <c r="AM558" s="540">
        <v>26000000</v>
      </c>
      <c r="AN558" s="540">
        <v>25980000</v>
      </c>
      <c r="AO558" s="540">
        <v>8660000</v>
      </c>
      <c r="AP558" s="540"/>
      <c r="AQ558" s="540"/>
      <c r="AR558" s="540"/>
      <c r="AS558" s="539">
        <v>11000000</v>
      </c>
      <c r="AT558" s="539"/>
      <c r="AU558" s="539"/>
      <c r="AV558" s="539">
        <v>0</v>
      </c>
      <c r="AW558" s="539"/>
      <c r="AX558" s="539"/>
      <c r="AY558" s="539"/>
      <c r="AZ558" s="539"/>
      <c r="BA558" s="539"/>
      <c r="BB558" s="539"/>
      <c r="BC558" s="539"/>
      <c r="BD558" s="539"/>
      <c r="BE558" s="539">
        <v>0</v>
      </c>
      <c r="BF558" s="539"/>
      <c r="BG558" s="539"/>
      <c r="BH558" s="539">
        <v>0</v>
      </c>
      <c r="BI558" s="539"/>
      <c r="BJ558" s="539"/>
      <c r="BK558" s="540">
        <v>0</v>
      </c>
      <c r="BL558" s="540"/>
      <c r="BM558" s="540"/>
      <c r="BN558" s="553"/>
      <c r="BO558" s="553"/>
      <c r="BP558" s="553"/>
      <c r="BQ558" s="539">
        <v>0</v>
      </c>
      <c r="BR558" s="541"/>
      <c r="BS558" s="541"/>
      <c r="BT558" s="541"/>
      <c r="BU558" s="541"/>
      <c r="BV558" s="541"/>
      <c r="BW558" s="541"/>
      <c r="BX558" s="541"/>
      <c r="BY558" s="541"/>
      <c r="BZ558" s="539">
        <f t="shared" si="510"/>
        <v>37000000</v>
      </c>
      <c r="CA558" s="539">
        <f t="shared" si="511"/>
        <v>25980000</v>
      </c>
      <c r="CB558" s="539">
        <f t="shared" si="512"/>
        <v>8660000</v>
      </c>
    </row>
    <row r="559" spans="1:80" s="11" customFormat="1" ht="82.5" customHeight="1" x14ac:dyDescent="0.2">
      <c r="A559" s="54"/>
      <c r="B559" s="256"/>
      <c r="C559" s="509"/>
      <c r="D559" s="517"/>
      <c r="E559" s="509"/>
      <c r="F559" s="509"/>
      <c r="G559" s="72"/>
      <c r="H559" s="55">
        <v>129</v>
      </c>
      <c r="I559" s="56" t="s">
        <v>666</v>
      </c>
      <c r="J559" s="57" t="s">
        <v>42</v>
      </c>
      <c r="K559" s="207">
        <v>6</v>
      </c>
      <c r="L559" s="207">
        <v>5</v>
      </c>
      <c r="M559" s="852"/>
      <c r="N559" s="858"/>
      <c r="O559" s="858"/>
      <c r="P559" s="855"/>
      <c r="Q559" s="57" t="s">
        <v>51</v>
      </c>
      <c r="R559" s="539">
        <v>0</v>
      </c>
      <c r="S559" s="539"/>
      <c r="T559" s="539"/>
      <c r="U559" s="539">
        <v>0</v>
      </c>
      <c r="V559" s="539"/>
      <c r="W559" s="539"/>
      <c r="X559" s="539">
        <v>0</v>
      </c>
      <c r="Y559" s="539"/>
      <c r="Z559" s="539"/>
      <c r="AA559" s="539">
        <v>0</v>
      </c>
      <c r="AB559" s="539"/>
      <c r="AC559" s="539"/>
      <c r="AD559" s="539">
        <v>0</v>
      </c>
      <c r="AE559" s="539"/>
      <c r="AF559" s="539"/>
      <c r="AG559" s="539">
        <v>0</v>
      </c>
      <c r="AH559" s="539"/>
      <c r="AI559" s="539"/>
      <c r="AJ559" s="539">
        <v>0</v>
      </c>
      <c r="AK559" s="539"/>
      <c r="AL559" s="539"/>
      <c r="AM559" s="540">
        <v>39000000</v>
      </c>
      <c r="AN559" s="540">
        <v>31680000</v>
      </c>
      <c r="AO559" s="540">
        <v>10560000</v>
      </c>
      <c r="AP559" s="540"/>
      <c r="AQ559" s="540"/>
      <c r="AR559" s="540"/>
      <c r="AS559" s="539">
        <v>14000000</v>
      </c>
      <c r="AT559" s="539"/>
      <c r="AU559" s="539"/>
      <c r="AV559" s="539">
        <v>0</v>
      </c>
      <c r="AW559" s="539"/>
      <c r="AX559" s="539"/>
      <c r="AY559" s="539"/>
      <c r="AZ559" s="539"/>
      <c r="BA559" s="539"/>
      <c r="BB559" s="539"/>
      <c r="BC559" s="539"/>
      <c r="BD559" s="539"/>
      <c r="BE559" s="539">
        <v>0</v>
      </c>
      <c r="BF559" s="539"/>
      <c r="BG559" s="539"/>
      <c r="BH559" s="539">
        <v>0</v>
      </c>
      <c r="BI559" s="539"/>
      <c r="BJ559" s="539"/>
      <c r="BK559" s="540">
        <v>0</v>
      </c>
      <c r="BL559" s="540"/>
      <c r="BM559" s="540"/>
      <c r="BN559" s="553"/>
      <c r="BO559" s="553"/>
      <c r="BP559" s="553"/>
      <c r="BQ559" s="539">
        <v>0</v>
      </c>
      <c r="BR559" s="541"/>
      <c r="BS559" s="541"/>
      <c r="BT559" s="541"/>
      <c r="BU559" s="541"/>
      <c r="BV559" s="541"/>
      <c r="BW559" s="541"/>
      <c r="BX559" s="541"/>
      <c r="BY559" s="541"/>
      <c r="BZ559" s="539">
        <f t="shared" si="510"/>
        <v>53000000</v>
      </c>
      <c r="CA559" s="539">
        <f t="shared" si="511"/>
        <v>31680000</v>
      </c>
      <c r="CB559" s="539">
        <f t="shared" si="512"/>
        <v>10560000</v>
      </c>
    </row>
    <row r="560" spans="1:80" s="459" customFormat="1" ht="15.75" x14ac:dyDescent="0.2">
      <c r="A560" s="54"/>
      <c r="B560" s="74"/>
      <c r="C560" s="510"/>
      <c r="D560" s="209"/>
      <c r="E560" s="259"/>
      <c r="F560" s="259"/>
      <c r="G560" s="77"/>
      <c r="H560" s="78"/>
      <c r="I560" s="77"/>
      <c r="J560" s="78"/>
      <c r="K560" s="240"/>
      <c r="L560" s="240"/>
      <c r="M560" s="240"/>
      <c r="N560" s="78"/>
      <c r="O560" s="78"/>
      <c r="P560" s="77"/>
      <c r="Q560" s="78"/>
      <c r="R560" s="548">
        <f t="shared" ref="R560:BY560" si="513">SUM(R557:R559)</f>
        <v>0</v>
      </c>
      <c r="S560" s="548">
        <f t="shared" si="513"/>
        <v>0</v>
      </c>
      <c r="T560" s="548">
        <f t="shared" si="513"/>
        <v>0</v>
      </c>
      <c r="U560" s="548">
        <f t="shared" si="513"/>
        <v>0</v>
      </c>
      <c r="V560" s="548">
        <f t="shared" si="513"/>
        <v>0</v>
      </c>
      <c r="W560" s="548">
        <f t="shared" si="513"/>
        <v>0</v>
      </c>
      <c r="X560" s="548">
        <f t="shared" si="513"/>
        <v>0</v>
      </c>
      <c r="Y560" s="548">
        <f t="shared" si="513"/>
        <v>0</v>
      </c>
      <c r="Z560" s="548">
        <f t="shared" si="513"/>
        <v>0</v>
      </c>
      <c r="AA560" s="548">
        <f t="shared" si="513"/>
        <v>0</v>
      </c>
      <c r="AB560" s="548">
        <f t="shared" si="513"/>
        <v>0</v>
      </c>
      <c r="AC560" s="548">
        <f t="shared" si="513"/>
        <v>0</v>
      </c>
      <c r="AD560" s="548">
        <f t="shared" si="513"/>
        <v>0</v>
      </c>
      <c r="AE560" s="548">
        <f t="shared" si="513"/>
        <v>0</v>
      </c>
      <c r="AF560" s="548">
        <f t="shared" si="513"/>
        <v>0</v>
      </c>
      <c r="AG560" s="548">
        <f t="shared" si="513"/>
        <v>0</v>
      </c>
      <c r="AH560" s="548">
        <f t="shared" si="513"/>
        <v>0</v>
      </c>
      <c r="AI560" s="548">
        <f t="shared" si="513"/>
        <v>0</v>
      </c>
      <c r="AJ560" s="548">
        <f t="shared" si="513"/>
        <v>0</v>
      </c>
      <c r="AK560" s="548">
        <f t="shared" si="513"/>
        <v>0</v>
      </c>
      <c r="AL560" s="548">
        <f t="shared" si="513"/>
        <v>0</v>
      </c>
      <c r="AM560" s="548">
        <f t="shared" si="513"/>
        <v>157282000</v>
      </c>
      <c r="AN560" s="548">
        <f t="shared" si="513"/>
        <v>104060000</v>
      </c>
      <c r="AO560" s="548">
        <f t="shared" si="513"/>
        <v>37780000</v>
      </c>
      <c r="AP560" s="548">
        <f t="shared" si="513"/>
        <v>0</v>
      </c>
      <c r="AQ560" s="548">
        <f t="shared" si="513"/>
        <v>0</v>
      </c>
      <c r="AR560" s="548">
        <f t="shared" si="513"/>
        <v>0</v>
      </c>
      <c r="AS560" s="548">
        <f t="shared" si="513"/>
        <v>25000000</v>
      </c>
      <c r="AT560" s="548">
        <f t="shared" si="513"/>
        <v>0</v>
      </c>
      <c r="AU560" s="548">
        <f t="shared" si="513"/>
        <v>0</v>
      </c>
      <c r="AV560" s="548">
        <f t="shared" si="513"/>
        <v>0</v>
      </c>
      <c r="AW560" s="548">
        <f t="shared" si="513"/>
        <v>0</v>
      </c>
      <c r="AX560" s="548">
        <f t="shared" si="513"/>
        <v>0</v>
      </c>
      <c r="AY560" s="548">
        <f t="shared" si="513"/>
        <v>0</v>
      </c>
      <c r="AZ560" s="548">
        <f t="shared" si="513"/>
        <v>0</v>
      </c>
      <c r="BA560" s="548">
        <f t="shared" si="513"/>
        <v>0</v>
      </c>
      <c r="BB560" s="548">
        <f t="shared" si="513"/>
        <v>0</v>
      </c>
      <c r="BC560" s="548">
        <f t="shared" si="513"/>
        <v>0</v>
      </c>
      <c r="BD560" s="548">
        <f t="shared" si="513"/>
        <v>0</v>
      </c>
      <c r="BE560" s="548">
        <f t="shared" si="513"/>
        <v>0</v>
      </c>
      <c r="BF560" s="548">
        <f t="shared" si="513"/>
        <v>0</v>
      </c>
      <c r="BG560" s="548">
        <f t="shared" si="513"/>
        <v>0</v>
      </c>
      <c r="BH560" s="548">
        <f t="shared" si="513"/>
        <v>0</v>
      </c>
      <c r="BI560" s="548">
        <f t="shared" si="513"/>
        <v>0</v>
      </c>
      <c r="BJ560" s="548">
        <f t="shared" si="513"/>
        <v>0</v>
      </c>
      <c r="BK560" s="548">
        <f t="shared" si="513"/>
        <v>0</v>
      </c>
      <c r="BL560" s="548">
        <f t="shared" si="513"/>
        <v>0</v>
      </c>
      <c r="BM560" s="548">
        <f t="shared" si="513"/>
        <v>0</v>
      </c>
      <c r="BN560" s="548">
        <f t="shared" si="513"/>
        <v>0</v>
      </c>
      <c r="BO560" s="548">
        <f t="shared" si="513"/>
        <v>0</v>
      </c>
      <c r="BP560" s="548">
        <f t="shared" si="513"/>
        <v>0</v>
      </c>
      <c r="BQ560" s="548">
        <f t="shared" si="513"/>
        <v>0</v>
      </c>
      <c r="BR560" s="548">
        <f t="shared" si="513"/>
        <v>0</v>
      </c>
      <c r="BS560" s="548">
        <f t="shared" si="513"/>
        <v>0</v>
      </c>
      <c r="BT560" s="548">
        <f t="shared" si="513"/>
        <v>0</v>
      </c>
      <c r="BU560" s="548">
        <f t="shared" si="513"/>
        <v>0</v>
      </c>
      <c r="BV560" s="548">
        <f t="shared" si="513"/>
        <v>0</v>
      </c>
      <c r="BW560" s="548">
        <f t="shared" si="513"/>
        <v>0</v>
      </c>
      <c r="BX560" s="548">
        <f t="shared" si="513"/>
        <v>0</v>
      </c>
      <c r="BY560" s="548">
        <f t="shared" si="513"/>
        <v>0</v>
      </c>
      <c r="BZ560" s="548">
        <f t="shared" ref="BZ560" si="514">SUM(BZ557:BZ559)</f>
        <v>182282000</v>
      </c>
      <c r="CA560" s="548">
        <f t="shared" ref="CA560:CB560" si="515">SUM(CA557:CA559)</f>
        <v>104060000</v>
      </c>
      <c r="CB560" s="548">
        <f t="shared" si="515"/>
        <v>37780000</v>
      </c>
    </row>
    <row r="561" spans="1:80" s="459" customFormat="1" ht="15.75" x14ac:dyDescent="0.2">
      <c r="A561" s="54"/>
      <c r="B561" s="118"/>
      <c r="C561" s="82"/>
      <c r="D561" s="81"/>
      <c r="E561" s="82"/>
      <c r="F561" s="82"/>
      <c r="G561" s="81"/>
      <c r="H561" s="82"/>
      <c r="I561" s="81"/>
      <c r="J561" s="82"/>
      <c r="K561" s="261"/>
      <c r="L561" s="261"/>
      <c r="M561" s="261"/>
      <c r="N561" s="82"/>
      <c r="O561" s="82"/>
      <c r="P561" s="81"/>
      <c r="Q561" s="82"/>
      <c r="R561" s="554">
        <f t="shared" ref="R561:BY561" si="516">R560</f>
        <v>0</v>
      </c>
      <c r="S561" s="554">
        <f t="shared" si="516"/>
        <v>0</v>
      </c>
      <c r="T561" s="554">
        <f t="shared" si="516"/>
        <v>0</v>
      </c>
      <c r="U561" s="554">
        <f t="shared" si="516"/>
        <v>0</v>
      </c>
      <c r="V561" s="554">
        <f t="shared" si="516"/>
        <v>0</v>
      </c>
      <c r="W561" s="554">
        <f t="shared" si="516"/>
        <v>0</v>
      </c>
      <c r="X561" s="554">
        <f t="shared" si="516"/>
        <v>0</v>
      </c>
      <c r="Y561" s="554">
        <f t="shared" si="516"/>
        <v>0</v>
      </c>
      <c r="Z561" s="554">
        <f t="shared" si="516"/>
        <v>0</v>
      </c>
      <c r="AA561" s="554">
        <f t="shared" si="516"/>
        <v>0</v>
      </c>
      <c r="AB561" s="554">
        <f t="shared" si="516"/>
        <v>0</v>
      </c>
      <c r="AC561" s="554">
        <f t="shared" si="516"/>
        <v>0</v>
      </c>
      <c r="AD561" s="554">
        <f t="shared" si="516"/>
        <v>0</v>
      </c>
      <c r="AE561" s="554">
        <f t="shared" si="516"/>
        <v>0</v>
      </c>
      <c r="AF561" s="554">
        <f t="shared" si="516"/>
        <v>0</v>
      </c>
      <c r="AG561" s="554">
        <f t="shared" si="516"/>
        <v>0</v>
      </c>
      <c r="AH561" s="554">
        <f t="shared" si="516"/>
        <v>0</v>
      </c>
      <c r="AI561" s="554">
        <f t="shared" si="516"/>
        <v>0</v>
      </c>
      <c r="AJ561" s="554">
        <f t="shared" si="516"/>
        <v>0</v>
      </c>
      <c r="AK561" s="554">
        <f t="shared" si="516"/>
        <v>0</v>
      </c>
      <c r="AL561" s="554">
        <f t="shared" si="516"/>
        <v>0</v>
      </c>
      <c r="AM561" s="554">
        <f t="shared" si="516"/>
        <v>157282000</v>
      </c>
      <c r="AN561" s="554">
        <f t="shared" si="516"/>
        <v>104060000</v>
      </c>
      <c r="AO561" s="554">
        <f t="shared" si="516"/>
        <v>37780000</v>
      </c>
      <c r="AP561" s="554">
        <f t="shared" si="516"/>
        <v>0</v>
      </c>
      <c r="AQ561" s="554">
        <f t="shared" si="516"/>
        <v>0</v>
      </c>
      <c r="AR561" s="554">
        <f t="shared" si="516"/>
        <v>0</v>
      </c>
      <c r="AS561" s="554">
        <f t="shared" si="516"/>
        <v>25000000</v>
      </c>
      <c r="AT561" s="554">
        <f t="shared" si="516"/>
        <v>0</v>
      </c>
      <c r="AU561" s="554">
        <f t="shared" si="516"/>
        <v>0</v>
      </c>
      <c r="AV561" s="554">
        <f t="shared" si="516"/>
        <v>0</v>
      </c>
      <c r="AW561" s="554">
        <f t="shared" si="516"/>
        <v>0</v>
      </c>
      <c r="AX561" s="554">
        <f t="shared" si="516"/>
        <v>0</v>
      </c>
      <c r="AY561" s="554">
        <f t="shared" si="516"/>
        <v>0</v>
      </c>
      <c r="AZ561" s="554">
        <f t="shared" si="516"/>
        <v>0</v>
      </c>
      <c r="BA561" s="554">
        <f t="shared" si="516"/>
        <v>0</v>
      </c>
      <c r="BB561" s="554">
        <f t="shared" si="516"/>
        <v>0</v>
      </c>
      <c r="BC561" s="554">
        <f t="shared" si="516"/>
        <v>0</v>
      </c>
      <c r="BD561" s="554">
        <f t="shared" si="516"/>
        <v>0</v>
      </c>
      <c r="BE561" s="554">
        <f t="shared" si="516"/>
        <v>0</v>
      </c>
      <c r="BF561" s="554">
        <f t="shared" si="516"/>
        <v>0</v>
      </c>
      <c r="BG561" s="554">
        <f t="shared" si="516"/>
        <v>0</v>
      </c>
      <c r="BH561" s="554">
        <f t="shared" si="516"/>
        <v>0</v>
      </c>
      <c r="BI561" s="554">
        <f t="shared" si="516"/>
        <v>0</v>
      </c>
      <c r="BJ561" s="554">
        <f t="shared" si="516"/>
        <v>0</v>
      </c>
      <c r="BK561" s="554">
        <f t="shared" si="516"/>
        <v>0</v>
      </c>
      <c r="BL561" s="554">
        <f t="shared" si="516"/>
        <v>0</v>
      </c>
      <c r="BM561" s="554">
        <f t="shared" si="516"/>
        <v>0</v>
      </c>
      <c r="BN561" s="554">
        <f t="shared" si="516"/>
        <v>0</v>
      </c>
      <c r="BO561" s="554">
        <f t="shared" si="516"/>
        <v>0</v>
      </c>
      <c r="BP561" s="554">
        <f t="shared" si="516"/>
        <v>0</v>
      </c>
      <c r="BQ561" s="554">
        <f t="shared" si="516"/>
        <v>0</v>
      </c>
      <c r="BR561" s="554">
        <f t="shared" si="516"/>
        <v>0</v>
      </c>
      <c r="BS561" s="554">
        <f t="shared" si="516"/>
        <v>0</v>
      </c>
      <c r="BT561" s="554">
        <f t="shared" si="516"/>
        <v>0</v>
      </c>
      <c r="BU561" s="554">
        <f t="shared" si="516"/>
        <v>0</v>
      </c>
      <c r="BV561" s="554">
        <f t="shared" si="516"/>
        <v>0</v>
      </c>
      <c r="BW561" s="554">
        <f t="shared" si="516"/>
        <v>0</v>
      </c>
      <c r="BX561" s="554">
        <f t="shared" si="516"/>
        <v>0</v>
      </c>
      <c r="BY561" s="554">
        <f t="shared" si="516"/>
        <v>0</v>
      </c>
      <c r="BZ561" s="554">
        <f t="shared" ref="BZ561" si="517">BZ560</f>
        <v>182282000</v>
      </c>
      <c r="CA561" s="554">
        <f t="shared" ref="CA561:CB561" si="518">CA560</f>
        <v>104060000</v>
      </c>
      <c r="CB561" s="554">
        <f t="shared" si="518"/>
        <v>37780000</v>
      </c>
    </row>
    <row r="562" spans="1:80" s="11" customFormat="1" ht="15.75" x14ac:dyDescent="0.2">
      <c r="A562" s="54"/>
      <c r="B562" s="91"/>
      <c r="C562" s="92"/>
      <c r="D562" s="91"/>
      <c r="E562" s="92"/>
      <c r="F562" s="92"/>
      <c r="G562" s="91"/>
      <c r="H562" s="92"/>
      <c r="I562" s="91"/>
      <c r="J562" s="92"/>
      <c r="K562" s="245"/>
      <c r="L562" s="335"/>
      <c r="M562" s="335"/>
      <c r="N562" s="125"/>
      <c r="O562" s="499"/>
      <c r="P562" s="124"/>
      <c r="Q562" s="92"/>
      <c r="R562" s="543"/>
      <c r="S562" s="543"/>
      <c r="T562" s="543"/>
      <c r="U562" s="543"/>
      <c r="V562" s="543"/>
      <c r="W562" s="543"/>
      <c r="X562" s="543"/>
      <c r="Y562" s="543"/>
      <c r="Z562" s="543"/>
      <c r="AA562" s="543"/>
      <c r="AB562" s="543"/>
      <c r="AC562" s="543"/>
      <c r="AD562" s="543"/>
      <c r="AE562" s="543"/>
      <c r="AF562" s="543"/>
      <c r="AG562" s="543"/>
      <c r="AH562" s="543"/>
      <c r="AI562" s="543"/>
      <c r="AJ562" s="543"/>
      <c r="AK562" s="543"/>
      <c r="AL562" s="543"/>
      <c r="AM562" s="543"/>
      <c r="AN562" s="543"/>
      <c r="AO562" s="543"/>
      <c r="AP562" s="543"/>
      <c r="AQ562" s="543"/>
      <c r="AR562" s="543"/>
      <c r="AS562" s="543"/>
      <c r="AT562" s="543"/>
      <c r="AU562" s="543"/>
      <c r="AV562" s="543"/>
      <c r="AW562" s="543"/>
      <c r="AX562" s="543"/>
      <c r="AY562" s="543"/>
      <c r="AZ562" s="543"/>
      <c r="BA562" s="543"/>
      <c r="BB562" s="543"/>
      <c r="BC562" s="543"/>
      <c r="BD562" s="543"/>
      <c r="BE562" s="543"/>
      <c r="BF562" s="543"/>
      <c r="BG562" s="543"/>
      <c r="BH562" s="543"/>
      <c r="BI562" s="543"/>
      <c r="BJ562" s="543"/>
      <c r="BK562" s="545"/>
      <c r="BL562" s="545"/>
      <c r="BM562" s="545"/>
      <c r="BN562" s="543"/>
      <c r="BO562" s="543"/>
      <c r="BP562" s="543"/>
      <c r="BQ562" s="543"/>
      <c r="BR562" s="543"/>
      <c r="BS562" s="543"/>
      <c r="BT562" s="543"/>
      <c r="BU562" s="543"/>
      <c r="BV562" s="543"/>
      <c r="BW562" s="543"/>
      <c r="BX562" s="543"/>
      <c r="BY562" s="543"/>
      <c r="BZ562" s="547"/>
      <c r="CA562" s="547"/>
      <c r="CB562" s="547"/>
    </row>
    <row r="563" spans="1:80" s="11" customFormat="1" ht="15.75" x14ac:dyDescent="0.2">
      <c r="A563" s="54"/>
      <c r="B563" s="408">
        <v>12</v>
      </c>
      <c r="C563" s="49" t="s">
        <v>667</v>
      </c>
      <c r="D563" s="50"/>
      <c r="E563" s="50"/>
      <c r="F563" s="50"/>
      <c r="G563" s="50"/>
      <c r="H563" s="51"/>
      <c r="I563" s="50"/>
      <c r="J563" s="50"/>
      <c r="K563" s="252"/>
      <c r="L563" s="252"/>
      <c r="M563" s="252"/>
      <c r="N563" s="50"/>
      <c r="O563" s="51"/>
      <c r="P563" s="50"/>
      <c r="Q563" s="50"/>
      <c r="R563" s="550"/>
      <c r="S563" s="550"/>
      <c r="T563" s="550"/>
      <c r="U563" s="550"/>
      <c r="V563" s="550"/>
      <c r="W563" s="550"/>
      <c r="X563" s="550"/>
      <c r="Y563" s="550"/>
      <c r="Z563" s="550"/>
      <c r="AA563" s="550"/>
      <c r="AB563" s="550"/>
      <c r="AC563" s="550"/>
      <c r="AD563" s="550"/>
      <c r="AE563" s="550"/>
      <c r="AF563" s="550"/>
      <c r="AG563" s="550"/>
      <c r="AH563" s="550"/>
      <c r="AI563" s="550"/>
      <c r="AJ563" s="550"/>
      <c r="AK563" s="550"/>
      <c r="AL563" s="550"/>
      <c r="AM563" s="550"/>
      <c r="AN563" s="550"/>
      <c r="AO563" s="550"/>
      <c r="AP563" s="550"/>
      <c r="AQ563" s="550"/>
      <c r="AR563" s="550"/>
      <c r="AS563" s="550"/>
      <c r="AT563" s="550"/>
      <c r="AU563" s="550"/>
      <c r="AV563" s="550"/>
      <c r="AW563" s="550"/>
      <c r="AX563" s="550"/>
      <c r="AY563" s="550"/>
      <c r="AZ563" s="550"/>
      <c r="BA563" s="550"/>
      <c r="BB563" s="550"/>
      <c r="BC563" s="550"/>
      <c r="BD563" s="550"/>
      <c r="BE563" s="550"/>
      <c r="BF563" s="550"/>
      <c r="BG563" s="550"/>
      <c r="BH563" s="550"/>
      <c r="BI563" s="550"/>
      <c r="BJ563" s="550"/>
      <c r="BK563" s="551"/>
      <c r="BL563" s="551"/>
      <c r="BM563" s="551"/>
      <c r="BN563" s="550"/>
      <c r="BO563" s="550"/>
      <c r="BP563" s="550"/>
      <c r="BQ563" s="550"/>
      <c r="BR563" s="550"/>
      <c r="BS563" s="550"/>
      <c r="BT563" s="550"/>
      <c r="BU563" s="550"/>
      <c r="BV563" s="550"/>
      <c r="BW563" s="550"/>
      <c r="BX563" s="550"/>
      <c r="BY563" s="550"/>
      <c r="BZ563" s="555"/>
      <c r="CA563" s="555"/>
      <c r="CB563" s="555"/>
    </row>
    <row r="564" spans="1:80" s="11" customFormat="1" ht="15.75" x14ac:dyDescent="0.2">
      <c r="A564" s="256"/>
      <c r="B564" s="54"/>
      <c r="C564" s="508"/>
      <c r="D564" s="516"/>
      <c r="E564" s="508"/>
      <c r="F564" s="508"/>
      <c r="G564" s="274">
        <v>36</v>
      </c>
      <c r="H564" s="100" t="s">
        <v>668</v>
      </c>
      <c r="I564" s="100"/>
      <c r="J564" s="100"/>
      <c r="K564" s="186"/>
      <c r="L564" s="186"/>
      <c r="M564" s="186"/>
      <c r="N564" s="100"/>
      <c r="O564" s="212"/>
      <c r="P564" s="100"/>
      <c r="Q564" s="100"/>
      <c r="R564" s="336"/>
      <c r="S564" s="336"/>
      <c r="T564" s="336"/>
      <c r="U564" s="336"/>
      <c r="V564" s="336"/>
      <c r="W564" s="336"/>
      <c r="X564" s="336"/>
      <c r="Y564" s="336"/>
      <c r="Z564" s="336"/>
      <c r="AA564" s="336"/>
      <c r="AB564" s="336"/>
      <c r="AC564" s="336"/>
      <c r="AD564" s="336"/>
      <c r="AE564" s="336"/>
      <c r="AF564" s="336"/>
      <c r="AG564" s="336"/>
      <c r="AH564" s="336"/>
      <c r="AI564" s="336"/>
      <c r="AJ564" s="336"/>
      <c r="AK564" s="336"/>
      <c r="AL564" s="336"/>
      <c r="AM564" s="336"/>
      <c r="AN564" s="336"/>
      <c r="AO564" s="336"/>
      <c r="AP564" s="336"/>
      <c r="AQ564" s="336"/>
      <c r="AR564" s="336"/>
      <c r="AS564" s="336"/>
      <c r="AT564" s="336"/>
      <c r="AU564" s="336"/>
      <c r="AV564" s="336"/>
      <c r="AW564" s="336"/>
      <c r="AX564" s="336"/>
      <c r="AY564" s="336"/>
      <c r="AZ564" s="336"/>
      <c r="BA564" s="336"/>
      <c r="BB564" s="336"/>
      <c r="BC564" s="336"/>
      <c r="BD564" s="336"/>
      <c r="BE564" s="336"/>
      <c r="BF564" s="336"/>
      <c r="BG564" s="336"/>
      <c r="BH564" s="336"/>
      <c r="BI564" s="336"/>
      <c r="BJ564" s="336"/>
      <c r="BK564" s="552"/>
      <c r="BL564" s="552"/>
      <c r="BM564" s="552"/>
      <c r="BN564" s="336"/>
      <c r="BO564" s="336"/>
      <c r="BP564" s="336"/>
      <c r="BQ564" s="336"/>
      <c r="BR564" s="336"/>
      <c r="BS564" s="336"/>
      <c r="BT564" s="336"/>
      <c r="BU564" s="336"/>
      <c r="BV564" s="336"/>
      <c r="BW564" s="336"/>
      <c r="BX564" s="336"/>
      <c r="BY564" s="336"/>
      <c r="BZ564" s="338"/>
      <c r="CA564" s="338"/>
      <c r="CB564" s="338"/>
    </row>
    <row r="565" spans="1:80" s="11" customFormat="1" ht="59.25" customHeight="1" x14ac:dyDescent="0.2">
      <c r="A565" s="256"/>
      <c r="B565" s="54"/>
      <c r="C565" s="857">
        <v>3</v>
      </c>
      <c r="D565" s="854" t="s">
        <v>365</v>
      </c>
      <c r="E565" s="857" t="s">
        <v>157</v>
      </c>
      <c r="F565" s="857" t="s">
        <v>158</v>
      </c>
      <c r="G565" s="856"/>
      <c r="H565" s="57">
        <v>130</v>
      </c>
      <c r="I565" s="56" t="s">
        <v>669</v>
      </c>
      <c r="J565" s="57">
        <v>0</v>
      </c>
      <c r="K565" s="207">
        <v>1</v>
      </c>
      <c r="L565" s="489">
        <v>0.2</v>
      </c>
      <c r="M565" s="850">
        <v>2017003630082</v>
      </c>
      <c r="N565" s="856">
        <v>2</v>
      </c>
      <c r="O565" s="856" t="s">
        <v>670</v>
      </c>
      <c r="P565" s="853" t="s">
        <v>671</v>
      </c>
      <c r="Q565" s="57" t="s">
        <v>51</v>
      </c>
      <c r="R565" s="539">
        <v>0</v>
      </c>
      <c r="S565" s="539"/>
      <c r="T565" s="539"/>
      <c r="U565" s="539">
        <v>0</v>
      </c>
      <c r="V565" s="539"/>
      <c r="W565" s="539"/>
      <c r="X565" s="539">
        <v>0</v>
      </c>
      <c r="Y565" s="539"/>
      <c r="Z565" s="539"/>
      <c r="AA565" s="539">
        <v>0</v>
      </c>
      <c r="AB565" s="539"/>
      <c r="AC565" s="539"/>
      <c r="AD565" s="539">
        <v>0</v>
      </c>
      <c r="AE565" s="539"/>
      <c r="AF565" s="539"/>
      <c r="AG565" s="539">
        <v>0</v>
      </c>
      <c r="AH565" s="539"/>
      <c r="AI565" s="539"/>
      <c r="AJ565" s="539">
        <v>0</v>
      </c>
      <c r="AK565" s="539"/>
      <c r="AL565" s="539"/>
      <c r="AM565" s="598">
        <v>68000000</v>
      </c>
      <c r="AN565" s="598">
        <v>55680000</v>
      </c>
      <c r="AO565" s="598">
        <v>10400000</v>
      </c>
      <c r="AP565" s="540"/>
      <c r="AQ565" s="540"/>
      <c r="AR565" s="540"/>
      <c r="AS565" s="539">
        <v>25000000</v>
      </c>
      <c r="AT565" s="539"/>
      <c r="AU565" s="539"/>
      <c r="AV565" s="539">
        <v>0</v>
      </c>
      <c r="AW565" s="539"/>
      <c r="AX565" s="539"/>
      <c r="AY565" s="539"/>
      <c r="AZ565" s="539"/>
      <c r="BA565" s="539"/>
      <c r="BB565" s="539"/>
      <c r="BC565" s="539"/>
      <c r="BD565" s="539"/>
      <c r="BE565" s="539">
        <v>0</v>
      </c>
      <c r="BF565" s="539"/>
      <c r="BG565" s="539"/>
      <c r="BH565" s="539">
        <v>0</v>
      </c>
      <c r="BI565" s="539"/>
      <c r="BJ565" s="539"/>
      <c r="BK565" s="540">
        <v>0</v>
      </c>
      <c r="BL565" s="540"/>
      <c r="BM565" s="540"/>
      <c r="BN565" s="553"/>
      <c r="BO565" s="553"/>
      <c r="BP565" s="553"/>
      <c r="BQ565" s="539">
        <v>0</v>
      </c>
      <c r="BR565" s="541"/>
      <c r="BS565" s="541"/>
      <c r="BT565" s="541"/>
      <c r="BU565" s="541"/>
      <c r="BV565" s="541"/>
      <c r="BW565" s="541"/>
      <c r="BX565" s="541"/>
      <c r="BY565" s="541"/>
      <c r="BZ565" s="539">
        <f t="shared" ref="BZ565:BZ566" si="519">R565+U565+X565+AA565+AD565+AG565+AJ565+AM565+AP565+AS565+AV565+AY565+BB565+BE565+BH565+BK565+BN565+BQ565+BT565+BW565</f>
        <v>93000000</v>
      </c>
      <c r="CA565" s="539">
        <f t="shared" ref="CA565:CA566" si="520">S565+V565+Y565+AB565+AE565+AH565+AK565+AN565+AQ565+AT565+AW565+AZ565+BC565+BF565+BI565+BL565+BO565+BR565+BU565+BX565</f>
        <v>55680000</v>
      </c>
      <c r="CB565" s="539">
        <f t="shared" ref="CB565:CB566" si="521">T565+W565+Z565+AC565+AF565+AI565+AL565+AO565+AR565+AU565+AX565+BA565+BD565+BG565+BJ565+BM565+BP565+BS565+BV565+BY565</f>
        <v>10400000</v>
      </c>
    </row>
    <row r="566" spans="1:80" s="11" customFormat="1" ht="77.25" customHeight="1" x14ac:dyDescent="0.2">
      <c r="A566" s="256"/>
      <c r="B566" s="54"/>
      <c r="C566" s="857"/>
      <c r="D566" s="854"/>
      <c r="E566" s="857"/>
      <c r="F566" s="857"/>
      <c r="G566" s="858"/>
      <c r="H566" s="57">
        <v>131</v>
      </c>
      <c r="I566" s="56" t="s">
        <v>672</v>
      </c>
      <c r="J566" s="57">
        <v>0</v>
      </c>
      <c r="K566" s="207">
        <v>5</v>
      </c>
      <c r="L566" s="207">
        <v>1</v>
      </c>
      <c r="M566" s="852"/>
      <c r="N566" s="858"/>
      <c r="O566" s="858"/>
      <c r="P566" s="855"/>
      <c r="Q566" s="57" t="s">
        <v>67</v>
      </c>
      <c r="R566" s="539">
        <v>0</v>
      </c>
      <c r="S566" s="539"/>
      <c r="T566" s="539"/>
      <c r="U566" s="539">
        <v>0</v>
      </c>
      <c r="V566" s="539"/>
      <c r="W566" s="539"/>
      <c r="X566" s="539">
        <v>0</v>
      </c>
      <c r="Y566" s="539"/>
      <c r="Z566" s="539"/>
      <c r="AA566" s="539">
        <v>0</v>
      </c>
      <c r="AB566" s="539"/>
      <c r="AC566" s="539"/>
      <c r="AD566" s="539">
        <v>0</v>
      </c>
      <c r="AE566" s="539"/>
      <c r="AF566" s="539"/>
      <c r="AG566" s="539">
        <v>0</v>
      </c>
      <c r="AH566" s="539"/>
      <c r="AI566" s="539"/>
      <c r="AJ566" s="539">
        <v>0</v>
      </c>
      <c r="AK566" s="539"/>
      <c r="AL566" s="539"/>
      <c r="AM566" s="598">
        <v>42000000</v>
      </c>
      <c r="AN566" s="598">
        <v>31200000</v>
      </c>
      <c r="AO566" s="598">
        <v>16560000</v>
      </c>
      <c r="AP566" s="540"/>
      <c r="AQ566" s="540"/>
      <c r="AR566" s="540"/>
      <c r="AS566" s="539">
        <v>10000000</v>
      </c>
      <c r="AT566" s="539"/>
      <c r="AU566" s="539"/>
      <c r="AV566" s="539">
        <v>0</v>
      </c>
      <c r="AW566" s="539"/>
      <c r="AX566" s="539"/>
      <c r="AY566" s="539"/>
      <c r="AZ566" s="539"/>
      <c r="BA566" s="539"/>
      <c r="BB566" s="539"/>
      <c r="BC566" s="539"/>
      <c r="BD566" s="539"/>
      <c r="BE566" s="539">
        <v>0</v>
      </c>
      <c r="BF566" s="539"/>
      <c r="BG566" s="539"/>
      <c r="BH566" s="539">
        <v>0</v>
      </c>
      <c r="BI566" s="539"/>
      <c r="BJ566" s="539"/>
      <c r="BK566" s="540">
        <v>0</v>
      </c>
      <c r="BL566" s="540"/>
      <c r="BM566" s="540"/>
      <c r="BN566" s="553"/>
      <c r="BO566" s="553"/>
      <c r="BP566" s="553"/>
      <c r="BQ566" s="539">
        <v>0</v>
      </c>
      <c r="BR566" s="541"/>
      <c r="BS566" s="541"/>
      <c r="BT566" s="541"/>
      <c r="BU566" s="541"/>
      <c r="BV566" s="541"/>
      <c r="BW566" s="541"/>
      <c r="BX566" s="541"/>
      <c r="BY566" s="541"/>
      <c r="BZ566" s="539">
        <f t="shared" si="519"/>
        <v>52000000</v>
      </c>
      <c r="CA566" s="539">
        <f t="shared" si="520"/>
        <v>31200000</v>
      </c>
      <c r="CB566" s="539">
        <f t="shared" si="521"/>
        <v>16560000</v>
      </c>
    </row>
    <row r="567" spans="1:80" s="459" customFormat="1" ht="15.75" x14ac:dyDescent="0.2">
      <c r="A567" s="256"/>
      <c r="B567" s="54"/>
      <c r="C567" s="510"/>
      <c r="D567" s="209"/>
      <c r="E567" s="259"/>
      <c r="F567" s="259"/>
      <c r="G567" s="77"/>
      <c r="H567" s="78"/>
      <c r="I567" s="77"/>
      <c r="J567" s="78"/>
      <c r="K567" s="240"/>
      <c r="L567" s="240"/>
      <c r="M567" s="240"/>
      <c r="N567" s="78"/>
      <c r="O567" s="78"/>
      <c r="P567" s="77"/>
      <c r="Q567" s="78"/>
      <c r="R567" s="548">
        <f t="shared" ref="R567:BZ567" si="522">SUM(R565:R566)</f>
        <v>0</v>
      </c>
      <c r="S567" s="548">
        <f t="shared" si="522"/>
        <v>0</v>
      </c>
      <c r="T567" s="548">
        <f t="shared" si="522"/>
        <v>0</v>
      </c>
      <c r="U567" s="548">
        <f t="shared" si="522"/>
        <v>0</v>
      </c>
      <c r="V567" s="548">
        <f t="shared" si="522"/>
        <v>0</v>
      </c>
      <c r="W567" s="548">
        <f t="shared" si="522"/>
        <v>0</v>
      </c>
      <c r="X567" s="548">
        <f t="shared" si="522"/>
        <v>0</v>
      </c>
      <c r="Y567" s="548">
        <f t="shared" si="522"/>
        <v>0</v>
      </c>
      <c r="Z567" s="548">
        <f t="shared" si="522"/>
        <v>0</v>
      </c>
      <c r="AA567" s="548">
        <f t="shared" si="522"/>
        <v>0</v>
      </c>
      <c r="AB567" s="548">
        <f t="shared" si="522"/>
        <v>0</v>
      </c>
      <c r="AC567" s="548">
        <f t="shared" si="522"/>
        <v>0</v>
      </c>
      <c r="AD567" s="548">
        <f t="shared" si="522"/>
        <v>0</v>
      </c>
      <c r="AE567" s="548">
        <f t="shared" si="522"/>
        <v>0</v>
      </c>
      <c r="AF567" s="548">
        <f t="shared" si="522"/>
        <v>0</v>
      </c>
      <c r="AG567" s="548">
        <f t="shared" si="522"/>
        <v>0</v>
      </c>
      <c r="AH567" s="548">
        <f t="shared" si="522"/>
        <v>0</v>
      </c>
      <c r="AI567" s="548">
        <f t="shared" si="522"/>
        <v>0</v>
      </c>
      <c r="AJ567" s="548">
        <f t="shared" si="522"/>
        <v>0</v>
      </c>
      <c r="AK567" s="548">
        <f t="shared" si="522"/>
        <v>0</v>
      </c>
      <c r="AL567" s="548">
        <f t="shared" si="522"/>
        <v>0</v>
      </c>
      <c r="AM567" s="548">
        <f t="shared" si="522"/>
        <v>110000000</v>
      </c>
      <c r="AN567" s="548">
        <f t="shared" si="522"/>
        <v>86880000</v>
      </c>
      <c r="AO567" s="548">
        <f t="shared" si="522"/>
        <v>26960000</v>
      </c>
      <c r="AP567" s="548">
        <f t="shared" si="522"/>
        <v>0</v>
      </c>
      <c r="AQ567" s="548">
        <f t="shared" si="522"/>
        <v>0</v>
      </c>
      <c r="AR567" s="548">
        <f t="shared" si="522"/>
        <v>0</v>
      </c>
      <c r="AS567" s="548">
        <f t="shared" si="522"/>
        <v>35000000</v>
      </c>
      <c r="AT567" s="548">
        <f t="shared" si="522"/>
        <v>0</v>
      </c>
      <c r="AU567" s="548">
        <f t="shared" si="522"/>
        <v>0</v>
      </c>
      <c r="AV567" s="548">
        <f t="shared" si="522"/>
        <v>0</v>
      </c>
      <c r="AW567" s="548">
        <f t="shared" si="522"/>
        <v>0</v>
      </c>
      <c r="AX567" s="548">
        <f t="shared" si="522"/>
        <v>0</v>
      </c>
      <c r="AY567" s="548">
        <f t="shared" si="522"/>
        <v>0</v>
      </c>
      <c r="AZ567" s="548">
        <f t="shared" si="522"/>
        <v>0</v>
      </c>
      <c r="BA567" s="548">
        <f t="shared" si="522"/>
        <v>0</v>
      </c>
      <c r="BB567" s="548">
        <f t="shared" si="522"/>
        <v>0</v>
      </c>
      <c r="BC567" s="548">
        <f t="shared" si="522"/>
        <v>0</v>
      </c>
      <c r="BD567" s="548">
        <f t="shared" si="522"/>
        <v>0</v>
      </c>
      <c r="BE567" s="548">
        <f t="shared" si="522"/>
        <v>0</v>
      </c>
      <c r="BF567" s="548">
        <f t="shared" si="522"/>
        <v>0</v>
      </c>
      <c r="BG567" s="548">
        <f t="shared" si="522"/>
        <v>0</v>
      </c>
      <c r="BH567" s="548">
        <f t="shared" si="522"/>
        <v>0</v>
      </c>
      <c r="BI567" s="548">
        <f t="shared" si="522"/>
        <v>0</v>
      </c>
      <c r="BJ567" s="548">
        <f t="shared" si="522"/>
        <v>0</v>
      </c>
      <c r="BK567" s="548">
        <f t="shared" si="522"/>
        <v>0</v>
      </c>
      <c r="BL567" s="548">
        <f t="shared" si="522"/>
        <v>0</v>
      </c>
      <c r="BM567" s="548">
        <f t="shared" si="522"/>
        <v>0</v>
      </c>
      <c r="BN567" s="548">
        <f t="shared" si="522"/>
        <v>0</v>
      </c>
      <c r="BO567" s="548">
        <f t="shared" si="522"/>
        <v>0</v>
      </c>
      <c r="BP567" s="548">
        <f t="shared" si="522"/>
        <v>0</v>
      </c>
      <c r="BQ567" s="548">
        <f t="shared" si="522"/>
        <v>0</v>
      </c>
      <c r="BR567" s="548">
        <f t="shared" si="522"/>
        <v>0</v>
      </c>
      <c r="BS567" s="548">
        <f t="shared" si="522"/>
        <v>0</v>
      </c>
      <c r="BT567" s="548">
        <f t="shared" si="522"/>
        <v>0</v>
      </c>
      <c r="BU567" s="548">
        <f t="shared" si="522"/>
        <v>0</v>
      </c>
      <c r="BV567" s="548">
        <f t="shared" si="522"/>
        <v>0</v>
      </c>
      <c r="BW567" s="548">
        <f t="shared" si="522"/>
        <v>0</v>
      </c>
      <c r="BX567" s="548">
        <f t="shared" si="522"/>
        <v>0</v>
      </c>
      <c r="BY567" s="548">
        <f t="shared" si="522"/>
        <v>0</v>
      </c>
      <c r="BZ567" s="548">
        <f t="shared" si="522"/>
        <v>145000000</v>
      </c>
      <c r="CA567" s="548">
        <f t="shared" ref="CA567:CB567" si="523">SUM(CA565:CA566)</f>
        <v>86880000</v>
      </c>
      <c r="CB567" s="548">
        <f t="shared" si="523"/>
        <v>26960000</v>
      </c>
    </row>
    <row r="568" spans="1:80" s="11" customFormat="1" ht="15.75" x14ac:dyDescent="0.2">
      <c r="A568" s="256"/>
      <c r="B568" s="54"/>
      <c r="C568" s="92"/>
      <c r="D568" s="91"/>
      <c r="E568" s="92"/>
      <c r="F568" s="92"/>
      <c r="G568" s="91"/>
      <c r="H568" s="92"/>
      <c r="I568" s="91"/>
      <c r="J568" s="92"/>
      <c r="K568" s="245"/>
      <c r="L568" s="335"/>
      <c r="M568" s="335"/>
      <c r="N568" s="125"/>
      <c r="O568" s="499"/>
      <c r="P568" s="124"/>
      <c r="Q568" s="92"/>
      <c r="R568" s="543"/>
      <c r="S568" s="543"/>
      <c r="T568" s="543"/>
      <c r="U568" s="543"/>
      <c r="V568" s="543"/>
      <c r="W568" s="543"/>
      <c r="X568" s="543"/>
      <c r="Y568" s="543"/>
      <c r="Z568" s="543"/>
      <c r="AA568" s="543"/>
      <c r="AB568" s="543"/>
      <c r="AC568" s="543"/>
      <c r="AD568" s="543"/>
      <c r="AE568" s="543"/>
      <c r="AF568" s="543"/>
      <c r="AG568" s="543"/>
      <c r="AH568" s="543"/>
      <c r="AI568" s="543"/>
      <c r="AJ568" s="543"/>
      <c r="AK568" s="543"/>
      <c r="AL568" s="543"/>
      <c r="AM568" s="543"/>
      <c r="AN568" s="543"/>
      <c r="AO568" s="543"/>
      <c r="AP568" s="543"/>
      <c r="AQ568" s="543"/>
      <c r="AR568" s="543"/>
      <c r="AS568" s="543"/>
      <c r="AT568" s="543"/>
      <c r="AU568" s="543"/>
      <c r="AV568" s="543"/>
      <c r="AW568" s="543"/>
      <c r="AX568" s="543"/>
      <c r="AY568" s="543"/>
      <c r="AZ568" s="543"/>
      <c r="BA568" s="543"/>
      <c r="BB568" s="543"/>
      <c r="BC568" s="543"/>
      <c r="BD568" s="543"/>
      <c r="BE568" s="543"/>
      <c r="BF568" s="543"/>
      <c r="BG568" s="543"/>
      <c r="BH568" s="543"/>
      <c r="BI568" s="543"/>
      <c r="BJ568" s="543"/>
      <c r="BK568" s="545"/>
      <c r="BL568" s="545"/>
      <c r="BM568" s="545"/>
      <c r="BN568" s="546"/>
      <c r="BO568" s="546"/>
      <c r="BP568" s="546"/>
      <c r="BQ568" s="543"/>
      <c r="BR568" s="543"/>
      <c r="BS568" s="543"/>
      <c r="BT568" s="543"/>
      <c r="BU568" s="543"/>
      <c r="BV568" s="543"/>
      <c r="BW568" s="543"/>
      <c r="BX568" s="543"/>
      <c r="BY568" s="543"/>
      <c r="BZ568" s="547"/>
      <c r="CA568" s="547"/>
      <c r="CB568" s="547"/>
    </row>
    <row r="569" spans="1:80" s="459" customFormat="1" ht="15.75" x14ac:dyDescent="0.2">
      <c r="A569" s="256"/>
      <c r="B569" s="54"/>
      <c r="C569" s="508"/>
      <c r="D569" s="229"/>
      <c r="E569" s="230"/>
      <c r="F569" s="230"/>
      <c r="G569" s="274">
        <v>37</v>
      </c>
      <c r="H569" s="100" t="s">
        <v>673</v>
      </c>
      <c r="I569" s="100"/>
      <c r="J569" s="100"/>
      <c r="K569" s="186"/>
      <c r="L569" s="186"/>
      <c r="M569" s="186"/>
      <c r="N569" s="100"/>
      <c r="O569" s="212"/>
      <c r="P569" s="100"/>
      <c r="Q569" s="100"/>
      <c r="R569" s="336"/>
      <c r="S569" s="336"/>
      <c r="T569" s="336"/>
      <c r="U569" s="336"/>
      <c r="V569" s="336"/>
      <c r="W569" s="336"/>
      <c r="X569" s="336"/>
      <c r="Y569" s="336"/>
      <c r="Z569" s="336"/>
      <c r="AA569" s="336"/>
      <c r="AB569" s="336"/>
      <c r="AC569" s="336"/>
      <c r="AD569" s="336"/>
      <c r="AE569" s="336"/>
      <c r="AF569" s="336"/>
      <c r="AG569" s="336"/>
      <c r="AH569" s="336"/>
      <c r="AI569" s="336"/>
      <c r="AJ569" s="336"/>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336"/>
      <c r="BJ569" s="336"/>
      <c r="BK569" s="552"/>
      <c r="BL569" s="552"/>
      <c r="BM569" s="552"/>
      <c r="BN569" s="336"/>
      <c r="BO569" s="336"/>
      <c r="BP569" s="336"/>
      <c r="BQ569" s="336"/>
      <c r="BR569" s="336"/>
      <c r="BS569" s="336"/>
      <c r="BT569" s="336"/>
      <c r="BU569" s="336"/>
      <c r="BV569" s="336"/>
      <c r="BW569" s="336"/>
      <c r="BX569" s="336"/>
      <c r="BY569" s="336"/>
      <c r="BZ569" s="338"/>
      <c r="CA569" s="338"/>
      <c r="CB569" s="338"/>
    </row>
    <row r="570" spans="1:80" s="11" customFormat="1" ht="84" customHeight="1" x14ac:dyDescent="0.2">
      <c r="A570" s="256"/>
      <c r="B570" s="54"/>
      <c r="C570" s="510">
        <v>22</v>
      </c>
      <c r="D570" s="518" t="s">
        <v>674</v>
      </c>
      <c r="E570" s="510" t="s">
        <v>595</v>
      </c>
      <c r="F570" s="510" t="s">
        <v>675</v>
      </c>
      <c r="G570" s="58"/>
      <c r="H570" s="55">
        <v>132</v>
      </c>
      <c r="I570" s="56" t="s">
        <v>676</v>
      </c>
      <c r="J570" s="57" t="s">
        <v>42</v>
      </c>
      <c r="K570" s="409">
        <v>8</v>
      </c>
      <c r="L570" s="409">
        <v>8</v>
      </c>
      <c r="M570" s="850">
        <v>2017003630081</v>
      </c>
      <c r="N570" s="856" t="s">
        <v>660</v>
      </c>
      <c r="O570" s="856" t="s">
        <v>677</v>
      </c>
      <c r="P570" s="853" t="s">
        <v>678</v>
      </c>
      <c r="Q570" s="57" t="s">
        <v>51</v>
      </c>
      <c r="R570" s="539">
        <v>0</v>
      </c>
      <c r="S570" s="539"/>
      <c r="T570" s="539"/>
      <c r="U570" s="539">
        <v>0</v>
      </c>
      <c r="V570" s="539"/>
      <c r="W570" s="539"/>
      <c r="X570" s="539">
        <v>0</v>
      </c>
      <c r="Y570" s="539"/>
      <c r="Z570" s="539"/>
      <c r="AA570" s="539">
        <v>0</v>
      </c>
      <c r="AB570" s="539"/>
      <c r="AC570" s="539"/>
      <c r="AD570" s="539">
        <v>0</v>
      </c>
      <c r="AE570" s="539"/>
      <c r="AF570" s="539"/>
      <c r="AG570" s="539">
        <v>0</v>
      </c>
      <c r="AH570" s="539"/>
      <c r="AI570" s="539"/>
      <c r="AJ570" s="539">
        <v>0</v>
      </c>
      <c r="AK570" s="539"/>
      <c r="AL570" s="539"/>
      <c r="AM570" s="598">
        <v>30000000</v>
      </c>
      <c r="AN570" s="598">
        <v>22240000</v>
      </c>
      <c r="AO570" s="598">
        <v>7413333.333333334</v>
      </c>
      <c r="AP570" s="540"/>
      <c r="AQ570" s="540"/>
      <c r="AR570" s="540"/>
      <c r="AS570" s="539">
        <v>7000000</v>
      </c>
      <c r="AT570" s="539"/>
      <c r="AU570" s="539"/>
      <c r="AV570" s="539">
        <v>0</v>
      </c>
      <c r="AW570" s="539"/>
      <c r="AX570" s="539"/>
      <c r="AY570" s="539"/>
      <c r="AZ570" s="539"/>
      <c r="BA570" s="539"/>
      <c r="BB570" s="539"/>
      <c r="BC570" s="539"/>
      <c r="BD570" s="539"/>
      <c r="BE570" s="539">
        <v>0</v>
      </c>
      <c r="BF570" s="539"/>
      <c r="BG570" s="539"/>
      <c r="BH570" s="539">
        <v>0</v>
      </c>
      <c r="BI570" s="539"/>
      <c r="BJ570" s="539"/>
      <c r="BK570" s="540">
        <v>0</v>
      </c>
      <c r="BL570" s="540"/>
      <c r="BM570" s="540"/>
      <c r="BN570" s="553"/>
      <c r="BO570" s="553"/>
      <c r="BP570" s="553"/>
      <c r="BQ570" s="539">
        <v>0</v>
      </c>
      <c r="BR570" s="541"/>
      <c r="BS570" s="541"/>
      <c r="BT570" s="541"/>
      <c r="BU570" s="541"/>
      <c r="BV570" s="541"/>
      <c r="BW570" s="541"/>
      <c r="BX570" s="541"/>
      <c r="BY570" s="541"/>
      <c r="BZ570" s="539">
        <f t="shared" ref="BZ570:BZ573" si="524">R570+U570+X570+AA570+AD570+AG570+AJ570+AM570+AP570+AS570+AV570+AY570+BB570+BE570+BH570+BK570+BN570+BQ570+BT570+BW570</f>
        <v>37000000</v>
      </c>
      <c r="CA570" s="539">
        <f t="shared" ref="CA570:CA573" si="525">S570+V570+Y570+AB570+AE570+AH570+AK570+AN570+AQ570+AT570+AW570+AZ570+BC570+BF570+BI570+BL570+BO570+BR570+BU570+BX570</f>
        <v>22240000</v>
      </c>
      <c r="CB570" s="539">
        <f t="shared" ref="CB570:CB573" si="526">T570+W570+Z570+AC570+AF570+AI570+AL570+AO570+AR570+AU570+AX570+BA570+BD570+BG570+BJ570+BM570+BP570+BS570+BV570+BY570</f>
        <v>7413333.333333334</v>
      </c>
    </row>
    <row r="571" spans="1:80" s="11" customFormat="1" ht="110.25" customHeight="1" x14ac:dyDescent="0.2">
      <c r="A571" s="256"/>
      <c r="B571" s="54"/>
      <c r="C571" s="92">
        <v>31</v>
      </c>
      <c r="D571" s="56" t="s">
        <v>951</v>
      </c>
      <c r="E571" s="331">
        <v>0.249</v>
      </c>
      <c r="F571" s="400">
        <v>0.2</v>
      </c>
      <c r="G571" s="64"/>
      <c r="H571" s="55">
        <v>133</v>
      </c>
      <c r="I571" s="56" t="s">
        <v>679</v>
      </c>
      <c r="J571" s="57">
        <v>0</v>
      </c>
      <c r="K571" s="409">
        <v>12</v>
      </c>
      <c r="L571" s="409">
        <v>12</v>
      </c>
      <c r="M571" s="851"/>
      <c r="N571" s="857"/>
      <c r="O571" s="857"/>
      <c r="P571" s="854"/>
      <c r="Q571" s="57" t="s">
        <v>51</v>
      </c>
      <c r="R571" s="539">
        <v>0</v>
      </c>
      <c r="S571" s="539"/>
      <c r="T571" s="539"/>
      <c r="U571" s="539">
        <v>0</v>
      </c>
      <c r="V571" s="539"/>
      <c r="W571" s="539"/>
      <c r="X571" s="539">
        <v>0</v>
      </c>
      <c r="Y571" s="539"/>
      <c r="Z571" s="539"/>
      <c r="AA571" s="539">
        <v>0</v>
      </c>
      <c r="AB571" s="539"/>
      <c r="AC571" s="539"/>
      <c r="AD571" s="539">
        <v>0</v>
      </c>
      <c r="AE571" s="539"/>
      <c r="AF571" s="539"/>
      <c r="AG571" s="539">
        <v>0</v>
      </c>
      <c r="AH571" s="539"/>
      <c r="AI571" s="539"/>
      <c r="AJ571" s="539">
        <v>0</v>
      </c>
      <c r="AK571" s="539"/>
      <c r="AL571" s="539"/>
      <c r="AM571" s="598">
        <v>20000000</v>
      </c>
      <c r="AN571" s="598">
        <v>20000000</v>
      </c>
      <c r="AO571" s="598">
        <v>5786666.666666666</v>
      </c>
      <c r="AP571" s="540"/>
      <c r="AQ571" s="540"/>
      <c r="AR571" s="540"/>
      <c r="AS571" s="539">
        <v>4140000</v>
      </c>
      <c r="AT571" s="539"/>
      <c r="AU571" s="539"/>
      <c r="AV571" s="539">
        <v>0</v>
      </c>
      <c r="AW571" s="539"/>
      <c r="AX571" s="539"/>
      <c r="AY571" s="539"/>
      <c r="AZ571" s="539"/>
      <c r="BA571" s="539"/>
      <c r="BB571" s="539"/>
      <c r="BC571" s="539"/>
      <c r="BD571" s="539"/>
      <c r="BE571" s="539">
        <v>0</v>
      </c>
      <c r="BF571" s="539"/>
      <c r="BG571" s="539"/>
      <c r="BH571" s="539">
        <v>0</v>
      </c>
      <c r="BI571" s="539"/>
      <c r="BJ571" s="539"/>
      <c r="BK571" s="540">
        <v>0</v>
      </c>
      <c r="BL571" s="540"/>
      <c r="BM571" s="540"/>
      <c r="BN571" s="553"/>
      <c r="BO571" s="553"/>
      <c r="BP571" s="553"/>
      <c r="BQ571" s="539">
        <v>0</v>
      </c>
      <c r="BR571" s="541"/>
      <c r="BS571" s="541"/>
      <c r="BT571" s="541"/>
      <c r="BU571" s="541"/>
      <c r="BV571" s="541"/>
      <c r="BW571" s="541"/>
      <c r="BX571" s="541"/>
      <c r="BY571" s="541"/>
      <c r="BZ571" s="539">
        <f t="shared" si="524"/>
        <v>24140000</v>
      </c>
      <c r="CA571" s="539">
        <f t="shared" si="525"/>
        <v>20000000</v>
      </c>
      <c r="CB571" s="539">
        <f t="shared" si="526"/>
        <v>5786666.666666666</v>
      </c>
    </row>
    <row r="572" spans="1:80" s="11" customFormat="1" ht="81.75" customHeight="1" x14ac:dyDescent="0.2">
      <c r="A572" s="256"/>
      <c r="B572" s="54"/>
      <c r="C572" s="125">
        <v>33</v>
      </c>
      <c r="D572" s="67" t="s">
        <v>680</v>
      </c>
      <c r="E572" s="27">
        <v>0</v>
      </c>
      <c r="F572" s="27">
        <v>0</v>
      </c>
      <c r="G572" s="64"/>
      <c r="H572" s="57">
        <v>134</v>
      </c>
      <c r="I572" s="56" t="s">
        <v>681</v>
      </c>
      <c r="J572" s="188">
        <v>3600</v>
      </c>
      <c r="K572" s="409">
        <v>4800</v>
      </c>
      <c r="L572" s="409">
        <v>1043</v>
      </c>
      <c r="M572" s="851"/>
      <c r="N572" s="857"/>
      <c r="O572" s="857"/>
      <c r="P572" s="854"/>
      <c r="Q572" s="57" t="s">
        <v>51</v>
      </c>
      <c r="R572" s="539">
        <v>0</v>
      </c>
      <c r="S572" s="539"/>
      <c r="T572" s="539"/>
      <c r="U572" s="539">
        <v>0</v>
      </c>
      <c r="V572" s="539"/>
      <c r="W572" s="539"/>
      <c r="X572" s="539">
        <v>0</v>
      </c>
      <c r="Y572" s="539"/>
      <c r="Z572" s="539"/>
      <c r="AA572" s="539">
        <v>0</v>
      </c>
      <c r="AB572" s="539"/>
      <c r="AC572" s="539"/>
      <c r="AD572" s="539">
        <v>0</v>
      </c>
      <c r="AE572" s="539"/>
      <c r="AF572" s="539"/>
      <c r="AG572" s="539">
        <v>0</v>
      </c>
      <c r="AH572" s="539"/>
      <c r="AI572" s="539"/>
      <c r="AJ572" s="539">
        <v>0</v>
      </c>
      <c r="AK572" s="539"/>
      <c r="AL572" s="539"/>
      <c r="AM572" s="598">
        <v>35000000</v>
      </c>
      <c r="AN572" s="598">
        <v>29200000</v>
      </c>
      <c r="AO572" s="598">
        <v>5840000</v>
      </c>
      <c r="AP572" s="540"/>
      <c r="AQ572" s="540"/>
      <c r="AR572" s="540"/>
      <c r="AS572" s="539">
        <v>33860000</v>
      </c>
      <c r="AT572" s="539"/>
      <c r="AU572" s="539"/>
      <c r="AV572" s="539">
        <v>0</v>
      </c>
      <c r="AW572" s="539"/>
      <c r="AX572" s="539"/>
      <c r="AY572" s="539"/>
      <c r="AZ572" s="539"/>
      <c r="BA572" s="539"/>
      <c r="BB572" s="539"/>
      <c r="BC572" s="539"/>
      <c r="BD572" s="539"/>
      <c r="BE572" s="539">
        <v>0</v>
      </c>
      <c r="BF572" s="539"/>
      <c r="BG572" s="539"/>
      <c r="BH572" s="539">
        <v>0</v>
      </c>
      <c r="BI572" s="539"/>
      <c r="BJ572" s="539"/>
      <c r="BK572" s="540">
        <v>0</v>
      </c>
      <c r="BL572" s="540"/>
      <c r="BM572" s="540"/>
      <c r="BN572" s="553"/>
      <c r="BO572" s="553"/>
      <c r="BP572" s="553"/>
      <c r="BQ572" s="539">
        <v>0</v>
      </c>
      <c r="BR572" s="541"/>
      <c r="BS572" s="541"/>
      <c r="BT572" s="541"/>
      <c r="BU572" s="541"/>
      <c r="BV572" s="541"/>
      <c r="BW572" s="541"/>
      <c r="BX572" s="541"/>
      <c r="BY572" s="541"/>
      <c r="BZ572" s="539">
        <f t="shared" si="524"/>
        <v>68860000</v>
      </c>
      <c r="CA572" s="539">
        <f t="shared" si="525"/>
        <v>29200000</v>
      </c>
      <c r="CB572" s="539">
        <f t="shared" si="526"/>
        <v>5840000</v>
      </c>
    </row>
    <row r="573" spans="1:80" s="11" customFormat="1" ht="81.75" customHeight="1" x14ac:dyDescent="0.2">
      <c r="A573" s="256"/>
      <c r="B573" s="54"/>
      <c r="C573" s="508">
        <v>31</v>
      </c>
      <c r="D573" s="516" t="s">
        <v>600</v>
      </c>
      <c r="E573" s="525">
        <v>0.249</v>
      </c>
      <c r="F573" s="522">
        <v>0.2</v>
      </c>
      <c r="G573" s="139"/>
      <c r="H573" s="57">
        <v>135</v>
      </c>
      <c r="I573" s="56" t="s">
        <v>682</v>
      </c>
      <c r="J573" s="188">
        <v>12</v>
      </c>
      <c r="K573" s="409">
        <v>12</v>
      </c>
      <c r="L573" s="409">
        <v>12</v>
      </c>
      <c r="M573" s="852"/>
      <c r="N573" s="858"/>
      <c r="O573" s="858"/>
      <c r="P573" s="855"/>
      <c r="Q573" s="57" t="s">
        <v>51</v>
      </c>
      <c r="R573" s="539"/>
      <c r="S573" s="539"/>
      <c r="T573" s="539"/>
      <c r="U573" s="539"/>
      <c r="V573" s="539"/>
      <c r="W573" s="539"/>
      <c r="X573" s="539"/>
      <c r="Y573" s="539"/>
      <c r="Z573" s="539"/>
      <c r="AA573" s="539"/>
      <c r="AB573" s="539"/>
      <c r="AC573" s="539"/>
      <c r="AD573" s="539"/>
      <c r="AE573" s="539"/>
      <c r="AF573" s="539"/>
      <c r="AG573" s="539"/>
      <c r="AH573" s="539"/>
      <c r="AI573" s="539"/>
      <c r="AJ573" s="539"/>
      <c r="AK573" s="539"/>
      <c r="AL573" s="539"/>
      <c r="AM573" s="598">
        <v>35000000</v>
      </c>
      <c r="AN573" s="598">
        <v>19200000</v>
      </c>
      <c r="AO573" s="598">
        <v>3200000</v>
      </c>
      <c r="AP573" s="540"/>
      <c r="AQ573" s="540"/>
      <c r="AR573" s="540"/>
      <c r="AS573" s="539"/>
      <c r="AT573" s="539"/>
      <c r="AU573" s="539"/>
      <c r="AV573" s="539"/>
      <c r="AW573" s="539"/>
      <c r="AX573" s="539"/>
      <c r="AY573" s="539"/>
      <c r="AZ573" s="539"/>
      <c r="BA573" s="539"/>
      <c r="BB573" s="539"/>
      <c r="BC573" s="539"/>
      <c r="BD573" s="539"/>
      <c r="BE573" s="539"/>
      <c r="BF573" s="539"/>
      <c r="BG573" s="539"/>
      <c r="BH573" s="539"/>
      <c r="BI573" s="539"/>
      <c r="BJ573" s="539"/>
      <c r="BK573" s="540"/>
      <c r="BL573" s="540"/>
      <c r="BM573" s="540"/>
      <c r="BN573" s="553"/>
      <c r="BO573" s="553"/>
      <c r="BP573" s="553"/>
      <c r="BQ573" s="539">
        <v>0</v>
      </c>
      <c r="BR573" s="539"/>
      <c r="BS573" s="539"/>
      <c r="BT573" s="539"/>
      <c r="BU573" s="539"/>
      <c r="BV573" s="539"/>
      <c r="BW573" s="539"/>
      <c r="BX573" s="539"/>
      <c r="BY573" s="539"/>
      <c r="BZ573" s="539">
        <f t="shared" si="524"/>
        <v>35000000</v>
      </c>
      <c r="CA573" s="539">
        <f t="shared" si="525"/>
        <v>19200000</v>
      </c>
      <c r="CB573" s="539">
        <f t="shared" si="526"/>
        <v>3200000</v>
      </c>
    </row>
    <row r="574" spans="1:80" s="459" customFormat="1" ht="15.75" x14ac:dyDescent="0.2">
      <c r="A574" s="256"/>
      <c r="B574" s="54"/>
      <c r="C574" s="510"/>
      <c r="D574" s="209"/>
      <c r="E574" s="259"/>
      <c r="F574" s="259"/>
      <c r="G574" s="77"/>
      <c r="H574" s="78"/>
      <c r="I574" s="77"/>
      <c r="J574" s="410"/>
      <c r="K574" s="411"/>
      <c r="L574" s="411"/>
      <c r="M574" s="411"/>
      <c r="N574" s="410"/>
      <c r="O574" s="78"/>
      <c r="P574" s="77"/>
      <c r="Q574" s="78"/>
      <c r="R574" s="548">
        <f t="shared" ref="R574:BY574" si="527">SUM(R570:R573)</f>
        <v>0</v>
      </c>
      <c r="S574" s="548">
        <f t="shared" si="527"/>
        <v>0</v>
      </c>
      <c r="T574" s="548">
        <f t="shared" si="527"/>
        <v>0</v>
      </c>
      <c r="U574" s="548">
        <f t="shared" si="527"/>
        <v>0</v>
      </c>
      <c r="V574" s="548">
        <f t="shared" si="527"/>
        <v>0</v>
      </c>
      <c r="W574" s="548">
        <f t="shared" si="527"/>
        <v>0</v>
      </c>
      <c r="X574" s="548">
        <f t="shared" si="527"/>
        <v>0</v>
      </c>
      <c r="Y574" s="548">
        <f t="shared" si="527"/>
        <v>0</v>
      </c>
      <c r="Z574" s="548">
        <f t="shared" si="527"/>
        <v>0</v>
      </c>
      <c r="AA574" s="548">
        <f t="shared" si="527"/>
        <v>0</v>
      </c>
      <c r="AB574" s="548">
        <f t="shared" si="527"/>
        <v>0</v>
      </c>
      <c r="AC574" s="548">
        <f t="shared" si="527"/>
        <v>0</v>
      </c>
      <c r="AD574" s="548">
        <f t="shared" si="527"/>
        <v>0</v>
      </c>
      <c r="AE574" s="548">
        <f t="shared" si="527"/>
        <v>0</v>
      </c>
      <c r="AF574" s="548">
        <f t="shared" si="527"/>
        <v>0</v>
      </c>
      <c r="AG574" s="548">
        <f t="shared" si="527"/>
        <v>0</v>
      </c>
      <c r="AH574" s="548">
        <f t="shared" si="527"/>
        <v>0</v>
      </c>
      <c r="AI574" s="548">
        <f t="shared" si="527"/>
        <v>0</v>
      </c>
      <c r="AJ574" s="548">
        <f t="shared" si="527"/>
        <v>0</v>
      </c>
      <c r="AK574" s="548">
        <f t="shared" si="527"/>
        <v>0</v>
      </c>
      <c r="AL574" s="548">
        <f t="shared" si="527"/>
        <v>0</v>
      </c>
      <c r="AM574" s="548">
        <f t="shared" si="527"/>
        <v>120000000</v>
      </c>
      <c r="AN574" s="548">
        <f t="shared" si="527"/>
        <v>90640000</v>
      </c>
      <c r="AO574" s="548">
        <f t="shared" si="527"/>
        <v>22240000</v>
      </c>
      <c r="AP574" s="548">
        <f t="shared" si="527"/>
        <v>0</v>
      </c>
      <c r="AQ574" s="548">
        <f t="shared" si="527"/>
        <v>0</v>
      </c>
      <c r="AR574" s="548">
        <f t="shared" si="527"/>
        <v>0</v>
      </c>
      <c r="AS574" s="548">
        <f t="shared" si="527"/>
        <v>45000000</v>
      </c>
      <c r="AT574" s="548">
        <f t="shared" si="527"/>
        <v>0</v>
      </c>
      <c r="AU574" s="548">
        <f t="shared" si="527"/>
        <v>0</v>
      </c>
      <c r="AV574" s="548">
        <f t="shared" si="527"/>
        <v>0</v>
      </c>
      <c r="AW574" s="548">
        <f t="shared" si="527"/>
        <v>0</v>
      </c>
      <c r="AX574" s="548">
        <f t="shared" si="527"/>
        <v>0</v>
      </c>
      <c r="AY574" s="548">
        <f t="shared" si="527"/>
        <v>0</v>
      </c>
      <c r="AZ574" s="548">
        <f t="shared" si="527"/>
        <v>0</v>
      </c>
      <c r="BA574" s="548">
        <f t="shared" si="527"/>
        <v>0</v>
      </c>
      <c r="BB574" s="548">
        <f t="shared" si="527"/>
        <v>0</v>
      </c>
      <c r="BC574" s="548">
        <f t="shared" si="527"/>
        <v>0</v>
      </c>
      <c r="BD574" s="548">
        <f t="shared" si="527"/>
        <v>0</v>
      </c>
      <c r="BE574" s="548">
        <f t="shared" si="527"/>
        <v>0</v>
      </c>
      <c r="BF574" s="548">
        <f t="shared" si="527"/>
        <v>0</v>
      </c>
      <c r="BG574" s="548">
        <f t="shared" si="527"/>
        <v>0</v>
      </c>
      <c r="BH574" s="548">
        <f t="shared" si="527"/>
        <v>0</v>
      </c>
      <c r="BI574" s="548">
        <f t="shared" si="527"/>
        <v>0</v>
      </c>
      <c r="BJ574" s="548">
        <f t="shared" si="527"/>
        <v>0</v>
      </c>
      <c r="BK574" s="548">
        <f t="shared" si="527"/>
        <v>0</v>
      </c>
      <c r="BL574" s="548">
        <f t="shared" si="527"/>
        <v>0</v>
      </c>
      <c r="BM574" s="548">
        <f t="shared" si="527"/>
        <v>0</v>
      </c>
      <c r="BN574" s="548">
        <f t="shared" si="527"/>
        <v>0</v>
      </c>
      <c r="BO574" s="548">
        <f t="shared" si="527"/>
        <v>0</v>
      </c>
      <c r="BP574" s="548">
        <f t="shared" si="527"/>
        <v>0</v>
      </c>
      <c r="BQ574" s="548">
        <f t="shared" si="527"/>
        <v>0</v>
      </c>
      <c r="BR574" s="548">
        <f t="shared" si="527"/>
        <v>0</v>
      </c>
      <c r="BS574" s="548">
        <f t="shared" si="527"/>
        <v>0</v>
      </c>
      <c r="BT574" s="548">
        <f t="shared" si="527"/>
        <v>0</v>
      </c>
      <c r="BU574" s="548">
        <f t="shared" si="527"/>
        <v>0</v>
      </c>
      <c r="BV574" s="548">
        <f t="shared" si="527"/>
        <v>0</v>
      </c>
      <c r="BW574" s="548">
        <f t="shared" si="527"/>
        <v>0</v>
      </c>
      <c r="BX574" s="548">
        <f t="shared" si="527"/>
        <v>0</v>
      </c>
      <c r="BY574" s="548">
        <f t="shared" si="527"/>
        <v>0</v>
      </c>
      <c r="BZ574" s="548">
        <f>SUM(BZ570:BZ573)</f>
        <v>165000000</v>
      </c>
      <c r="CA574" s="548">
        <f t="shared" ref="CA574:CB574" si="528">SUM(CA570:CA573)</f>
        <v>90640000</v>
      </c>
      <c r="CB574" s="548">
        <f t="shared" si="528"/>
        <v>22240000</v>
      </c>
    </row>
    <row r="575" spans="1:80" s="459" customFormat="1" ht="15.75" x14ac:dyDescent="0.2">
      <c r="A575" s="256"/>
      <c r="B575" s="54"/>
      <c r="C575" s="92"/>
      <c r="D575" s="91"/>
      <c r="E575" s="92"/>
      <c r="F575" s="92"/>
      <c r="G575" s="91"/>
      <c r="H575" s="92"/>
      <c r="I575" s="91"/>
      <c r="J575" s="92"/>
      <c r="K575" s="245"/>
      <c r="L575" s="335"/>
      <c r="M575" s="335"/>
      <c r="N575" s="125"/>
      <c r="O575" s="499"/>
      <c r="P575" s="124"/>
      <c r="Q575" s="92"/>
      <c r="R575" s="543"/>
      <c r="S575" s="543"/>
      <c r="T575" s="543"/>
      <c r="U575" s="543"/>
      <c r="V575" s="543"/>
      <c r="W575" s="543"/>
      <c r="X575" s="543"/>
      <c r="Y575" s="543"/>
      <c r="Z575" s="543"/>
      <c r="AA575" s="543"/>
      <c r="AB575" s="543"/>
      <c r="AC575" s="543"/>
      <c r="AD575" s="543"/>
      <c r="AE575" s="543"/>
      <c r="AF575" s="543"/>
      <c r="AG575" s="543"/>
      <c r="AH575" s="543"/>
      <c r="AI575" s="543"/>
      <c r="AJ575" s="543"/>
      <c r="AK575" s="543"/>
      <c r="AL575" s="543"/>
      <c r="AM575" s="543"/>
      <c r="AN575" s="543"/>
      <c r="AO575" s="543"/>
      <c r="AP575" s="543"/>
      <c r="AQ575" s="543"/>
      <c r="AR575" s="543"/>
      <c r="AS575" s="543"/>
      <c r="AT575" s="543"/>
      <c r="AU575" s="543"/>
      <c r="AV575" s="543"/>
      <c r="AW575" s="543"/>
      <c r="AX575" s="543"/>
      <c r="AY575" s="543"/>
      <c r="AZ575" s="543"/>
      <c r="BA575" s="543"/>
      <c r="BB575" s="543"/>
      <c r="BC575" s="543"/>
      <c r="BD575" s="543"/>
      <c r="BE575" s="543"/>
      <c r="BF575" s="543"/>
      <c r="BG575" s="543"/>
      <c r="BH575" s="543"/>
      <c r="BI575" s="543"/>
      <c r="BJ575" s="543"/>
      <c r="BK575" s="545"/>
      <c r="BL575" s="545"/>
      <c r="BM575" s="545"/>
      <c r="BN575" s="546"/>
      <c r="BO575" s="546"/>
      <c r="BP575" s="546"/>
      <c r="BQ575" s="543"/>
      <c r="BR575" s="543"/>
      <c r="BS575" s="543"/>
      <c r="BT575" s="543"/>
      <c r="BU575" s="543"/>
      <c r="BV575" s="543"/>
      <c r="BW575" s="544"/>
      <c r="BX575" s="544"/>
      <c r="BY575" s="544"/>
      <c r="BZ575" s="547"/>
      <c r="CA575" s="547"/>
      <c r="CB575" s="547"/>
    </row>
    <row r="576" spans="1:80" s="459" customFormat="1" ht="15.75" x14ac:dyDescent="0.2">
      <c r="A576" s="256"/>
      <c r="B576" s="54"/>
      <c r="C576" s="508"/>
      <c r="D576" s="229"/>
      <c r="E576" s="230"/>
      <c r="F576" s="230"/>
      <c r="G576" s="274">
        <v>38</v>
      </c>
      <c r="H576" s="100" t="s">
        <v>683</v>
      </c>
      <c r="I576" s="100"/>
      <c r="J576" s="100"/>
      <c r="K576" s="186"/>
      <c r="L576" s="186"/>
      <c r="M576" s="186"/>
      <c r="N576" s="100"/>
      <c r="O576" s="212"/>
      <c r="P576" s="100"/>
      <c r="Q576" s="100"/>
      <c r="R576" s="336"/>
      <c r="S576" s="336"/>
      <c r="T576" s="336"/>
      <c r="U576" s="336"/>
      <c r="V576" s="336"/>
      <c r="W576" s="336"/>
      <c r="X576" s="336"/>
      <c r="Y576" s="336"/>
      <c r="Z576" s="336"/>
      <c r="AA576" s="336"/>
      <c r="AB576" s="336"/>
      <c r="AC576" s="336"/>
      <c r="AD576" s="336"/>
      <c r="AE576" s="336"/>
      <c r="AF576" s="336"/>
      <c r="AG576" s="336"/>
      <c r="AH576" s="336"/>
      <c r="AI576" s="336"/>
      <c r="AJ576" s="336"/>
      <c r="AK576" s="336"/>
      <c r="AL576" s="336"/>
      <c r="AM576" s="336"/>
      <c r="AN576" s="336"/>
      <c r="AO576" s="336"/>
      <c r="AP576" s="336"/>
      <c r="AQ576" s="336"/>
      <c r="AR576" s="336"/>
      <c r="AS576" s="336"/>
      <c r="AT576" s="336"/>
      <c r="AU576" s="336"/>
      <c r="AV576" s="336"/>
      <c r="AW576" s="336"/>
      <c r="AX576" s="336"/>
      <c r="AY576" s="336"/>
      <c r="AZ576" s="336"/>
      <c r="BA576" s="336"/>
      <c r="BB576" s="336"/>
      <c r="BC576" s="336"/>
      <c r="BD576" s="336"/>
      <c r="BE576" s="336"/>
      <c r="BF576" s="336"/>
      <c r="BG576" s="336"/>
      <c r="BH576" s="336"/>
      <c r="BI576" s="336"/>
      <c r="BJ576" s="336"/>
      <c r="BK576" s="552"/>
      <c r="BL576" s="552"/>
      <c r="BM576" s="552"/>
      <c r="BN576" s="336"/>
      <c r="BO576" s="336"/>
      <c r="BP576" s="336"/>
      <c r="BQ576" s="336"/>
      <c r="BR576" s="336"/>
      <c r="BS576" s="336"/>
      <c r="BT576" s="336"/>
      <c r="BU576" s="336"/>
      <c r="BV576" s="336"/>
      <c r="BW576" s="336"/>
      <c r="BX576" s="336"/>
      <c r="BY576" s="336"/>
      <c r="BZ576" s="338"/>
      <c r="CA576" s="338"/>
      <c r="CB576" s="338"/>
    </row>
    <row r="577" spans="1:80" s="11" customFormat="1" ht="105" customHeight="1" x14ac:dyDescent="0.2">
      <c r="A577" s="256"/>
      <c r="B577" s="54"/>
      <c r="C577" s="857">
        <v>22</v>
      </c>
      <c r="D577" s="857" t="s">
        <v>594</v>
      </c>
      <c r="E577" s="857" t="s">
        <v>595</v>
      </c>
      <c r="F577" s="857" t="s">
        <v>596</v>
      </c>
      <c r="G577" s="412"/>
      <c r="H577" s="65">
        <v>136</v>
      </c>
      <c r="I577" s="56" t="s">
        <v>684</v>
      </c>
      <c r="J577" s="57" t="s">
        <v>42</v>
      </c>
      <c r="K577" s="413">
        <v>12</v>
      </c>
      <c r="L577" s="413">
        <v>0</v>
      </c>
      <c r="M577" s="850">
        <v>2017003630102</v>
      </c>
      <c r="N577" s="922" t="s">
        <v>660</v>
      </c>
      <c r="O577" s="856" t="s">
        <v>685</v>
      </c>
      <c r="P577" s="853" t="s">
        <v>686</v>
      </c>
      <c r="Q577" s="57" t="s">
        <v>51</v>
      </c>
      <c r="R577" s="539">
        <v>0</v>
      </c>
      <c r="S577" s="539"/>
      <c r="T577" s="539"/>
      <c r="U577" s="539">
        <v>0</v>
      </c>
      <c r="V577" s="539"/>
      <c r="W577" s="539"/>
      <c r="X577" s="539">
        <v>0</v>
      </c>
      <c r="Y577" s="539"/>
      <c r="Z577" s="539"/>
      <c r="AA577" s="539">
        <v>0</v>
      </c>
      <c r="AB577" s="539"/>
      <c r="AC577" s="539"/>
      <c r="AD577" s="539">
        <v>0</v>
      </c>
      <c r="AE577" s="539"/>
      <c r="AF577" s="539"/>
      <c r="AG577" s="539">
        <v>0</v>
      </c>
      <c r="AH577" s="539"/>
      <c r="AI577" s="539"/>
      <c r="AJ577" s="539">
        <v>0</v>
      </c>
      <c r="AK577" s="539"/>
      <c r="AL577" s="539"/>
      <c r="AM577" s="63">
        <f>40000000+2649900</f>
        <v>42649900</v>
      </c>
      <c r="AN577" s="63">
        <v>15840000</v>
      </c>
      <c r="AO577" s="63">
        <v>5280000</v>
      </c>
      <c r="AP577" s="540"/>
      <c r="AQ577" s="540"/>
      <c r="AR577" s="540"/>
      <c r="AS577" s="539">
        <v>0</v>
      </c>
      <c r="AT577" s="539"/>
      <c r="AU577" s="539"/>
      <c r="AV577" s="539">
        <v>0</v>
      </c>
      <c r="AW577" s="539"/>
      <c r="AX577" s="539"/>
      <c r="AY577" s="539"/>
      <c r="AZ577" s="539"/>
      <c r="BA577" s="539"/>
      <c r="BB577" s="539"/>
      <c r="BC577" s="539"/>
      <c r="BD577" s="539"/>
      <c r="BE577" s="539">
        <v>0</v>
      </c>
      <c r="BF577" s="539"/>
      <c r="BG577" s="539"/>
      <c r="BH577" s="539">
        <v>0</v>
      </c>
      <c r="BI577" s="539"/>
      <c r="BJ577" s="539"/>
      <c r="BK577" s="540">
        <v>0</v>
      </c>
      <c r="BL577" s="540"/>
      <c r="BM577" s="540"/>
      <c r="BN577" s="553"/>
      <c r="BO577" s="553"/>
      <c r="BP577" s="553"/>
      <c r="BQ577" s="539">
        <v>0</v>
      </c>
      <c r="BR577" s="541"/>
      <c r="BS577" s="541"/>
      <c r="BT577" s="541"/>
      <c r="BU577" s="541"/>
      <c r="BV577" s="541"/>
      <c r="BW577" s="541">
        <v>0</v>
      </c>
      <c r="BX577" s="541"/>
      <c r="BY577" s="541"/>
      <c r="BZ577" s="539">
        <f t="shared" ref="BZ577:BZ579" si="529">R577+U577+X577+AA577+AD577+AG577+AJ577+AM577+AP577+AS577+AV577+AY577+BB577+BE577+BH577+BK577+BN577+BQ577+BT577+BW577</f>
        <v>42649900</v>
      </c>
      <c r="CA577" s="539">
        <f t="shared" ref="CA577:CA579" si="530">S577+V577+Y577+AB577+AE577+AH577+AK577+AN577+AQ577+AT577+AW577+AZ577+BC577+BF577+BI577+BL577+BO577+BR577+BU577+BX577</f>
        <v>15840000</v>
      </c>
      <c r="CB577" s="539">
        <f t="shared" ref="CB577:CB579" si="531">T577+W577+Z577+AC577+AF577+AI577+AL577+AO577+AR577+AU577+AX577+BA577+BD577+BG577+BJ577+BM577+BP577+BS577+BV577+BY577</f>
        <v>5280000</v>
      </c>
    </row>
    <row r="578" spans="1:80" s="11" customFormat="1" ht="74.25" customHeight="1" x14ac:dyDescent="0.2">
      <c r="A578" s="256"/>
      <c r="B578" s="54"/>
      <c r="C578" s="857"/>
      <c r="D578" s="857"/>
      <c r="E578" s="857"/>
      <c r="F578" s="857"/>
      <c r="G578" s="312"/>
      <c r="H578" s="65">
        <v>137</v>
      </c>
      <c r="I578" s="56" t="s">
        <v>687</v>
      </c>
      <c r="J578" s="57">
        <v>0</v>
      </c>
      <c r="K578" s="413">
        <v>12</v>
      </c>
      <c r="L578" s="413">
        <v>2</v>
      </c>
      <c r="M578" s="851"/>
      <c r="N578" s="923"/>
      <c r="O578" s="857"/>
      <c r="P578" s="854"/>
      <c r="Q578" s="57" t="s">
        <v>51</v>
      </c>
      <c r="R578" s="539">
        <v>0</v>
      </c>
      <c r="S578" s="539"/>
      <c r="T578" s="539"/>
      <c r="U578" s="539">
        <v>0</v>
      </c>
      <c r="V578" s="539"/>
      <c r="W578" s="539"/>
      <c r="X578" s="539">
        <v>0</v>
      </c>
      <c r="Y578" s="539"/>
      <c r="Z578" s="539"/>
      <c r="AA578" s="539">
        <v>0</v>
      </c>
      <c r="AB578" s="539"/>
      <c r="AC578" s="539"/>
      <c r="AD578" s="539">
        <v>0</v>
      </c>
      <c r="AE578" s="539"/>
      <c r="AF578" s="539"/>
      <c r="AG578" s="539">
        <v>0</v>
      </c>
      <c r="AH578" s="539"/>
      <c r="AI578" s="539"/>
      <c r="AJ578" s="539">
        <v>0</v>
      </c>
      <c r="AK578" s="539"/>
      <c r="AL578" s="539"/>
      <c r="AM578" s="63">
        <f>30000000+23000000</f>
        <v>53000000</v>
      </c>
      <c r="AN578" s="63">
        <v>26400000</v>
      </c>
      <c r="AO578" s="63">
        <v>10560000</v>
      </c>
      <c r="AP578" s="540"/>
      <c r="AQ578" s="540"/>
      <c r="AR578" s="540"/>
      <c r="AS578" s="539">
        <v>0</v>
      </c>
      <c r="AT578" s="539"/>
      <c r="AU578" s="539"/>
      <c r="AV578" s="539">
        <v>0</v>
      </c>
      <c r="AW578" s="539"/>
      <c r="AX578" s="539"/>
      <c r="AY578" s="539"/>
      <c r="AZ578" s="539"/>
      <c r="BA578" s="539"/>
      <c r="BB578" s="539"/>
      <c r="BC578" s="539"/>
      <c r="BD578" s="539"/>
      <c r="BE578" s="539">
        <v>0</v>
      </c>
      <c r="BF578" s="539"/>
      <c r="BG578" s="539"/>
      <c r="BH578" s="539">
        <v>0</v>
      </c>
      <c r="BI578" s="539"/>
      <c r="BJ578" s="539"/>
      <c r="BK578" s="540">
        <v>0</v>
      </c>
      <c r="BL578" s="540"/>
      <c r="BM578" s="540"/>
      <c r="BN578" s="553"/>
      <c r="BO578" s="553"/>
      <c r="BP578" s="553"/>
      <c r="BQ578" s="539">
        <v>0</v>
      </c>
      <c r="BR578" s="541"/>
      <c r="BS578" s="541"/>
      <c r="BT578" s="541"/>
      <c r="BU578" s="541"/>
      <c r="BV578" s="541"/>
      <c r="BW578" s="541">
        <v>0</v>
      </c>
      <c r="BX578" s="541"/>
      <c r="BY578" s="541"/>
      <c r="BZ578" s="539">
        <f t="shared" si="529"/>
        <v>53000000</v>
      </c>
      <c r="CA578" s="539">
        <f t="shared" si="530"/>
        <v>26400000</v>
      </c>
      <c r="CB578" s="539">
        <f t="shared" si="531"/>
        <v>10560000</v>
      </c>
    </row>
    <row r="579" spans="1:80" s="11" customFormat="1" ht="109.5" customHeight="1" x14ac:dyDescent="0.2">
      <c r="A579" s="256"/>
      <c r="B579" s="54"/>
      <c r="C579" s="857"/>
      <c r="D579" s="857"/>
      <c r="E579" s="857"/>
      <c r="F579" s="857"/>
      <c r="G579" s="312"/>
      <c r="H579" s="65">
        <v>138</v>
      </c>
      <c r="I579" s="56" t="s">
        <v>688</v>
      </c>
      <c r="J579" s="57" t="s">
        <v>42</v>
      </c>
      <c r="K579" s="237">
        <v>12</v>
      </c>
      <c r="L579" s="237">
        <v>3</v>
      </c>
      <c r="M579" s="852"/>
      <c r="N579" s="924"/>
      <c r="O579" s="858"/>
      <c r="P579" s="855"/>
      <c r="Q579" s="57" t="s">
        <v>51</v>
      </c>
      <c r="R579" s="539">
        <v>0</v>
      </c>
      <c r="S579" s="539"/>
      <c r="T579" s="539"/>
      <c r="U579" s="539">
        <v>0</v>
      </c>
      <c r="V579" s="539"/>
      <c r="W579" s="539"/>
      <c r="X579" s="539">
        <v>0</v>
      </c>
      <c r="Y579" s="539"/>
      <c r="Z579" s="539"/>
      <c r="AA579" s="539">
        <v>0</v>
      </c>
      <c r="AB579" s="539"/>
      <c r="AC579" s="539"/>
      <c r="AD579" s="539">
        <v>0</v>
      </c>
      <c r="AE579" s="539"/>
      <c r="AF579" s="539"/>
      <c r="AG579" s="539">
        <v>0</v>
      </c>
      <c r="AH579" s="539"/>
      <c r="AI579" s="539"/>
      <c r="AJ579" s="539">
        <v>0</v>
      </c>
      <c r="AK579" s="539"/>
      <c r="AL579" s="539"/>
      <c r="AM579" s="63">
        <f>30000000+23000000</f>
        <v>53000000</v>
      </c>
      <c r="AN579" s="63">
        <v>26400000</v>
      </c>
      <c r="AO579" s="63">
        <v>5280000</v>
      </c>
      <c r="AP579" s="540"/>
      <c r="AQ579" s="540"/>
      <c r="AR579" s="540"/>
      <c r="AS579" s="539">
        <v>0</v>
      </c>
      <c r="AT579" s="539"/>
      <c r="AU579" s="539"/>
      <c r="AV579" s="539">
        <v>0</v>
      </c>
      <c r="AW579" s="539"/>
      <c r="AX579" s="539"/>
      <c r="AY579" s="539"/>
      <c r="AZ579" s="539"/>
      <c r="BA579" s="539"/>
      <c r="BB579" s="539"/>
      <c r="BC579" s="539"/>
      <c r="BD579" s="539"/>
      <c r="BE579" s="539">
        <v>0</v>
      </c>
      <c r="BF579" s="539"/>
      <c r="BG579" s="539"/>
      <c r="BH579" s="539">
        <v>0</v>
      </c>
      <c r="BI579" s="539"/>
      <c r="BJ579" s="539"/>
      <c r="BK579" s="540">
        <v>0</v>
      </c>
      <c r="BL579" s="540"/>
      <c r="BM579" s="540"/>
      <c r="BN579" s="553"/>
      <c r="BO579" s="553"/>
      <c r="BP579" s="553"/>
      <c r="BQ579" s="539">
        <v>0</v>
      </c>
      <c r="BR579" s="541"/>
      <c r="BS579" s="541"/>
      <c r="BT579" s="541"/>
      <c r="BU579" s="541"/>
      <c r="BV579" s="541"/>
      <c r="BW579" s="541">
        <v>0</v>
      </c>
      <c r="BX579" s="541"/>
      <c r="BY579" s="541"/>
      <c r="BZ579" s="539">
        <f t="shared" si="529"/>
        <v>53000000</v>
      </c>
      <c r="CA579" s="539">
        <f t="shared" si="530"/>
        <v>26400000</v>
      </c>
      <c r="CB579" s="539">
        <f t="shared" si="531"/>
        <v>5280000</v>
      </c>
    </row>
    <row r="580" spans="1:80" s="459" customFormat="1" ht="15.75" x14ac:dyDescent="0.2">
      <c r="A580" s="256"/>
      <c r="B580" s="54"/>
      <c r="C580" s="510"/>
      <c r="D580" s="209"/>
      <c r="E580" s="259"/>
      <c r="F580" s="259"/>
      <c r="G580" s="234"/>
      <c r="H580" s="239"/>
      <c r="I580" s="77"/>
      <c r="J580" s="78"/>
      <c r="K580" s="105"/>
      <c r="L580" s="105"/>
      <c r="M580" s="105"/>
      <c r="N580" s="239"/>
      <c r="O580" s="78"/>
      <c r="P580" s="295"/>
      <c r="Q580" s="78"/>
      <c r="R580" s="548">
        <f t="shared" ref="R580:BZ580" si="532">SUM(R577:R579)</f>
        <v>0</v>
      </c>
      <c r="S580" s="548">
        <f t="shared" si="532"/>
        <v>0</v>
      </c>
      <c r="T580" s="548">
        <f t="shared" si="532"/>
        <v>0</v>
      </c>
      <c r="U580" s="548">
        <f t="shared" si="532"/>
        <v>0</v>
      </c>
      <c r="V580" s="548">
        <f t="shared" si="532"/>
        <v>0</v>
      </c>
      <c r="W580" s="548">
        <f t="shared" si="532"/>
        <v>0</v>
      </c>
      <c r="X580" s="548">
        <f t="shared" si="532"/>
        <v>0</v>
      </c>
      <c r="Y580" s="548">
        <f t="shared" si="532"/>
        <v>0</v>
      </c>
      <c r="Z580" s="548">
        <f t="shared" si="532"/>
        <v>0</v>
      </c>
      <c r="AA580" s="548">
        <f t="shared" si="532"/>
        <v>0</v>
      </c>
      <c r="AB580" s="548">
        <f t="shared" si="532"/>
        <v>0</v>
      </c>
      <c r="AC580" s="548">
        <f t="shared" si="532"/>
        <v>0</v>
      </c>
      <c r="AD580" s="548">
        <f t="shared" si="532"/>
        <v>0</v>
      </c>
      <c r="AE580" s="548">
        <f t="shared" si="532"/>
        <v>0</v>
      </c>
      <c r="AF580" s="548">
        <f t="shared" si="532"/>
        <v>0</v>
      </c>
      <c r="AG580" s="548">
        <f t="shared" si="532"/>
        <v>0</v>
      </c>
      <c r="AH580" s="548">
        <f t="shared" si="532"/>
        <v>0</v>
      </c>
      <c r="AI580" s="548">
        <f t="shared" si="532"/>
        <v>0</v>
      </c>
      <c r="AJ580" s="548">
        <f t="shared" si="532"/>
        <v>0</v>
      </c>
      <c r="AK580" s="548">
        <f t="shared" si="532"/>
        <v>0</v>
      </c>
      <c r="AL580" s="548">
        <f t="shared" si="532"/>
        <v>0</v>
      </c>
      <c r="AM580" s="548">
        <f t="shared" si="532"/>
        <v>148649900</v>
      </c>
      <c r="AN580" s="548">
        <f t="shared" si="532"/>
        <v>68640000</v>
      </c>
      <c r="AO580" s="548">
        <f t="shared" si="532"/>
        <v>21120000</v>
      </c>
      <c r="AP580" s="548">
        <f t="shared" si="532"/>
        <v>0</v>
      </c>
      <c r="AQ580" s="548">
        <f t="shared" si="532"/>
        <v>0</v>
      </c>
      <c r="AR580" s="548">
        <f t="shared" si="532"/>
        <v>0</v>
      </c>
      <c r="AS580" s="548">
        <f t="shared" si="532"/>
        <v>0</v>
      </c>
      <c r="AT580" s="548">
        <f t="shared" si="532"/>
        <v>0</v>
      </c>
      <c r="AU580" s="548">
        <f t="shared" si="532"/>
        <v>0</v>
      </c>
      <c r="AV580" s="548">
        <f t="shared" si="532"/>
        <v>0</v>
      </c>
      <c r="AW580" s="548">
        <f t="shared" si="532"/>
        <v>0</v>
      </c>
      <c r="AX580" s="548">
        <f t="shared" si="532"/>
        <v>0</v>
      </c>
      <c r="AY580" s="548">
        <f t="shared" si="532"/>
        <v>0</v>
      </c>
      <c r="AZ580" s="548">
        <f t="shared" si="532"/>
        <v>0</v>
      </c>
      <c r="BA580" s="548">
        <f t="shared" si="532"/>
        <v>0</v>
      </c>
      <c r="BB580" s="548">
        <f t="shared" si="532"/>
        <v>0</v>
      </c>
      <c r="BC580" s="548">
        <f t="shared" si="532"/>
        <v>0</v>
      </c>
      <c r="BD580" s="548">
        <f t="shared" si="532"/>
        <v>0</v>
      </c>
      <c r="BE580" s="548">
        <f t="shared" si="532"/>
        <v>0</v>
      </c>
      <c r="BF580" s="548">
        <f t="shared" si="532"/>
        <v>0</v>
      </c>
      <c r="BG580" s="548">
        <f t="shared" si="532"/>
        <v>0</v>
      </c>
      <c r="BH580" s="548">
        <f t="shared" si="532"/>
        <v>0</v>
      </c>
      <c r="BI580" s="548">
        <f t="shared" si="532"/>
        <v>0</v>
      </c>
      <c r="BJ580" s="548">
        <f t="shared" si="532"/>
        <v>0</v>
      </c>
      <c r="BK580" s="548">
        <f t="shared" si="532"/>
        <v>0</v>
      </c>
      <c r="BL580" s="548">
        <f t="shared" si="532"/>
        <v>0</v>
      </c>
      <c r="BM580" s="548">
        <f t="shared" si="532"/>
        <v>0</v>
      </c>
      <c r="BN580" s="548">
        <f t="shared" si="532"/>
        <v>0</v>
      </c>
      <c r="BO580" s="548">
        <f t="shared" si="532"/>
        <v>0</v>
      </c>
      <c r="BP580" s="548">
        <f t="shared" si="532"/>
        <v>0</v>
      </c>
      <c r="BQ580" s="548">
        <f t="shared" si="532"/>
        <v>0</v>
      </c>
      <c r="BR580" s="548">
        <f t="shared" si="532"/>
        <v>0</v>
      </c>
      <c r="BS580" s="548">
        <f t="shared" si="532"/>
        <v>0</v>
      </c>
      <c r="BT580" s="548">
        <f t="shared" si="532"/>
        <v>0</v>
      </c>
      <c r="BU580" s="548">
        <f t="shared" si="532"/>
        <v>0</v>
      </c>
      <c r="BV580" s="548">
        <f t="shared" si="532"/>
        <v>0</v>
      </c>
      <c r="BW580" s="548">
        <f t="shared" si="532"/>
        <v>0</v>
      </c>
      <c r="BX580" s="548">
        <f t="shared" si="532"/>
        <v>0</v>
      </c>
      <c r="BY580" s="548">
        <f t="shared" si="532"/>
        <v>0</v>
      </c>
      <c r="BZ580" s="548">
        <f t="shared" si="532"/>
        <v>148649900</v>
      </c>
      <c r="CA580" s="548">
        <f t="shared" ref="CA580:CB580" si="533">SUM(CA577:CA579)</f>
        <v>68640000</v>
      </c>
      <c r="CB580" s="548">
        <f t="shared" si="533"/>
        <v>21120000</v>
      </c>
    </row>
    <row r="581" spans="1:80" s="459" customFormat="1" ht="15.75" x14ac:dyDescent="0.2">
      <c r="A581" s="256"/>
      <c r="B581" s="54"/>
      <c r="C581" s="92"/>
      <c r="D581" s="91"/>
      <c r="E581" s="92"/>
      <c r="F581" s="92"/>
      <c r="G581" s="91"/>
      <c r="H581" s="92"/>
      <c r="I581" s="91"/>
      <c r="J581" s="92"/>
      <c r="K581" s="318"/>
      <c r="L581" s="414"/>
      <c r="M581" s="414"/>
      <c r="N581" s="125"/>
      <c r="O581" s="499"/>
      <c r="P581" s="124"/>
      <c r="Q581" s="92"/>
      <c r="R581" s="543"/>
      <c r="S581" s="543"/>
      <c r="T581" s="543"/>
      <c r="U581" s="543"/>
      <c r="V581" s="543"/>
      <c r="W581" s="543"/>
      <c r="X581" s="543"/>
      <c r="Y581" s="543"/>
      <c r="Z581" s="543"/>
      <c r="AA581" s="543"/>
      <c r="AB581" s="543"/>
      <c r="AC581" s="543"/>
      <c r="AD581" s="543"/>
      <c r="AE581" s="543"/>
      <c r="AF581" s="543"/>
      <c r="AG581" s="543"/>
      <c r="AH581" s="543"/>
      <c r="AI581" s="543"/>
      <c r="AJ581" s="543"/>
      <c r="AK581" s="543"/>
      <c r="AL581" s="543"/>
      <c r="AM581" s="543"/>
      <c r="AN581" s="543"/>
      <c r="AO581" s="543"/>
      <c r="AP581" s="543"/>
      <c r="AQ581" s="543"/>
      <c r="AR581" s="543"/>
      <c r="AS581" s="543"/>
      <c r="AT581" s="543"/>
      <c r="AU581" s="543"/>
      <c r="AV581" s="543"/>
      <c r="AW581" s="543"/>
      <c r="AX581" s="543"/>
      <c r="AY581" s="543"/>
      <c r="AZ581" s="543"/>
      <c r="BA581" s="543"/>
      <c r="BB581" s="543"/>
      <c r="BC581" s="543"/>
      <c r="BD581" s="543"/>
      <c r="BE581" s="543"/>
      <c r="BF581" s="543"/>
      <c r="BG581" s="543"/>
      <c r="BH581" s="543"/>
      <c r="BI581" s="543"/>
      <c r="BJ581" s="543"/>
      <c r="BK581" s="545"/>
      <c r="BL581" s="545"/>
      <c r="BM581" s="545"/>
      <c r="BN581" s="546"/>
      <c r="BO581" s="546"/>
      <c r="BP581" s="546"/>
      <c r="BQ581" s="543"/>
      <c r="BR581" s="543"/>
      <c r="BS581" s="543"/>
      <c r="BT581" s="543"/>
      <c r="BU581" s="543"/>
      <c r="BV581" s="543"/>
      <c r="BW581" s="543"/>
      <c r="BX581" s="543"/>
      <c r="BY581" s="543"/>
      <c r="BZ581" s="547"/>
      <c r="CA581" s="547"/>
      <c r="CB581" s="547"/>
    </row>
    <row r="582" spans="1:80" s="459" customFormat="1" ht="15.75" x14ac:dyDescent="0.2">
      <c r="A582" s="256"/>
      <c r="B582" s="54"/>
      <c r="C582" s="508"/>
      <c r="D582" s="229"/>
      <c r="E582" s="230"/>
      <c r="F582" s="230"/>
      <c r="G582" s="274">
        <v>39</v>
      </c>
      <c r="H582" s="99" t="s">
        <v>689</v>
      </c>
      <c r="I582" s="100"/>
      <c r="J582" s="100"/>
      <c r="K582" s="114"/>
      <c r="L582" s="114"/>
      <c r="M582" s="114"/>
      <c r="N582" s="100"/>
      <c r="O582" s="212"/>
      <c r="P582" s="100"/>
      <c r="Q582" s="100"/>
      <c r="R582" s="336"/>
      <c r="S582" s="336"/>
      <c r="T582" s="336"/>
      <c r="U582" s="336"/>
      <c r="V582" s="336"/>
      <c r="W582" s="336"/>
      <c r="X582" s="336"/>
      <c r="Y582" s="336"/>
      <c r="Z582" s="336"/>
      <c r="AA582" s="336"/>
      <c r="AB582" s="336"/>
      <c r="AC582" s="336"/>
      <c r="AD582" s="336"/>
      <c r="AE582" s="336"/>
      <c r="AF582" s="336"/>
      <c r="AG582" s="336"/>
      <c r="AH582" s="336"/>
      <c r="AI582" s="336"/>
      <c r="AJ582" s="336"/>
      <c r="AK582" s="336"/>
      <c r="AL582" s="336"/>
      <c r="AM582" s="336"/>
      <c r="AN582" s="336"/>
      <c r="AO582" s="336"/>
      <c r="AP582" s="336"/>
      <c r="AQ582" s="336"/>
      <c r="AR582" s="336"/>
      <c r="AS582" s="336"/>
      <c r="AT582" s="336"/>
      <c r="AU582" s="336"/>
      <c r="AV582" s="336"/>
      <c r="AW582" s="336"/>
      <c r="AX582" s="336"/>
      <c r="AY582" s="336"/>
      <c r="AZ582" s="336"/>
      <c r="BA582" s="336"/>
      <c r="BB582" s="336"/>
      <c r="BC582" s="336"/>
      <c r="BD582" s="336"/>
      <c r="BE582" s="336"/>
      <c r="BF582" s="336"/>
      <c r="BG582" s="336"/>
      <c r="BH582" s="336"/>
      <c r="BI582" s="336"/>
      <c r="BJ582" s="336"/>
      <c r="BK582" s="552"/>
      <c r="BL582" s="552"/>
      <c r="BM582" s="552"/>
      <c r="BN582" s="336"/>
      <c r="BO582" s="336"/>
      <c r="BP582" s="336"/>
      <c r="BQ582" s="336"/>
      <c r="BR582" s="336"/>
      <c r="BS582" s="336"/>
      <c r="BT582" s="336"/>
      <c r="BU582" s="336"/>
      <c r="BV582" s="336"/>
      <c r="BW582" s="336"/>
      <c r="BX582" s="336"/>
      <c r="BY582" s="336"/>
      <c r="BZ582" s="338"/>
      <c r="CA582" s="338"/>
      <c r="CB582" s="338"/>
    </row>
    <row r="583" spans="1:80" s="11" customFormat="1" ht="67.5" customHeight="1" x14ac:dyDescent="0.2">
      <c r="A583" s="256"/>
      <c r="B583" s="54"/>
      <c r="C583" s="510">
        <v>36</v>
      </c>
      <c r="D583" s="139" t="s">
        <v>690</v>
      </c>
      <c r="E583" s="524">
        <v>0.4</v>
      </c>
      <c r="F583" s="524">
        <v>0.6</v>
      </c>
      <c r="G583" s="857"/>
      <c r="H583" s="57">
        <v>139</v>
      </c>
      <c r="I583" s="56" t="s">
        <v>691</v>
      </c>
      <c r="J583" s="57">
        <v>0</v>
      </c>
      <c r="K583" s="132">
        <v>1</v>
      </c>
      <c r="L583" s="133">
        <v>0.4</v>
      </c>
      <c r="M583" s="850">
        <v>2017003630080</v>
      </c>
      <c r="N583" s="857"/>
      <c r="O583" s="856" t="s">
        <v>692</v>
      </c>
      <c r="P583" s="853" t="s">
        <v>693</v>
      </c>
      <c r="Q583" s="57" t="s">
        <v>51</v>
      </c>
      <c r="R583" s="539"/>
      <c r="S583" s="539"/>
      <c r="T583" s="539"/>
      <c r="U583" s="539"/>
      <c r="V583" s="539"/>
      <c r="W583" s="539"/>
      <c r="X583" s="539"/>
      <c r="Y583" s="539"/>
      <c r="Z583" s="539"/>
      <c r="AA583" s="539"/>
      <c r="AB583" s="539"/>
      <c r="AC583" s="539"/>
      <c r="AD583" s="539"/>
      <c r="AE583" s="539"/>
      <c r="AF583" s="539"/>
      <c r="AG583" s="539"/>
      <c r="AH583" s="539"/>
      <c r="AI583" s="539"/>
      <c r="AJ583" s="539"/>
      <c r="AK583" s="539"/>
      <c r="AL583" s="539"/>
      <c r="AM583" s="539">
        <v>72000000</v>
      </c>
      <c r="AN583" s="539">
        <v>66720000</v>
      </c>
      <c r="AO583" s="539">
        <v>19040000</v>
      </c>
      <c r="AP583" s="598"/>
      <c r="AQ583" s="598"/>
      <c r="AR583" s="598"/>
      <c r="AS583" s="539">
        <v>40000000</v>
      </c>
      <c r="AT583" s="539"/>
      <c r="AU583" s="539"/>
      <c r="AV583" s="539"/>
      <c r="AW583" s="539"/>
      <c r="AX583" s="539"/>
      <c r="AY583" s="539"/>
      <c r="AZ583" s="539"/>
      <c r="BA583" s="539"/>
      <c r="BB583" s="539"/>
      <c r="BC583" s="539"/>
      <c r="BD583" s="539"/>
      <c r="BE583" s="539"/>
      <c r="BF583" s="539"/>
      <c r="BG583" s="539"/>
      <c r="BH583" s="539"/>
      <c r="BI583" s="539"/>
      <c r="BJ583" s="539"/>
      <c r="BK583" s="540"/>
      <c r="BL583" s="540"/>
      <c r="BM583" s="540"/>
      <c r="BN583" s="553"/>
      <c r="BO583" s="553"/>
      <c r="BP583" s="553"/>
      <c r="BQ583" s="539"/>
      <c r="BR583" s="541"/>
      <c r="BS583" s="541"/>
      <c r="BT583" s="541"/>
      <c r="BU583" s="541"/>
      <c r="BV583" s="541"/>
      <c r="BW583" s="541"/>
      <c r="BX583" s="541"/>
      <c r="BY583" s="541"/>
      <c r="BZ583" s="539">
        <f t="shared" ref="BZ583:BZ585" si="534">R583+U583+X583+AA583+AD583+AG583+AJ583+AM583+AP583+AS583+AV583+AY583+BB583+BE583+BH583+BK583+BN583+BQ583+BT583+BW583</f>
        <v>112000000</v>
      </c>
      <c r="CA583" s="539">
        <f t="shared" ref="CA583:CA585" si="535">S583+V583+Y583+AB583+AE583+AH583+AK583+AN583+AQ583+AT583+AW583+AZ583+BC583+BF583+BI583+BL583+BO583+BR583+BU583+BX583</f>
        <v>66720000</v>
      </c>
      <c r="CB583" s="539">
        <f t="shared" ref="CB583:CB585" si="536">T583+W583+Z583+AC583+AF583+AI583+AL583+AO583+AR583+AU583+AX583+BA583+BD583+BG583+BJ583+BM583+BP583+BS583+BV583+BY583</f>
        <v>19040000</v>
      </c>
    </row>
    <row r="584" spans="1:80" s="11" customFormat="1" ht="53.25" customHeight="1" x14ac:dyDescent="0.2">
      <c r="A584" s="256"/>
      <c r="B584" s="54"/>
      <c r="C584" s="856" t="s">
        <v>694</v>
      </c>
      <c r="D584" s="853" t="s">
        <v>695</v>
      </c>
      <c r="E584" s="856">
        <v>1</v>
      </c>
      <c r="F584" s="856">
        <v>1</v>
      </c>
      <c r="G584" s="857"/>
      <c r="H584" s="57">
        <v>140</v>
      </c>
      <c r="I584" s="56" t="s">
        <v>696</v>
      </c>
      <c r="J584" s="57">
        <v>1</v>
      </c>
      <c r="K584" s="132">
        <v>1</v>
      </c>
      <c r="L584" s="133">
        <v>0.4</v>
      </c>
      <c r="M584" s="851"/>
      <c r="N584" s="857"/>
      <c r="O584" s="857"/>
      <c r="P584" s="854"/>
      <c r="Q584" s="57" t="s">
        <v>51</v>
      </c>
      <c r="R584" s="539">
        <v>0</v>
      </c>
      <c r="S584" s="539"/>
      <c r="T584" s="539"/>
      <c r="U584" s="539">
        <v>0</v>
      </c>
      <c r="V584" s="539"/>
      <c r="W584" s="539"/>
      <c r="X584" s="539">
        <v>0</v>
      </c>
      <c r="Y584" s="539"/>
      <c r="Z584" s="539"/>
      <c r="AA584" s="539">
        <v>0</v>
      </c>
      <c r="AB584" s="539"/>
      <c r="AC584" s="539"/>
      <c r="AD584" s="539">
        <v>0</v>
      </c>
      <c r="AE584" s="539"/>
      <c r="AF584" s="539"/>
      <c r="AG584" s="539">
        <v>0</v>
      </c>
      <c r="AH584" s="539"/>
      <c r="AI584" s="539"/>
      <c r="AJ584" s="539">
        <v>0</v>
      </c>
      <c r="AK584" s="539"/>
      <c r="AL584" s="539"/>
      <c r="AM584" s="539">
        <v>24000000</v>
      </c>
      <c r="AN584" s="539">
        <v>15840000</v>
      </c>
      <c r="AO584" s="539">
        <v>5280000</v>
      </c>
      <c r="AP584" s="598"/>
      <c r="AQ584" s="598"/>
      <c r="AR584" s="598"/>
      <c r="AS584" s="539">
        <v>2500000</v>
      </c>
      <c r="AT584" s="539"/>
      <c r="AU584" s="539"/>
      <c r="AV584" s="539">
        <v>0</v>
      </c>
      <c r="AW584" s="539"/>
      <c r="AX584" s="539"/>
      <c r="AY584" s="539"/>
      <c r="AZ584" s="539"/>
      <c r="BA584" s="539"/>
      <c r="BB584" s="539"/>
      <c r="BC584" s="539"/>
      <c r="BD584" s="539"/>
      <c r="BE584" s="539">
        <v>0</v>
      </c>
      <c r="BF584" s="539"/>
      <c r="BG584" s="539"/>
      <c r="BH584" s="539">
        <v>0</v>
      </c>
      <c r="BI584" s="539"/>
      <c r="BJ584" s="539"/>
      <c r="BK584" s="540">
        <v>0</v>
      </c>
      <c r="BL584" s="540"/>
      <c r="BM584" s="540"/>
      <c r="BN584" s="553"/>
      <c r="BO584" s="553"/>
      <c r="BP584" s="553"/>
      <c r="BQ584" s="539">
        <v>0</v>
      </c>
      <c r="BR584" s="541"/>
      <c r="BS584" s="541"/>
      <c r="BT584" s="541"/>
      <c r="BU584" s="541"/>
      <c r="BV584" s="541"/>
      <c r="BW584" s="541"/>
      <c r="BX584" s="541"/>
      <c r="BY584" s="541"/>
      <c r="BZ584" s="539">
        <f t="shared" si="534"/>
        <v>26500000</v>
      </c>
      <c r="CA584" s="539">
        <f t="shared" si="535"/>
        <v>15840000</v>
      </c>
      <c r="CB584" s="539">
        <f t="shared" si="536"/>
        <v>5280000</v>
      </c>
    </row>
    <row r="585" spans="1:80" s="11" customFormat="1" ht="64.5" customHeight="1" x14ac:dyDescent="0.2">
      <c r="A585" s="256"/>
      <c r="B585" s="54"/>
      <c r="C585" s="857"/>
      <c r="D585" s="854"/>
      <c r="E585" s="857"/>
      <c r="F585" s="857"/>
      <c r="G585" s="858"/>
      <c r="H585" s="57">
        <v>141</v>
      </c>
      <c r="I585" s="56" t="s">
        <v>697</v>
      </c>
      <c r="J585" s="57" t="s">
        <v>42</v>
      </c>
      <c r="K585" s="132">
        <v>1</v>
      </c>
      <c r="L585" s="133">
        <v>0.4</v>
      </c>
      <c r="M585" s="852"/>
      <c r="N585" s="858"/>
      <c r="O585" s="858"/>
      <c r="P585" s="855"/>
      <c r="Q585" s="57" t="s">
        <v>51</v>
      </c>
      <c r="R585" s="539">
        <v>0</v>
      </c>
      <c r="S585" s="539"/>
      <c r="T585" s="539"/>
      <c r="U585" s="539">
        <v>0</v>
      </c>
      <c r="V585" s="539"/>
      <c r="W585" s="539"/>
      <c r="X585" s="539">
        <v>0</v>
      </c>
      <c r="Y585" s="539"/>
      <c r="Z585" s="539"/>
      <c r="AA585" s="539">
        <v>0</v>
      </c>
      <c r="AB585" s="539"/>
      <c r="AC585" s="539"/>
      <c r="AD585" s="539">
        <v>0</v>
      </c>
      <c r="AE585" s="539"/>
      <c r="AF585" s="539"/>
      <c r="AG585" s="539">
        <v>0</v>
      </c>
      <c r="AH585" s="539"/>
      <c r="AI585" s="539"/>
      <c r="AJ585" s="539">
        <v>0</v>
      </c>
      <c r="AK585" s="539"/>
      <c r="AL585" s="539"/>
      <c r="AM585" s="539">
        <v>24000000</v>
      </c>
      <c r="AN585" s="539">
        <v>15840000</v>
      </c>
      <c r="AO585" s="539">
        <v>5280000</v>
      </c>
      <c r="AP585" s="598"/>
      <c r="AQ585" s="598"/>
      <c r="AR585" s="598"/>
      <c r="AS585" s="539">
        <v>2500000</v>
      </c>
      <c r="AT585" s="539"/>
      <c r="AU585" s="539"/>
      <c r="AV585" s="539">
        <v>0</v>
      </c>
      <c r="AW585" s="539"/>
      <c r="AX585" s="539"/>
      <c r="AY585" s="539"/>
      <c r="AZ585" s="539"/>
      <c r="BA585" s="539"/>
      <c r="BB585" s="539"/>
      <c r="BC585" s="539"/>
      <c r="BD585" s="539"/>
      <c r="BE585" s="539">
        <v>0</v>
      </c>
      <c r="BF585" s="539"/>
      <c r="BG585" s="539"/>
      <c r="BH585" s="539">
        <v>0</v>
      </c>
      <c r="BI585" s="539"/>
      <c r="BJ585" s="539"/>
      <c r="BK585" s="540">
        <v>0</v>
      </c>
      <c r="BL585" s="540"/>
      <c r="BM585" s="540"/>
      <c r="BN585" s="553"/>
      <c r="BO585" s="553"/>
      <c r="BP585" s="553"/>
      <c r="BQ585" s="539">
        <v>0</v>
      </c>
      <c r="BR585" s="541"/>
      <c r="BS585" s="541"/>
      <c r="BT585" s="541"/>
      <c r="BU585" s="541"/>
      <c r="BV585" s="541"/>
      <c r="BW585" s="541"/>
      <c r="BX585" s="541"/>
      <c r="BY585" s="541"/>
      <c r="BZ585" s="539">
        <f t="shared" si="534"/>
        <v>26500000</v>
      </c>
      <c r="CA585" s="539">
        <f t="shared" si="535"/>
        <v>15840000</v>
      </c>
      <c r="CB585" s="539">
        <f t="shared" si="536"/>
        <v>5280000</v>
      </c>
    </row>
    <row r="586" spans="1:80" s="459" customFormat="1" ht="15.75" x14ac:dyDescent="0.2">
      <c r="A586" s="256"/>
      <c r="B586" s="54"/>
      <c r="C586" s="510"/>
      <c r="D586" s="209"/>
      <c r="E586" s="259"/>
      <c r="F586" s="259"/>
      <c r="G586" s="77"/>
      <c r="H586" s="78"/>
      <c r="I586" s="77"/>
      <c r="J586" s="78"/>
      <c r="K586" s="165"/>
      <c r="L586" s="165"/>
      <c r="M586" s="165"/>
      <c r="N586" s="78"/>
      <c r="O586" s="78"/>
      <c r="P586" s="77"/>
      <c r="Q586" s="78"/>
      <c r="R586" s="548">
        <f t="shared" ref="R586:BZ586" si="537">SUM(R583:R585)</f>
        <v>0</v>
      </c>
      <c r="S586" s="548">
        <f t="shared" si="537"/>
        <v>0</v>
      </c>
      <c r="T586" s="548">
        <f t="shared" si="537"/>
        <v>0</v>
      </c>
      <c r="U586" s="548">
        <f t="shared" si="537"/>
        <v>0</v>
      </c>
      <c r="V586" s="548">
        <f t="shared" si="537"/>
        <v>0</v>
      </c>
      <c r="W586" s="548">
        <f t="shared" si="537"/>
        <v>0</v>
      </c>
      <c r="X586" s="548">
        <f t="shared" si="537"/>
        <v>0</v>
      </c>
      <c r="Y586" s="548">
        <f t="shared" si="537"/>
        <v>0</v>
      </c>
      <c r="Z586" s="548">
        <f t="shared" si="537"/>
        <v>0</v>
      </c>
      <c r="AA586" s="548">
        <f t="shared" si="537"/>
        <v>0</v>
      </c>
      <c r="AB586" s="548">
        <f t="shared" si="537"/>
        <v>0</v>
      </c>
      <c r="AC586" s="548">
        <f t="shared" si="537"/>
        <v>0</v>
      </c>
      <c r="AD586" s="548">
        <f t="shared" si="537"/>
        <v>0</v>
      </c>
      <c r="AE586" s="548">
        <f t="shared" si="537"/>
        <v>0</v>
      </c>
      <c r="AF586" s="548">
        <f t="shared" si="537"/>
        <v>0</v>
      </c>
      <c r="AG586" s="548">
        <f t="shared" si="537"/>
        <v>0</v>
      </c>
      <c r="AH586" s="548">
        <f t="shared" si="537"/>
        <v>0</v>
      </c>
      <c r="AI586" s="548">
        <f t="shared" si="537"/>
        <v>0</v>
      </c>
      <c r="AJ586" s="548">
        <f t="shared" si="537"/>
        <v>0</v>
      </c>
      <c r="AK586" s="548">
        <f t="shared" si="537"/>
        <v>0</v>
      </c>
      <c r="AL586" s="548">
        <f t="shared" si="537"/>
        <v>0</v>
      </c>
      <c r="AM586" s="548">
        <f t="shared" si="537"/>
        <v>120000000</v>
      </c>
      <c r="AN586" s="548">
        <f t="shared" si="537"/>
        <v>98400000</v>
      </c>
      <c r="AO586" s="548">
        <f t="shared" si="537"/>
        <v>29600000</v>
      </c>
      <c r="AP586" s="548">
        <f t="shared" si="537"/>
        <v>0</v>
      </c>
      <c r="AQ586" s="548">
        <f t="shared" si="537"/>
        <v>0</v>
      </c>
      <c r="AR586" s="548">
        <f t="shared" si="537"/>
        <v>0</v>
      </c>
      <c r="AS586" s="548">
        <f t="shared" si="537"/>
        <v>45000000</v>
      </c>
      <c r="AT586" s="548">
        <f t="shared" si="537"/>
        <v>0</v>
      </c>
      <c r="AU586" s="548">
        <f t="shared" si="537"/>
        <v>0</v>
      </c>
      <c r="AV586" s="548">
        <f t="shared" si="537"/>
        <v>0</v>
      </c>
      <c r="AW586" s="548">
        <f t="shared" si="537"/>
        <v>0</v>
      </c>
      <c r="AX586" s="548">
        <f t="shared" si="537"/>
        <v>0</v>
      </c>
      <c r="AY586" s="548">
        <f t="shared" si="537"/>
        <v>0</v>
      </c>
      <c r="AZ586" s="548">
        <f t="shared" si="537"/>
        <v>0</v>
      </c>
      <c r="BA586" s="548">
        <f t="shared" si="537"/>
        <v>0</v>
      </c>
      <c r="BB586" s="548">
        <f t="shared" si="537"/>
        <v>0</v>
      </c>
      <c r="BC586" s="548">
        <f t="shared" si="537"/>
        <v>0</v>
      </c>
      <c r="BD586" s="548">
        <f t="shared" si="537"/>
        <v>0</v>
      </c>
      <c r="BE586" s="548">
        <f t="shared" si="537"/>
        <v>0</v>
      </c>
      <c r="BF586" s="548">
        <f t="shared" si="537"/>
        <v>0</v>
      </c>
      <c r="BG586" s="548">
        <f t="shared" si="537"/>
        <v>0</v>
      </c>
      <c r="BH586" s="548">
        <f t="shared" si="537"/>
        <v>0</v>
      </c>
      <c r="BI586" s="548">
        <f t="shared" si="537"/>
        <v>0</v>
      </c>
      <c r="BJ586" s="548">
        <f t="shared" si="537"/>
        <v>0</v>
      </c>
      <c r="BK586" s="548">
        <f t="shared" si="537"/>
        <v>0</v>
      </c>
      <c r="BL586" s="548">
        <f t="shared" si="537"/>
        <v>0</v>
      </c>
      <c r="BM586" s="548">
        <f t="shared" si="537"/>
        <v>0</v>
      </c>
      <c r="BN586" s="548">
        <f t="shared" si="537"/>
        <v>0</v>
      </c>
      <c r="BO586" s="548">
        <f t="shared" si="537"/>
        <v>0</v>
      </c>
      <c r="BP586" s="548">
        <f t="shared" si="537"/>
        <v>0</v>
      </c>
      <c r="BQ586" s="548">
        <f t="shared" si="537"/>
        <v>0</v>
      </c>
      <c r="BR586" s="548">
        <f t="shared" si="537"/>
        <v>0</v>
      </c>
      <c r="BS586" s="548">
        <f t="shared" si="537"/>
        <v>0</v>
      </c>
      <c r="BT586" s="548">
        <f t="shared" si="537"/>
        <v>0</v>
      </c>
      <c r="BU586" s="548">
        <f t="shared" si="537"/>
        <v>0</v>
      </c>
      <c r="BV586" s="548">
        <f t="shared" si="537"/>
        <v>0</v>
      </c>
      <c r="BW586" s="548">
        <f t="shared" si="537"/>
        <v>0</v>
      </c>
      <c r="BX586" s="548">
        <f t="shared" si="537"/>
        <v>0</v>
      </c>
      <c r="BY586" s="548">
        <f t="shared" si="537"/>
        <v>0</v>
      </c>
      <c r="BZ586" s="548">
        <f t="shared" si="537"/>
        <v>165000000</v>
      </c>
      <c r="CA586" s="548">
        <f t="shared" ref="CA586:CB586" si="538">SUM(CA583:CA585)</f>
        <v>98400000</v>
      </c>
      <c r="CB586" s="548">
        <f t="shared" si="538"/>
        <v>29600000</v>
      </c>
    </row>
    <row r="587" spans="1:80" s="459" customFormat="1" ht="15.75" x14ac:dyDescent="0.2">
      <c r="A587" s="256"/>
      <c r="B587" s="54"/>
      <c r="C587" s="92"/>
      <c r="D587" s="91"/>
      <c r="E587" s="92"/>
      <c r="F587" s="92"/>
      <c r="G587" s="91"/>
      <c r="H587" s="92"/>
      <c r="I587" s="91"/>
      <c r="J587" s="92"/>
      <c r="K587" s="184"/>
      <c r="L587" s="334"/>
      <c r="M587" s="334"/>
      <c r="N587" s="125"/>
      <c r="O587" s="499"/>
      <c r="P587" s="124"/>
      <c r="Q587" s="92"/>
      <c r="R587" s="543"/>
      <c r="S587" s="543"/>
      <c r="T587" s="543"/>
      <c r="U587" s="543"/>
      <c r="V587" s="543"/>
      <c r="W587" s="543"/>
      <c r="X587" s="543"/>
      <c r="Y587" s="543"/>
      <c r="Z587" s="543"/>
      <c r="AA587" s="543"/>
      <c r="AB587" s="543"/>
      <c r="AC587" s="543"/>
      <c r="AD587" s="543"/>
      <c r="AE587" s="543"/>
      <c r="AF587" s="543"/>
      <c r="AG587" s="543"/>
      <c r="AH587" s="543"/>
      <c r="AI587" s="543"/>
      <c r="AJ587" s="543"/>
      <c r="AK587" s="543"/>
      <c r="AL587" s="543"/>
      <c r="AM587" s="543"/>
      <c r="AN587" s="543"/>
      <c r="AO587" s="543"/>
      <c r="AP587" s="543"/>
      <c r="AQ587" s="543"/>
      <c r="AR587" s="543"/>
      <c r="AS587" s="543"/>
      <c r="AT587" s="543"/>
      <c r="AU587" s="543"/>
      <c r="AV587" s="543"/>
      <c r="AW587" s="543"/>
      <c r="AX587" s="543"/>
      <c r="AY587" s="543"/>
      <c r="AZ587" s="543"/>
      <c r="BA587" s="543"/>
      <c r="BB587" s="543"/>
      <c r="BC587" s="543"/>
      <c r="BD587" s="543"/>
      <c r="BE587" s="543"/>
      <c r="BF587" s="543"/>
      <c r="BG587" s="543"/>
      <c r="BH587" s="543"/>
      <c r="BI587" s="543"/>
      <c r="BJ587" s="543"/>
      <c r="BK587" s="545"/>
      <c r="BL587" s="545"/>
      <c r="BM587" s="545"/>
      <c r="BN587" s="546"/>
      <c r="BO587" s="546"/>
      <c r="BP587" s="546"/>
      <c r="BQ587" s="543"/>
      <c r="BR587" s="543"/>
      <c r="BS587" s="543"/>
      <c r="BT587" s="543"/>
      <c r="BU587" s="543"/>
      <c r="BV587" s="543"/>
      <c r="BW587" s="544"/>
      <c r="BX587" s="544"/>
      <c r="BY587" s="544"/>
      <c r="BZ587" s="547"/>
      <c r="CA587" s="547"/>
      <c r="CB587" s="547"/>
    </row>
    <row r="588" spans="1:80" s="459" customFormat="1" ht="15.75" x14ac:dyDescent="0.2">
      <c r="A588" s="256"/>
      <c r="B588" s="54"/>
      <c r="C588" s="508"/>
      <c r="D588" s="229"/>
      <c r="E588" s="230"/>
      <c r="F588" s="230"/>
      <c r="G588" s="274">
        <v>40</v>
      </c>
      <c r="H588" s="100" t="s">
        <v>698</v>
      </c>
      <c r="I588" s="100"/>
      <c r="J588" s="100"/>
      <c r="K588" s="155"/>
      <c r="L588" s="155"/>
      <c r="M588" s="155"/>
      <c r="N588" s="100"/>
      <c r="O588" s="212"/>
      <c r="P588" s="100"/>
      <c r="Q588" s="100"/>
      <c r="R588" s="336"/>
      <c r="S588" s="336"/>
      <c r="T588" s="336"/>
      <c r="U588" s="336"/>
      <c r="V588" s="336"/>
      <c r="W588" s="336"/>
      <c r="X588" s="336"/>
      <c r="Y588" s="336"/>
      <c r="Z588" s="336"/>
      <c r="AA588" s="336"/>
      <c r="AB588" s="336"/>
      <c r="AC588" s="336"/>
      <c r="AD588" s="336"/>
      <c r="AE588" s="336"/>
      <c r="AF588" s="336"/>
      <c r="AG588" s="336"/>
      <c r="AH588" s="336"/>
      <c r="AI588" s="336"/>
      <c r="AJ588" s="336"/>
      <c r="AK588" s="336"/>
      <c r="AL588" s="336"/>
      <c r="AM588" s="336"/>
      <c r="AN588" s="336"/>
      <c r="AO588" s="336"/>
      <c r="AP588" s="336"/>
      <c r="AQ588" s="336"/>
      <c r="AR588" s="336"/>
      <c r="AS588" s="336"/>
      <c r="AT588" s="336"/>
      <c r="AU588" s="336"/>
      <c r="AV588" s="336"/>
      <c r="AW588" s="336"/>
      <c r="AX588" s="336"/>
      <c r="AY588" s="336"/>
      <c r="AZ588" s="336"/>
      <c r="BA588" s="336"/>
      <c r="BB588" s="336"/>
      <c r="BC588" s="336"/>
      <c r="BD588" s="336"/>
      <c r="BE588" s="336"/>
      <c r="BF588" s="336"/>
      <c r="BG588" s="336"/>
      <c r="BH588" s="336"/>
      <c r="BI588" s="336"/>
      <c r="BJ588" s="336"/>
      <c r="BK588" s="552"/>
      <c r="BL588" s="552"/>
      <c r="BM588" s="552"/>
      <c r="BN588" s="336"/>
      <c r="BO588" s="336"/>
      <c r="BP588" s="336"/>
      <c r="BQ588" s="336"/>
      <c r="BR588" s="336"/>
      <c r="BS588" s="336"/>
      <c r="BT588" s="336"/>
      <c r="BU588" s="336"/>
      <c r="BV588" s="336"/>
      <c r="BW588" s="336"/>
      <c r="BX588" s="336"/>
      <c r="BY588" s="336"/>
      <c r="BZ588" s="338"/>
      <c r="CA588" s="338"/>
      <c r="CB588" s="338"/>
    </row>
    <row r="589" spans="1:80" s="11" customFormat="1" ht="93" customHeight="1" x14ac:dyDescent="0.2">
      <c r="A589" s="256"/>
      <c r="B589" s="54"/>
      <c r="C589" s="510">
        <v>26</v>
      </c>
      <c r="D589" s="139" t="s">
        <v>699</v>
      </c>
      <c r="E589" s="510" t="s">
        <v>700</v>
      </c>
      <c r="F589" s="510" t="s">
        <v>701</v>
      </c>
      <c r="G589" s="58"/>
      <c r="H589" s="55">
        <v>142</v>
      </c>
      <c r="I589" s="56" t="s">
        <v>702</v>
      </c>
      <c r="J589" s="57" t="s">
        <v>42</v>
      </c>
      <c r="K589" s="132">
        <v>12</v>
      </c>
      <c r="L589" s="132">
        <v>4</v>
      </c>
      <c r="M589" s="850">
        <v>2017003630106</v>
      </c>
      <c r="N589" s="856" t="s">
        <v>660</v>
      </c>
      <c r="O589" s="856" t="s">
        <v>703</v>
      </c>
      <c r="P589" s="853" t="s">
        <v>704</v>
      </c>
      <c r="Q589" s="57" t="s">
        <v>51</v>
      </c>
      <c r="R589" s="539">
        <v>0</v>
      </c>
      <c r="S589" s="539"/>
      <c r="T589" s="539"/>
      <c r="U589" s="539">
        <v>0</v>
      </c>
      <c r="V589" s="539"/>
      <c r="W589" s="539"/>
      <c r="X589" s="539">
        <v>0</v>
      </c>
      <c r="Y589" s="539"/>
      <c r="Z589" s="539"/>
      <c r="AA589" s="539">
        <v>0</v>
      </c>
      <c r="AB589" s="539"/>
      <c r="AC589" s="539"/>
      <c r="AD589" s="539">
        <v>0</v>
      </c>
      <c r="AE589" s="539"/>
      <c r="AF589" s="539"/>
      <c r="AG589" s="539">
        <v>0</v>
      </c>
      <c r="AH589" s="539"/>
      <c r="AI589" s="539"/>
      <c r="AJ589" s="539">
        <v>0</v>
      </c>
      <c r="AK589" s="539"/>
      <c r="AL589" s="539"/>
      <c r="AM589" s="539">
        <v>80000000</v>
      </c>
      <c r="AN589" s="539">
        <v>65460000</v>
      </c>
      <c r="AO589" s="539">
        <v>7710000</v>
      </c>
      <c r="AP589" s="540"/>
      <c r="AQ589" s="540"/>
      <c r="AR589" s="540"/>
      <c r="AS589" s="539">
        <v>27000000</v>
      </c>
      <c r="AT589" s="539"/>
      <c r="AU589" s="539"/>
      <c r="AV589" s="539">
        <v>0</v>
      </c>
      <c r="AW589" s="539"/>
      <c r="AX589" s="539"/>
      <c r="AY589" s="539"/>
      <c r="AZ589" s="539"/>
      <c r="BA589" s="539"/>
      <c r="BB589" s="539"/>
      <c r="BC589" s="539"/>
      <c r="BD589" s="539"/>
      <c r="BE589" s="539">
        <v>0</v>
      </c>
      <c r="BF589" s="539"/>
      <c r="BG589" s="539"/>
      <c r="BH589" s="539">
        <v>0</v>
      </c>
      <c r="BI589" s="539"/>
      <c r="BJ589" s="539"/>
      <c r="BK589" s="540">
        <v>0</v>
      </c>
      <c r="BL589" s="540"/>
      <c r="BM589" s="540"/>
      <c r="BN589" s="553"/>
      <c r="BO589" s="553"/>
      <c r="BP589" s="553"/>
      <c r="BQ589" s="539">
        <v>0</v>
      </c>
      <c r="BR589" s="541"/>
      <c r="BS589" s="541"/>
      <c r="BT589" s="541"/>
      <c r="BU589" s="541"/>
      <c r="BV589" s="541"/>
      <c r="BW589" s="569">
        <v>0</v>
      </c>
      <c r="BX589" s="569"/>
      <c r="BY589" s="569"/>
      <c r="BZ589" s="539">
        <f t="shared" ref="BZ589:BZ593" si="539">R589+U589+X589+AA589+AD589+AG589+AJ589+AM589+AP589+AS589+AV589+AY589+BB589+BE589+BH589+BK589+BN589+BQ589+BT589+BW589</f>
        <v>107000000</v>
      </c>
      <c r="CA589" s="539">
        <f t="shared" ref="CA589:CA593" si="540">S589+V589+Y589+AB589+AE589+AH589+AK589+AN589+AQ589+AT589+AW589+AZ589+BC589+BF589+BI589+BL589+BO589+BR589+BU589+BX589</f>
        <v>65460000</v>
      </c>
      <c r="CB589" s="539">
        <f t="shared" ref="CB589:CB593" si="541">T589+W589+Z589+AC589+AF589+AI589+AL589+AO589+AR589+AU589+AX589+BA589+BD589+BG589+BJ589+BM589+BP589+BS589+BV589+BY589</f>
        <v>7710000</v>
      </c>
    </row>
    <row r="590" spans="1:80" s="11" customFormat="1" ht="90.75" customHeight="1" x14ac:dyDescent="0.2">
      <c r="A590" s="256"/>
      <c r="B590" s="54"/>
      <c r="C590" s="92">
        <v>30</v>
      </c>
      <c r="D590" s="332" t="s">
        <v>705</v>
      </c>
      <c r="E590" s="57" t="s">
        <v>706</v>
      </c>
      <c r="F590" s="57" t="s">
        <v>706</v>
      </c>
      <c r="G590" s="64"/>
      <c r="H590" s="55">
        <v>143</v>
      </c>
      <c r="I590" s="56" t="s">
        <v>707</v>
      </c>
      <c r="J590" s="57">
        <v>1</v>
      </c>
      <c r="K590" s="132">
        <v>1</v>
      </c>
      <c r="L590" s="132">
        <v>1</v>
      </c>
      <c r="M590" s="852"/>
      <c r="N590" s="858"/>
      <c r="O590" s="858"/>
      <c r="P590" s="855"/>
      <c r="Q590" s="57" t="s">
        <v>51</v>
      </c>
      <c r="R590" s="539">
        <v>0</v>
      </c>
      <c r="S590" s="539"/>
      <c r="T590" s="539"/>
      <c r="U590" s="539">
        <v>0</v>
      </c>
      <c r="V590" s="539"/>
      <c r="W590" s="539"/>
      <c r="X590" s="539">
        <v>0</v>
      </c>
      <c r="Y590" s="539"/>
      <c r="Z590" s="539"/>
      <c r="AA590" s="539">
        <v>0</v>
      </c>
      <c r="AB590" s="539"/>
      <c r="AC590" s="539"/>
      <c r="AD590" s="539">
        <v>0</v>
      </c>
      <c r="AE590" s="539"/>
      <c r="AF590" s="539"/>
      <c r="AG590" s="539">
        <v>0</v>
      </c>
      <c r="AH590" s="539"/>
      <c r="AI590" s="539"/>
      <c r="AJ590" s="539">
        <v>0</v>
      </c>
      <c r="AK590" s="539"/>
      <c r="AL590" s="539"/>
      <c r="AM590" s="539">
        <v>35000000</v>
      </c>
      <c r="AN590" s="539">
        <v>25509300</v>
      </c>
      <c r="AO590" s="539">
        <v>3380000</v>
      </c>
      <c r="AP590" s="540"/>
      <c r="AQ590" s="540"/>
      <c r="AR590" s="540"/>
      <c r="AS590" s="539">
        <v>0</v>
      </c>
      <c r="AT590" s="539"/>
      <c r="AU590" s="539"/>
      <c r="AV590" s="539">
        <v>0</v>
      </c>
      <c r="AW590" s="539"/>
      <c r="AX590" s="539"/>
      <c r="AY590" s="539"/>
      <c r="AZ590" s="539"/>
      <c r="BA590" s="539"/>
      <c r="BB590" s="539"/>
      <c r="BC590" s="539"/>
      <c r="BD590" s="539"/>
      <c r="BE590" s="539">
        <v>0</v>
      </c>
      <c r="BF590" s="539"/>
      <c r="BG590" s="539"/>
      <c r="BH590" s="539">
        <v>0</v>
      </c>
      <c r="BI590" s="539"/>
      <c r="BJ590" s="539"/>
      <c r="BK590" s="540">
        <v>0</v>
      </c>
      <c r="BL590" s="540"/>
      <c r="BM590" s="540"/>
      <c r="BN590" s="553"/>
      <c r="BO590" s="553"/>
      <c r="BP590" s="553"/>
      <c r="BQ590" s="539">
        <v>0</v>
      </c>
      <c r="BR590" s="541"/>
      <c r="BS590" s="541"/>
      <c r="BT590" s="541"/>
      <c r="BU590" s="541"/>
      <c r="BV590" s="541"/>
      <c r="BW590" s="541">
        <v>0</v>
      </c>
      <c r="BX590" s="541"/>
      <c r="BY590" s="541"/>
      <c r="BZ590" s="539">
        <f t="shared" si="539"/>
        <v>35000000</v>
      </c>
      <c r="CA590" s="539">
        <f t="shared" si="540"/>
        <v>25509300</v>
      </c>
      <c r="CB590" s="539">
        <f t="shared" si="541"/>
        <v>3380000</v>
      </c>
    </row>
    <row r="591" spans="1:80" s="11" customFormat="1" ht="98.25" customHeight="1" x14ac:dyDescent="0.2">
      <c r="A591" s="256"/>
      <c r="B591" s="54"/>
      <c r="C591" s="55" t="s">
        <v>694</v>
      </c>
      <c r="D591" s="71" t="s">
        <v>708</v>
      </c>
      <c r="E591" s="29">
        <v>10</v>
      </c>
      <c r="F591" s="29" t="s">
        <v>709</v>
      </c>
      <c r="G591" s="64"/>
      <c r="H591" s="55">
        <v>144</v>
      </c>
      <c r="I591" s="56" t="s">
        <v>710</v>
      </c>
      <c r="J591" s="57">
        <v>5</v>
      </c>
      <c r="K591" s="132">
        <v>5</v>
      </c>
      <c r="L591" s="132">
        <v>4</v>
      </c>
      <c r="M591" s="850">
        <v>2017003630079</v>
      </c>
      <c r="N591" s="856" t="s">
        <v>660</v>
      </c>
      <c r="O591" s="856" t="s">
        <v>711</v>
      </c>
      <c r="P591" s="854" t="s">
        <v>712</v>
      </c>
      <c r="Q591" s="57" t="s">
        <v>51</v>
      </c>
      <c r="R591" s="539">
        <v>0</v>
      </c>
      <c r="S591" s="539"/>
      <c r="T591" s="539"/>
      <c r="U591" s="539">
        <v>0</v>
      </c>
      <c r="V591" s="539"/>
      <c r="W591" s="539"/>
      <c r="X591" s="539">
        <v>0</v>
      </c>
      <c r="Y591" s="539"/>
      <c r="Z591" s="539"/>
      <c r="AA591" s="539">
        <v>0</v>
      </c>
      <c r="AB591" s="539"/>
      <c r="AC591" s="539"/>
      <c r="AD591" s="539">
        <v>0</v>
      </c>
      <c r="AE591" s="539"/>
      <c r="AF591" s="539"/>
      <c r="AG591" s="539">
        <v>0</v>
      </c>
      <c r="AH591" s="539"/>
      <c r="AI591" s="539"/>
      <c r="AJ591" s="539">
        <v>0</v>
      </c>
      <c r="AK591" s="539"/>
      <c r="AL591" s="539"/>
      <c r="AM591" s="539">
        <f>120000000</f>
        <v>120000000</v>
      </c>
      <c r="AN591" s="539">
        <v>56400000</v>
      </c>
      <c r="AO591" s="539">
        <v>16772000</v>
      </c>
      <c r="AP591" s="540"/>
      <c r="AQ591" s="540"/>
      <c r="AR591" s="540"/>
      <c r="AS591" s="539">
        <v>0</v>
      </c>
      <c r="AT591" s="539"/>
      <c r="AU591" s="539"/>
      <c r="AV591" s="568"/>
      <c r="AW591" s="568"/>
      <c r="AX591" s="568"/>
      <c r="AY591" s="539"/>
      <c r="AZ591" s="539"/>
      <c r="BA591" s="539"/>
      <c r="BB591" s="539"/>
      <c r="BC591" s="539"/>
      <c r="BD591" s="539"/>
      <c r="BE591" s="539">
        <v>0</v>
      </c>
      <c r="BF591" s="539"/>
      <c r="BG591" s="539"/>
      <c r="BH591" s="539">
        <v>0</v>
      </c>
      <c r="BI591" s="539"/>
      <c r="BJ591" s="539"/>
      <c r="BK591" s="540">
        <v>0</v>
      </c>
      <c r="BL591" s="540"/>
      <c r="BM591" s="540"/>
      <c r="BN591" s="553"/>
      <c r="BO591" s="553"/>
      <c r="BP591" s="553"/>
      <c r="BQ591" s="539">
        <v>0</v>
      </c>
      <c r="BR591" s="539"/>
      <c r="BS591" s="539"/>
      <c r="BT591" s="539"/>
      <c r="BU591" s="539"/>
      <c r="BV591" s="539"/>
      <c r="BW591" s="539">
        <f>183007269+34882286+138716570+80000000</f>
        <v>436606125</v>
      </c>
      <c r="BX591" s="539">
        <v>55083576</v>
      </c>
      <c r="BY591" s="539">
        <v>28833576</v>
      </c>
      <c r="BZ591" s="539">
        <f t="shared" si="539"/>
        <v>556606125</v>
      </c>
      <c r="CA591" s="539">
        <f t="shared" si="540"/>
        <v>111483576</v>
      </c>
      <c r="CB591" s="539">
        <f t="shared" si="541"/>
        <v>45605576</v>
      </c>
    </row>
    <row r="592" spans="1:80" s="11" customFormat="1" ht="63.75" customHeight="1" x14ac:dyDescent="0.2">
      <c r="A592" s="256"/>
      <c r="B592" s="54"/>
      <c r="C592" s="55" t="s">
        <v>694</v>
      </c>
      <c r="D592" s="56" t="s">
        <v>713</v>
      </c>
      <c r="E592" s="57" t="s">
        <v>714</v>
      </c>
      <c r="F592" s="319">
        <v>0.8</v>
      </c>
      <c r="G592" s="64"/>
      <c r="H592" s="55">
        <v>145</v>
      </c>
      <c r="I592" s="56" t="s">
        <v>715</v>
      </c>
      <c r="J592" s="134" t="s">
        <v>42</v>
      </c>
      <c r="K592" s="189">
        <v>1</v>
      </c>
      <c r="L592" s="826">
        <v>0.25</v>
      </c>
      <c r="M592" s="852"/>
      <c r="N592" s="858"/>
      <c r="O592" s="858"/>
      <c r="P592" s="855"/>
      <c r="Q592" s="57" t="s">
        <v>51</v>
      </c>
      <c r="R592" s="539">
        <v>0</v>
      </c>
      <c r="S592" s="539"/>
      <c r="T592" s="539"/>
      <c r="U592" s="539">
        <v>0</v>
      </c>
      <c r="V592" s="539"/>
      <c r="W592" s="539"/>
      <c r="X592" s="539">
        <v>0</v>
      </c>
      <c r="Y592" s="539"/>
      <c r="Z592" s="539"/>
      <c r="AA592" s="539">
        <v>0</v>
      </c>
      <c r="AB592" s="539"/>
      <c r="AC592" s="539"/>
      <c r="AD592" s="539">
        <v>0</v>
      </c>
      <c r="AE592" s="539"/>
      <c r="AF592" s="539"/>
      <c r="AG592" s="539">
        <v>0</v>
      </c>
      <c r="AH592" s="539"/>
      <c r="AI592" s="539"/>
      <c r="AJ592" s="539">
        <v>0</v>
      </c>
      <c r="AK592" s="539"/>
      <c r="AL592" s="539"/>
      <c r="AM592" s="539">
        <f>80000000+33834562</f>
        <v>113834562</v>
      </c>
      <c r="AN592" s="539">
        <v>57180000</v>
      </c>
      <c r="AO592" s="539">
        <v>12090000</v>
      </c>
      <c r="AP592" s="540"/>
      <c r="AQ592" s="540"/>
      <c r="AR592" s="540"/>
      <c r="AS592" s="539">
        <v>0</v>
      </c>
      <c r="AT592" s="539"/>
      <c r="AU592" s="539"/>
      <c r="AV592" s="539">
        <v>0</v>
      </c>
      <c r="AW592" s="539"/>
      <c r="AX592" s="539"/>
      <c r="AY592" s="539"/>
      <c r="AZ592" s="539"/>
      <c r="BA592" s="539"/>
      <c r="BB592" s="539"/>
      <c r="BC592" s="539"/>
      <c r="BD592" s="539"/>
      <c r="BE592" s="539">
        <v>0</v>
      </c>
      <c r="BF592" s="539"/>
      <c r="BG592" s="539"/>
      <c r="BH592" s="539">
        <v>0</v>
      </c>
      <c r="BI592" s="539"/>
      <c r="BJ592" s="539"/>
      <c r="BK592" s="540">
        <v>0</v>
      </c>
      <c r="BL592" s="540"/>
      <c r="BM592" s="540"/>
      <c r="BN592" s="553"/>
      <c r="BO592" s="553"/>
      <c r="BP592" s="553"/>
      <c r="BQ592" s="539">
        <v>0</v>
      </c>
      <c r="BR592" s="541"/>
      <c r="BS592" s="541"/>
      <c r="BT592" s="541"/>
      <c r="BU592" s="541"/>
      <c r="BV592" s="541"/>
      <c r="BW592" s="541">
        <v>0</v>
      </c>
      <c r="BX592" s="541"/>
      <c r="BY592" s="541"/>
      <c r="BZ592" s="539">
        <f t="shared" si="539"/>
        <v>113834562</v>
      </c>
      <c r="CA592" s="539">
        <f t="shared" si="540"/>
        <v>57180000</v>
      </c>
      <c r="CB592" s="539">
        <f t="shared" si="541"/>
        <v>12090000</v>
      </c>
    </row>
    <row r="593" spans="1:80" s="11" customFormat="1" ht="93.75" customHeight="1" x14ac:dyDescent="0.2">
      <c r="A593" s="256"/>
      <c r="B593" s="54"/>
      <c r="C593" s="508" t="s">
        <v>694</v>
      </c>
      <c r="D593" s="516" t="s">
        <v>716</v>
      </c>
      <c r="E593" s="522">
        <v>0.68</v>
      </c>
      <c r="F593" s="522">
        <v>0.73</v>
      </c>
      <c r="G593" s="139"/>
      <c r="H593" s="55">
        <v>146</v>
      </c>
      <c r="I593" s="56" t="s">
        <v>717</v>
      </c>
      <c r="J593" s="57" t="s">
        <v>42</v>
      </c>
      <c r="K593" s="132">
        <v>1</v>
      </c>
      <c r="L593" s="132">
        <v>1</v>
      </c>
      <c r="M593" s="61">
        <v>2017003630123</v>
      </c>
      <c r="N593" s="57" t="s">
        <v>660</v>
      </c>
      <c r="O593" s="498" t="s">
        <v>718</v>
      </c>
      <c r="P593" s="56" t="s">
        <v>719</v>
      </c>
      <c r="Q593" s="57" t="s">
        <v>51</v>
      </c>
      <c r="R593" s="539">
        <v>0</v>
      </c>
      <c r="S593" s="539"/>
      <c r="T593" s="539"/>
      <c r="U593" s="539">
        <v>0</v>
      </c>
      <c r="V593" s="539"/>
      <c r="W593" s="539"/>
      <c r="X593" s="539">
        <v>0</v>
      </c>
      <c r="Y593" s="539"/>
      <c r="Z593" s="539"/>
      <c r="AA593" s="539">
        <v>0</v>
      </c>
      <c r="AB593" s="539"/>
      <c r="AC593" s="539"/>
      <c r="AD593" s="539">
        <v>0</v>
      </c>
      <c r="AE593" s="539"/>
      <c r="AF593" s="539"/>
      <c r="AG593" s="539">
        <v>0</v>
      </c>
      <c r="AH593" s="539"/>
      <c r="AI593" s="539"/>
      <c r="AJ593" s="539">
        <v>0</v>
      </c>
      <c r="AK593" s="539"/>
      <c r="AL593" s="539"/>
      <c r="AM593" s="539">
        <v>50000000</v>
      </c>
      <c r="AN593" s="539">
        <v>49955996</v>
      </c>
      <c r="AO593" s="539">
        <v>15630000</v>
      </c>
      <c r="AP593" s="540"/>
      <c r="AQ593" s="540"/>
      <c r="AR593" s="540"/>
      <c r="AS593" s="539">
        <v>6000000</v>
      </c>
      <c r="AT593" s="539"/>
      <c r="AU593" s="539"/>
      <c r="AV593" s="539"/>
      <c r="AW593" s="539"/>
      <c r="AX593" s="539"/>
      <c r="AY593" s="539"/>
      <c r="AZ593" s="539"/>
      <c r="BA593" s="539"/>
      <c r="BB593" s="539"/>
      <c r="BC593" s="539"/>
      <c r="BD593" s="539"/>
      <c r="BE593" s="539">
        <v>0</v>
      </c>
      <c r="BF593" s="539"/>
      <c r="BG593" s="539"/>
      <c r="BH593" s="539">
        <v>0</v>
      </c>
      <c r="BI593" s="539"/>
      <c r="BJ593" s="539"/>
      <c r="BK593" s="540">
        <v>0</v>
      </c>
      <c r="BL593" s="540"/>
      <c r="BM593" s="540"/>
      <c r="BN593" s="553"/>
      <c r="BO593" s="553"/>
      <c r="BP593" s="553"/>
      <c r="BQ593" s="539">
        <v>0</v>
      </c>
      <c r="BR593" s="541"/>
      <c r="BS593" s="541"/>
      <c r="BT593" s="541"/>
      <c r="BU593" s="541"/>
      <c r="BV593" s="541"/>
      <c r="BW593" s="541">
        <v>174374138</v>
      </c>
      <c r="BX593" s="541">
        <v>57684004</v>
      </c>
      <c r="BY593" s="541">
        <v>2640000</v>
      </c>
      <c r="BZ593" s="539">
        <f t="shared" si="539"/>
        <v>230374138</v>
      </c>
      <c r="CA593" s="539">
        <f t="shared" si="540"/>
        <v>107640000</v>
      </c>
      <c r="CB593" s="539">
        <f t="shared" si="541"/>
        <v>18270000</v>
      </c>
    </row>
    <row r="594" spans="1:80" s="459" customFormat="1" ht="15.75" x14ac:dyDescent="0.2">
      <c r="A594" s="256"/>
      <c r="B594" s="54"/>
      <c r="C594" s="510"/>
      <c r="D594" s="209"/>
      <c r="E594" s="259"/>
      <c r="F594" s="259"/>
      <c r="G594" s="77"/>
      <c r="H594" s="78"/>
      <c r="I594" s="77"/>
      <c r="J594" s="78"/>
      <c r="K594" s="165"/>
      <c r="L594" s="165"/>
      <c r="M594" s="165"/>
      <c r="N594" s="78"/>
      <c r="O594" s="78"/>
      <c r="P594" s="77"/>
      <c r="Q594" s="78"/>
      <c r="R594" s="548">
        <f t="shared" ref="R594:BZ594" si="542">SUM(R589:R593)</f>
        <v>0</v>
      </c>
      <c r="S594" s="548">
        <f t="shared" si="542"/>
        <v>0</v>
      </c>
      <c r="T594" s="548">
        <f t="shared" si="542"/>
        <v>0</v>
      </c>
      <c r="U594" s="548">
        <f t="shared" si="542"/>
        <v>0</v>
      </c>
      <c r="V594" s="548">
        <f t="shared" si="542"/>
        <v>0</v>
      </c>
      <c r="W594" s="548">
        <f t="shared" si="542"/>
        <v>0</v>
      </c>
      <c r="X594" s="548">
        <f t="shared" si="542"/>
        <v>0</v>
      </c>
      <c r="Y594" s="548">
        <f t="shared" si="542"/>
        <v>0</v>
      </c>
      <c r="Z594" s="548">
        <f t="shared" si="542"/>
        <v>0</v>
      </c>
      <c r="AA594" s="548">
        <f t="shared" si="542"/>
        <v>0</v>
      </c>
      <c r="AB594" s="548">
        <f t="shared" si="542"/>
        <v>0</v>
      </c>
      <c r="AC594" s="548">
        <f t="shared" si="542"/>
        <v>0</v>
      </c>
      <c r="AD594" s="548">
        <f t="shared" si="542"/>
        <v>0</v>
      </c>
      <c r="AE594" s="548">
        <f t="shared" si="542"/>
        <v>0</v>
      </c>
      <c r="AF594" s="548">
        <f t="shared" si="542"/>
        <v>0</v>
      </c>
      <c r="AG594" s="548">
        <f t="shared" si="542"/>
        <v>0</v>
      </c>
      <c r="AH594" s="548">
        <f t="shared" si="542"/>
        <v>0</v>
      </c>
      <c r="AI594" s="548">
        <f t="shared" si="542"/>
        <v>0</v>
      </c>
      <c r="AJ594" s="548">
        <f t="shared" si="542"/>
        <v>0</v>
      </c>
      <c r="AK594" s="548">
        <f t="shared" si="542"/>
        <v>0</v>
      </c>
      <c r="AL594" s="548">
        <f t="shared" si="542"/>
        <v>0</v>
      </c>
      <c r="AM594" s="548">
        <f t="shared" si="542"/>
        <v>398834562</v>
      </c>
      <c r="AN594" s="548">
        <f t="shared" si="542"/>
        <v>254505296</v>
      </c>
      <c r="AO594" s="548">
        <f t="shared" si="542"/>
        <v>55582000</v>
      </c>
      <c r="AP594" s="548">
        <f t="shared" si="542"/>
        <v>0</v>
      </c>
      <c r="AQ594" s="548">
        <f t="shared" si="542"/>
        <v>0</v>
      </c>
      <c r="AR594" s="548">
        <f t="shared" si="542"/>
        <v>0</v>
      </c>
      <c r="AS594" s="548">
        <f t="shared" si="542"/>
        <v>33000000</v>
      </c>
      <c r="AT594" s="548">
        <f t="shared" si="542"/>
        <v>0</v>
      </c>
      <c r="AU594" s="548">
        <f t="shared" si="542"/>
        <v>0</v>
      </c>
      <c r="AV594" s="548">
        <f t="shared" si="542"/>
        <v>0</v>
      </c>
      <c r="AW594" s="548">
        <f t="shared" si="542"/>
        <v>0</v>
      </c>
      <c r="AX594" s="548">
        <f t="shared" si="542"/>
        <v>0</v>
      </c>
      <c r="AY594" s="548">
        <f t="shared" si="542"/>
        <v>0</v>
      </c>
      <c r="AZ594" s="548">
        <f t="shared" si="542"/>
        <v>0</v>
      </c>
      <c r="BA594" s="548">
        <f t="shared" si="542"/>
        <v>0</v>
      </c>
      <c r="BB594" s="548">
        <f t="shared" si="542"/>
        <v>0</v>
      </c>
      <c r="BC594" s="548">
        <f t="shared" si="542"/>
        <v>0</v>
      </c>
      <c r="BD594" s="548">
        <f t="shared" si="542"/>
        <v>0</v>
      </c>
      <c r="BE594" s="548">
        <f t="shared" si="542"/>
        <v>0</v>
      </c>
      <c r="BF594" s="548">
        <f t="shared" si="542"/>
        <v>0</v>
      </c>
      <c r="BG594" s="548">
        <f t="shared" si="542"/>
        <v>0</v>
      </c>
      <c r="BH594" s="548">
        <f t="shared" si="542"/>
        <v>0</v>
      </c>
      <c r="BI594" s="548">
        <f t="shared" si="542"/>
        <v>0</v>
      </c>
      <c r="BJ594" s="548">
        <f t="shared" si="542"/>
        <v>0</v>
      </c>
      <c r="BK594" s="548">
        <f t="shared" si="542"/>
        <v>0</v>
      </c>
      <c r="BL594" s="548">
        <f t="shared" si="542"/>
        <v>0</v>
      </c>
      <c r="BM594" s="548">
        <f t="shared" si="542"/>
        <v>0</v>
      </c>
      <c r="BN594" s="548">
        <f t="shared" si="542"/>
        <v>0</v>
      </c>
      <c r="BO594" s="548">
        <f t="shared" si="542"/>
        <v>0</v>
      </c>
      <c r="BP594" s="548">
        <f t="shared" si="542"/>
        <v>0</v>
      </c>
      <c r="BQ594" s="548">
        <f t="shared" si="542"/>
        <v>0</v>
      </c>
      <c r="BR594" s="548">
        <f t="shared" si="542"/>
        <v>0</v>
      </c>
      <c r="BS594" s="548">
        <f t="shared" si="542"/>
        <v>0</v>
      </c>
      <c r="BT594" s="548">
        <f t="shared" si="542"/>
        <v>0</v>
      </c>
      <c r="BU594" s="548">
        <f t="shared" si="542"/>
        <v>0</v>
      </c>
      <c r="BV594" s="548">
        <f t="shared" si="542"/>
        <v>0</v>
      </c>
      <c r="BW594" s="548">
        <f t="shared" si="542"/>
        <v>610980263</v>
      </c>
      <c r="BX594" s="548">
        <f t="shared" si="542"/>
        <v>112767580</v>
      </c>
      <c r="BY594" s="548">
        <f t="shared" si="542"/>
        <v>31473576</v>
      </c>
      <c r="BZ594" s="548">
        <f t="shared" si="542"/>
        <v>1042814825</v>
      </c>
      <c r="CA594" s="548">
        <f t="shared" ref="CA594:CB594" si="543">SUM(CA589:CA593)</f>
        <v>367272876</v>
      </c>
      <c r="CB594" s="548">
        <f t="shared" si="543"/>
        <v>87055576</v>
      </c>
    </row>
    <row r="595" spans="1:80" s="459" customFormat="1" ht="15.75" x14ac:dyDescent="0.2">
      <c r="A595" s="256"/>
      <c r="B595" s="54"/>
      <c r="C595" s="92"/>
      <c r="D595" s="91"/>
      <c r="E595" s="92"/>
      <c r="F595" s="92"/>
      <c r="G595" s="91"/>
      <c r="H595" s="92"/>
      <c r="I595" s="91"/>
      <c r="J595" s="92"/>
      <c r="K595" s="184"/>
      <c r="L595" s="334"/>
      <c r="M595" s="334"/>
      <c r="N595" s="125"/>
      <c r="O595" s="499"/>
      <c r="P595" s="124"/>
      <c r="Q595" s="92"/>
      <c r="R595" s="543"/>
      <c r="S595" s="543"/>
      <c r="T595" s="543"/>
      <c r="U595" s="543"/>
      <c r="V595" s="543"/>
      <c r="W595" s="543"/>
      <c r="X595" s="543"/>
      <c r="Y595" s="543"/>
      <c r="Z595" s="543"/>
      <c r="AA595" s="543"/>
      <c r="AB595" s="543"/>
      <c r="AC595" s="543"/>
      <c r="AD595" s="543"/>
      <c r="AE595" s="543"/>
      <c r="AF595" s="543"/>
      <c r="AG595" s="543"/>
      <c r="AH595" s="543"/>
      <c r="AI595" s="543"/>
      <c r="AJ595" s="543"/>
      <c r="AK595" s="543"/>
      <c r="AL595" s="543"/>
      <c r="AM595" s="543"/>
      <c r="AN595" s="543"/>
      <c r="AO595" s="543"/>
      <c r="AP595" s="543"/>
      <c r="AQ595" s="543"/>
      <c r="AR595" s="543"/>
      <c r="AS595" s="543"/>
      <c r="AT595" s="543"/>
      <c r="AU595" s="543"/>
      <c r="AV595" s="543"/>
      <c r="AW595" s="543"/>
      <c r="AX595" s="543"/>
      <c r="AY595" s="543"/>
      <c r="AZ595" s="543"/>
      <c r="BA595" s="543"/>
      <c r="BB595" s="543"/>
      <c r="BC595" s="543"/>
      <c r="BD595" s="543"/>
      <c r="BE595" s="543"/>
      <c r="BF595" s="543"/>
      <c r="BG595" s="543"/>
      <c r="BH595" s="543"/>
      <c r="BI595" s="543"/>
      <c r="BJ595" s="543"/>
      <c r="BK595" s="545"/>
      <c r="BL595" s="545"/>
      <c r="BM595" s="545"/>
      <c r="BN595" s="546"/>
      <c r="BO595" s="546"/>
      <c r="BP595" s="546"/>
      <c r="BQ595" s="543"/>
      <c r="BR595" s="543"/>
      <c r="BS595" s="543"/>
      <c r="BT595" s="543"/>
      <c r="BU595" s="543"/>
      <c r="BV595" s="543"/>
      <c r="BW595" s="544"/>
      <c r="BX595" s="544"/>
      <c r="BY595" s="544"/>
      <c r="BZ595" s="547"/>
      <c r="CA595" s="547"/>
      <c r="CB595" s="547"/>
    </row>
    <row r="596" spans="1:80" s="459" customFormat="1" ht="15.75" x14ac:dyDescent="0.2">
      <c r="A596" s="256"/>
      <c r="B596" s="54"/>
      <c r="C596" s="508"/>
      <c r="D596" s="229"/>
      <c r="E596" s="230"/>
      <c r="F596" s="230"/>
      <c r="G596" s="274">
        <v>41</v>
      </c>
      <c r="H596" s="100" t="s">
        <v>720</v>
      </c>
      <c r="I596" s="100"/>
      <c r="J596" s="100"/>
      <c r="K596" s="155"/>
      <c r="L596" s="155"/>
      <c r="M596" s="155"/>
      <c r="N596" s="100"/>
      <c r="O596" s="212"/>
      <c r="P596" s="100"/>
      <c r="Q596" s="100"/>
      <c r="R596" s="336"/>
      <c r="S596" s="336"/>
      <c r="T596" s="336"/>
      <c r="U596" s="336"/>
      <c r="V596" s="336"/>
      <c r="W596" s="336"/>
      <c r="X596" s="336"/>
      <c r="Y596" s="336"/>
      <c r="Z596" s="336"/>
      <c r="AA596" s="336"/>
      <c r="AB596" s="336"/>
      <c r="AC596" s="336"/>
      <c r="AD596" s="336"/>
      <c r="AE596" s="336"/>
      <c r="AF596" s="336"/>
      <c r="AG596" s="336"/>
      <c r="AH596" s="336"/>
      <c r="AI596" s="336"/>
      <c r="AJ596" s="336"/>
      <c r="AK596" s="336"/>
      <c r="AL596" s="336"/>
      <c r="AM596" s="336"/>
      <c r="AN596" s="336"/>
      <c r="AO596" s="336"/>
      <c r="AP596" s="336"/>
      <c r="AQ596" s="336"/>
      <c r="AR596" s="336"/>
      <c r="AS596" s="336"/>
      <c r="AT596" s="336"/>
      <c r="AU596" s="336"/>
      <c r="AV596" s="336"/>
      <c r="AW596" s="336"/>
      <c r="AX596" s="336"/>
      <c r="AY596" s="336"/>
      <c r="AZ596" s="336"/>
      <c r="BA596" s="336"/>
      <c r="BB596" s="336"/>
      <c r="BC596" s="336"/>
      <c r="BD596" s="336"/>
      <c r="BE596" s="336"/>
      <c r="BF596" s="336"/>
      <c r="BG596" s="336"/>
      <c r="BH596" s="336"/>
      <c r="BI596" s="336"/>
      <c r="BJ596" s="336"/>
      <c r="BK596" s="552"/>
      <c r="BL596" s="552"/>
      <c r="BM596" s="552"/>
      <c r="BN596" s="336"/>
      <c r="BO596" s="336"/>
      <c r="BP596" s="336"/>
      <c r="BQ596" s="336"/>
      <c r="BR596" s="336"/>
      <c r="BS596" s="336"/>
      <c r="BT596" s="336"/>
      <c r="BU596" s="336"/>
      <c r="BV596" s="336"/>
      <c r="BW596" s="336"/>
      <c r="BX596" s="336"/>
      <c r="BY596" s="336"/>
      <c r="BZ596" s="338"/>
      <c r="CA596" s="338"/>
      <c r="CB596" s="338"/>
    </row>
    <row r="597" spans="1:80" s="11" customFormat="1" ht="62.25" customHeight="1" x14ac:dyDescent="0.2">
      <c r="A597" s="256"/>
      <c r="B597" s="54"/>
      <c r="C597" s="857">
        <v>28</v>
      </c>
      <c r="D597" s="854" t="s">
        <v>952</v>
      </c>
      <c r="E597" s="885">
        <v>0.5</v>
      </c>
      <c r="F597" s="885">
        <v>1</v>
      </c>
      <c r="G597" s="856"/>
      <c r="H597" s="55">
        <v>147</v>
      </c>
      <c r="I597" s="56" t="s">
        <v>721</v>
      </c>
      <c r="J597" s="57">
        <v>14</v>
      </c>
      <c r="K597" s="132">
        <v>14</v>
      </c>
      <c r="L597" s="132">
        <v>5</v>
      </c>
      <c r="M597" s="850">
        <v>2017003630077</v>
      </c>
      <c r="N597" s="856" t="s">
        <v>660</v>
      </c>
      <c r="O597" s="856" t="s">
        <v>722</v>
      </c>
      <c r="P597" s="853" t="s">
        <v>723</v>
      </c>
      <c r="Q597" s="57" t="s">
        <v>51</v>
      </c>
      <c r="R597" s="539">
        <v>0</v>
      </c>
      <c r="S597" s="539"/>
      <c r="T597" s="539"/>
      <c r="U597" s="539">
        <v>0</v>
      </c>
      <c r="V597" s="539"/>
      <c r="W597" s="539"/>
      <c r="X597" s="539">
        <v>0</v>
      </c>
      <c r="Y597" s="539"/>
      <c r="Z597" s="539"/>
      <c r="AA597" s="539">
        <v>0</v>
      </c>
      <c r="AB597" s="539"/>
      <c r="AC597" s="539"/>
      <c r="AD597" s="539">
        <v>0</v>
      </c>
      <c r="AE597" s="539"/>
      <c r="AF597" s="539"/>
      <c r="AG597" s="539">
        <v>0</v>
      </c>
      <c r="AH597" s="539"/>
      <c r="AI597" s="539"/>
      <c r="AJ597" s="539">
        <v>0</v>
      </c>
      <c r="AK597" s="539"/>
      <c r="AL597" s="539"/>
      <c r="AM597" s="539">
        <v>10000000</v>
      </c>
      <c r="AN597" s="539">
        <v>6400000</v>
      </c>
      <c r="AO597" s="539"/>
      <c r="AP597" s="540"/>
      <c r="AQ597" s="540"/>
      <c r="AR597" s="540"/>
      <c r="AS597" s="539">
        <v>0</v>
      </c>
      <c r="AT597" s="539"/>
      <c r="AU597" s="539"/>
      <c r="AV597" s="539">
        <v>0</v>
      </c>
      <c r="AW597" s="539"/>
      <c r="AX597" s="539"/>
      <c r="AY597" s="539"/>
      <c r="AZ597" s="539"/>
      <c r="BA597" s="539"/>
      <c r="BB597" s="539"/>
      <c r="BC597" s="539"/>
      <c r="BD597" s="539"/>
      <c r="BE597" s="539">
        <v>0</v>
      </c>
      <c r="BF597" s="539"/>
      <c r="BG597" s="539"/>
      <c r="BH597" s="539">
        <v>0</v>
      </c>
      <c r="BI597" s="539"/>
      <c r="BJ597" s="539"/>
      <c r="BK597" s="540">
        <v>0</v>
      </c>
      <c r="BL597" s="540"/>
      <c r="BM597" s="540"/>
      <c r="BN597" s="553"/>
      <c r="BO597" s="553"/>
      <c r="BP597" s="553"/>
      <c r="BQ597" s="539">
        <v>0</v>
      </c>
      <c r="BR597" s="541"/>
      <c r="BS597" s="541"/>
      <c r="BT597" s="541"/>
      <c r="BU597" s="541"/>
      <c r="BV597" s="541"/>
      <c r="BW597" s="541"/>
      <c r="BX597" s="541"/>
      <c r="BY597" s="541"/>
      <c r="BZ597" s="539">
        <f t="shared" ref="BZ597:BZ598" si="544">R597+U597+X597+AA597+AD597+AG597+AJ597+AM597+AP597+AS597+AV597+AY597+BB597+BE597+BH597+BK597+BN597+BQ597+BT597+BW597</f>
        <v>10000000</v>
      </c>
      <c r="CA597" s="539">
        <f t="shared" ref="CA597:CA598" si="545">S597+V597+Y597+AB597+AE597+AH597+AK597+AN597+AQ597+AT597+AW597+AZ597+BC597+BF597+BI597+BL597+BO597+BR597+BU597+BX597</f>
        <v>6400000</v>
      </c>
      <c r="CB597" s="539">
        <f t="shared" ref="CB597:CB598" si="546">T597+W597+Z597+AC597+AF597+AI597+AL597+AO597+AR597+AU597+AX597+BA597+BD597+BG597+BJ597+BM597+BP597+BS597+BV597+BY597</f>
        <v>0</v>
      </c>
    </row>
    <row r="598" spans="1:80" s="11" customFormat="1" ht="75" x14ac:dyDescent="0.2">
      <c r="A598" s="256"/>
      <c r="B598" s="54"/>
      <c r="C598" s="857"/>
      <c r="D598" s="854"/>
      <c r="E598" s="885"/>
      <c r="F598" s="885"/>
      <c r="G598" s="858"/>
      <c r="H598" s="55">
        <v>148</v>
      </c>
      <c r="I598" s="56" t="s">
        <v>724</v>
      </c>
      <c r="J598" s="57" t="s">
        <v>42</v>
      </c>
      <c r="K598" s="132">
        <v>11</v>
      </c>
      <c r="L598" s="132">
        <v>0</v>
      </c>
      <c r="M598" s="852"/>
      <c r="N598" s="858"/>
      <c r="O598" s="858"/>
      <c r="P598" s="855"/>
      <c r="Q598" s="57" t="s">
        <v>51</v>
      </c>
      <c r="R598" s="539">
        <v>0</v>
      </c>
      <c r="S598" s="539"/>
      <c r="T598" s="539"/>
      <c r="U598" s="539">
        <v>0</v>
      </c>
      <c r="V598" s="539"/>
      <c r="W598" s="539"/>
      <c r="X598" s="539">
        <v>0</v>
      </c>
      <c r="Y598" s="539"/>
      <c r="Z598" s="539"/>
      <c r="AA598" s="539">
        <v>0</v>
      </c>
      <c r="AB598" s="539"/>
      <c r="AC598" s="539"/>
      <c r="AD598" s="539">
        <v>0</v>
      </c>
      <c r="AE598" s="539"/>
      <c r="AF598" s="539"/>
      <c r="AG598" s="539">
        <v>0</v>
      </c>
      <c r="AH598" s="539"/>
      <c r="AI598" s="539"/>
      <c r="AJ598" s="539">
        <v>0</v>
      </c>
      <c r="AK598" s="539"/>
      <c r="AL598" s="539"/>
      <c r="AM598" s="539">
        <v>10000000</v>
      </c>
      <c r="AN598" s="539"/>
      <c r="AO598" s="539"/>
      <c r="AP598" s="540"/>
      <c r="AQ598" s="540"/>
      <c r="AR598" s="540"/>
      <c r="AS598" s="539">
        <v>0</v>
      </c>
      <c r="AT598" s="539"/>
      <c r="AU598" s="539"/>
      <c r="AV598" s="539">
        <v>0</v>
      </c>
      <c r="AW598" s="539"/>
      <c r="AX598" s="539"/>
      <c r="AY598" s="539"/>
      <c r="AZ598" s="539"/>
      <c r="BA598" s="539"/>
      <c r="BB598" s="539"/>
      <c r="BC598" s="539"/>
      <c r="BD598" s="539"/>
      <c r="BE598" s="539">
        <v>0</v>
      </c>
      <c r="BF598" s="539"/>
      <c r="BG598" s="539"/>
      <c r="BH598" s="539">
        <v>0</v>
      </c>
      <c r="BI598" s="539"/>
      <c r="BJ598" s="539"/>
      <c r="BK598" s="540">
        <v>0</v>
      </c>
      <c r="BL598" s="540"/>
      <c r="BM598" s="540"/>
      <c r="BN598" s="553"/>
      <c r="BO598" s="553"/>
      <c r="BP598" s="553"/>
      <c r="BQ598" s="539">
        <v>0</v>
      </c>
      <c r="BR598" s="541"/>
      <c r="BS598" s="541"/>
      <c r="BT598" s="541"/>
      <c r="BU598" s="541"/>
      <c r="BV598" s="541"/>
      <c r="BW598" s="541"/>
      <c r="BX598" s="541"/>
      <c r="BY598" s="541"/>
      <c r="BZ598" s="539">
        <f t="shared" si="544"/>
        <v>10000000</v>
      </c>
      <c r="CA598" s="539">
        <f t="shared" si="545"/>
        <v>0</v>
      </c>
      <c r="CB598" s="539">
        <f t="shared" si="546"/>
        <v>0</v>
      </c>
    </row>
    <row r="599" spans="1:80" s="459" customFormat="1" ht="15.75" x14ac:dyDescent="0.2">
      <c r="A599" s="256"/>
      <c r="B599" s="54"/>
      <c r="C599" s="510"/>
      <c r="D599" s="209"/>
      <c r="E599" s="259"/>
      <c r="F599" s="259"/>
      <c r="G599" s="77"/>
      <c r="H599" s="78"/>
      <c r="I599" s="77"/>
      <c r="J599" s="78"/>
      <c r="K599" s="165"/>
      <c r="L599" s="165"/>
      <c r="M599" s="165"/>
      <c r="N599" s="78"/>
      <c r="O599" s="78"/>
      <c r="P599" s="77"/>
      <c r="Q599" s="78"/>
      <c r="R599" s="548">
        <f t="shared" ref="R599:BZ599" si="547">SUM(R597:R598)</f>
        <v>0</v>
      </c>
      <c r="S599" s="548">
        <f t="shared" si="547"/>
        <v>0</v>
      </c>
      <c r="T599" s="548">
        <f t="shared" si="547"/>
        <v>0</v>
      </c>
      <c r="U599" s="548">
        <f t="shared" si="547"/>
        <v>0</v>
      </c>
      <c r="V599" s="548">
        <f t="shared" si="547"/>
        <v>0</v>
      </c>
      <c r="W599" s="548">
        <f t="shared" si="547"/>
        <v>0</v>
      </c>
      <c r="X599" s="548">
        <f t="shared" si="547"/>
        <v>0</v>
      </c>
      <c r="Y599" s="548">
        <f t="shared" si="547"/>
        <v>0</v>
      </c>
      <c r="Z599" s="548">
        <f t="shared" si="547"/>
        <v>0</v>
      </c>
      <c r="AA599" s="548">
        <f t="shared" si="547"/>
        <v>0</v>
      </c>
      <c r="AB599" s="548">
        <f t="shared" si="547"/>
        <v>0</v>
      </c>
      <c r="AC599" s="548">
        <f t="shared" si="547"/>
        <v>0</v>
      </c>
      <c r="AD599" s="548">
        <f t="shared" si="547"/>
        <v>0</v>
      </c>
      <c r="AE599" s="548">
        <f t="shared" si="547"/>
        <v>0</v>
      </c>
      <c r="AF599" s="548">
        <f t="shared" si="547"/>
        <v>0</v>
      </c>
      <c r="AG599" s="548">
        <f t="shared" si="547"/>
        <v>0</v>
      </c>
      <c r="AH599" s="548">
        <f t="shared" si="547"/>
        <v>0</v>
      </c>
      <c r="AI599" s="548">
        <f t="shared" si="547"/>
        <v>0</v>
      </c>
      <c r="AJ599" s="548">
        <f t="shared" si="547"/>
        <v>0</v>
      </c>
      <c r="AK599" s="548">
        <f t="shared" si="547"/>
        <v>0</v>
      </c>
      <c r="AL599" s="548">
        <f t="shared" si="547"/>
        <v>0</v>
      </c>
      <c r="AM599" s="548">
        <f t="shared" si="547"/>
        <v>20000000</v>
      </c>
      <c r="AN599" s="548">
        <f t="shared" si="547"/>
        <v>6400000</v>
      </c>
      <c r="AO599" s="548">
        <f t="shared" si="547"/>
        <v>0</v>
      </c>
      <c r="AP599" s="548">
        <f t="shared" si="547"/>
        <v>0</v>
      </c>
      <c r="AQ599" s="548">
        <f t="shared" si="547"/>
        <v>0</v>
      </c>
      <c r="AR599" s="548">
        <f t="shared" si="547"/>
        <v>0</v>
      </c>
      <c r="AS599" s="548">
        <f t="shared" si="547"/>
        <v>0</v>
      </c>
      <c r="AT599" s="548">
        <f t="shared" si="547"/>
        <v>0</v>
      </c>
      <c r="AU599" s="548">
        <f t="shared" si="547"/>
        <v>0</v>
      </c>
      <c r="AV599" s="548">
        <f t="shared" si="547"/>
        <v>0</v>
      </c>
      <c r="AW599" s="548">
        <f t="shared" si="547"/>
        <v>0</v>
      </c>
      <c r="AX599" s="548">
        <f t="shared" si="547"/>
        <v>0</v>
      </c>
      <c r="AY599" s="548">
        <f t="shared" si="547"/>
        <v>0</v>
      </c>
      <c r="AZ599" s="548">
        <f t="shared" si="547"/>
        <v>0</v>
      </c>
      <c r="BA599" s="548">
        <f t="shared" si="547"/>
        <v>0</v>
      </c>
      <c r="BB599" s="548">
        <f t="shared" si="547"/>
        <v>0</v>
      </c>
      <c r="BC599" s="548">
        <f t="shared" si="547"/>
        <v>0</v>
      </c>
      <c r="BD599" s="548">
        <f t="shared" si="547"/>
        <v>0</v>
      </c>
      <c r="BE599" s="548">
        <f t="shared" si="547"/>
        <v>0</v>
      </c>
      <c r="BF599" s="548">
        <f t="shared" si="547"/>
        <v>0</v>
      </c>
      <c r="BG599" s="548">
        <f t="shared" si="547"/>
        <v>0</v>
      </c>
      <c r="BH599" s="548">
        <f t="shared" si="547"/>
        <v>0</v>
      </c>
      <c r="BI599" s="548">
        <f t="shared" si="547"/>
        <v>0</v>
      </c>
      <c r="BJ599" s="548">
        <f t="shared" si="547"/>
        <v>0</v>
      </c>
      <c r="BK599" s="548">
        <f t="shared" si="547"/>
        <v>0</v>
      </c>
      <c r="BL599" s="548">
        <f t="shared" si="547"/>
        <v>0</v>
      </c>
      <c r="BM599" s="548">
        <f t="shared" si="547"/>
        <v>0</v>
      </c>
      <c r="BN599" s="548">
        <f t="shared" si="547"/>
        <v>0</v>
      </c>
      <c r="BO599" s="548">
        <f t="shared" si="547"/>
        <v>0</v>
      </c>
      <c r="BP599" s="548">
        <f t="shared" si="547"/>
        <v>0</v>
      </c>
      <c r="BQ599" s="548">
        <f t="shared" si="547"/>
        <v>0</v>
      </c>
      <c r="BR599" s="548">
        <f t="shared" si="547"/>
        <v>0</v>
      </c>
      <c r="BS599" s="548">
        <f t="shared" si="547"/>
        <v>0</v>
      </c>
      <c r="BT599" s="548">
        <f t="shared" si="547"/>
        <v>0</v>
      </c>
      <c r="BU599" s="548">
        <f t="shared" si="547"/>
        <v>0</v>
      </c>
      <c r="BV599" s="548">
        <f t="shared" si="547"/>
        <v>0</v>
      </c>
      <c r="BW599" s="548">
        <f t="shared" si="547"/>
        <v>0</v>
      </c>
      <c r="BX599" s="548">
        <f t="shared" si="547"/>
        <v>0</v>
      </c>
      <c r="BY599" s="548">
        <f t="shared" si="547"/>
        <v>0</v>
      </c>
      <c r="BZ599" s="548">
        <f t="shared" si="547"/>
        <v>20000000</v>
      </c>
      <c r="CA599" s="548">
        <f t="shared" ref="CA599:CB599" si="548">SUM(CA597:CA598)</f>
        <v>6400000</v>
      </c>
      <c r="CB599" s="548">
        <f t="shared" si="548"/>
        <v>0</v>
      </c>
    </row>
    <row r="600" spans="1:80" s="459" customFormat="1" ht="15.75" x14ac:dyDescent="0.2">
      <c r="A600" s="256"/>
      <c r="B600" s="54"/>
      <c r="C600" s="92"/>
      <c r="D600" s="91"/>
      <c r="E600" s="92"/>
      <c r="F600" s="92"/>
      <c r="G600" s="91"/>
      <c r="H600" s="92"/>
      <c r="I600" s="91"/>
      <c r="J600" s="92"/>
      <c r="K600" s="184"/>
      <c r="L600" s="334"/>
      <c r="M600" s="334"/>
      <c r="N600" s="125"/>
      <c r="O600" s="499"/>
      <c r="P600" s="124"/>
      <c r="Q600" s="92"/>
      <c r="R600" s="543"/>
      <c r="S600" s="543"/>
      <c r="T600" s="543"/>
      <c r="U600" s="543"/>
      <c r="V600" s="543"/>
      <c r="W600" s="543"/>
      <c r="X600" s="543"/>
      <c r="Y600" s="543"/>
      <c r="Z600" s="543"/>
      <c r="AA600" s="543"/>
      <c r="AB600" s="543"/>
      <c r="AC600" s="543"/>
      <c r="AD600" s="543"/>
      <c r="AE600" s="543"/>
      <c r="AF600" s="543"/>
      <c r="AG600" s="543"/>
      <c r="AH600" s="543"/>
      <c r="AI600" s="543"/>
      <c r="AJ600" s="543"/>
      <c r="AK600" s="543"/>
      <c r="AL600" s="543"/>
      <c r="AM600" s="543"/>
      <c r="AN600" s="543"/>
      <c r="AO600" s="543"/>
      <c r="AP600" s="543"/>
      <c r="AQ600" s="543"/>
      <c r="AR600" s="543"/>
      <c r="AS600" s="543"/>
      <c r="AT600" s="543"/>
      <c r="AU600" s="543"/>
      <c r="AV600" s="543"/>
      <c r="AW600" s="543"/>
      <c r="AX600" s="543"/>
      <c r="AY600" s="543"/>
      <c r="AZ600" s="543"/>
      <c r="BA600" s="543"/>
      <c r="BB600" s="543"/>
      <c r="BC600" s="543"/>
      <c r="BD600" s="543"/>
      <c r="BE600" s="543"/>
      <c r="BF600" s="543"/>
      <c r="BG600" s="543"/>
      <c r="BH600" s="543"/>
      <c r="BI600" s="543"/>
      <c r="BJ600" s="543"/>
      <c r="BK600" s="545"/>
      <c r="BL600" s="545"/>
      <c r="BM600" s="545"/>
      <c r="BN600" s="546"/>
      <c r="BO600" s="546"/>
      <c r="BP600" s="546"/>
      <c r="BQ600" s="543"/>
      <c r="BR600" s="543"/>
      <c r="BS600" s="543"/>
      <c r="BT600" s="543"/>
      <c r="BU600" s="543"/>
      <c r="BV600" s="543"/>
      <c r="BW600" s="543"/>
      <c r="BX600" s="543"/>
      <c r="BY600" s="543"/>
      <c r="BZ600" s="547"/>
      <c r="CA600" s="547"/>
      <c r="CB600" s="547"/>
    </row>
    <row r="601" spans="1:80" s="459" customFormat="1" ht="15.75" x14ac:dyDescent="0.2">
      <c r="A601" s="256"/>
      <c r="B601" s="54"/>
      <c r="C601" s="508"/>
      <c r="D601" s="229"/>
      <c r="E601" s="230"/>
      <c r="F601" s="230"/>
      <c r="G601" s="274">
        <v>42</v>
      </c>
      <c r="H601" s="100" t="s">
        <v>725</v>
      </c>
      <c r="I601" s="100"/>
      <c r="J601" s="100"/>
      <c r="K601" s="155"/>
      <c r="L601" s="155"/>
      <c r="M601" s="155"/>
      <c r="N601" s="100"/>
      <c r="O601" s="212"/>
      <c r="P601" s="100"/>
      <c r="Q601" s="100"/>
      <c r="R601" s="336"/>
      <c r="S601" s="336"/>
      <c r="T601" s="336"/>
      <c r="U601" s="336"/>
      <c r="V601" s="336"/>
      <c r="W601" s="336"/>
      <c r="X601" s="336"/>
      <c r="Y601" s="336"/>
      <c r="Z601" s="336"/>
      <c r="AA601" s="336"/>
      <c r="AB601" s="336"/>
      <c r="AC601" s="336"/>
      <c r="AD601" s="336"/>
      <c r="AE601" s="336"/>
      <c r="AF601" s="336"/>
      <c r="AG601" s="336"/>
      <c r="AH601" s="336"/>
      <c r="AI601" s="336"/>
      <c r="AJ601" s="336"/>
      <c r="AK601" s="336"/>
      <c r="AL601" s="336"/>
      <c r="AM601" s="336"/>
      <c r="AN601" s="336"/>
      <c r="AO601" s="336"/>
      <c r="AP601" s="336"/>
      <c r="AQ601" s="336"/>
      <c r="AR601" s="336"/>
      <c r="AS601" s="336"/>
      <c r="AT601" s="336"/>
      <c r="AU601" s="336"/>
      <c r="AV601" s="336"/>
      <c r="AW601" s="336"/>
      <c r="AX601" s="336"/>
      <c r="AY601" s="336"/>
      <c r="AZ601" s="336"/>
      <c r="BA601" s="336"/>
      <c r="BB601" s="336"/>
      <c r="BC601" s="336"/>
      <c r="BD601" s="336"/>
      <c r="BE601" s="336"/>
      <c r="BF601" s="336"/>
      <c r="BG601" s="336"/>
      <c r="BH601" s="336"/>
      <c r="BI601" s="336"/>
      <c r="BJ601" s="336"/>
      <c r="BK601" s="552"/>
      <c r="BL601" s="552"/>
      <c r="BM601" s="552"/>
      <c r="BN601" s="336"/>
      <c r="BO601" s="336"/>
      <c r="BP601" s="336"/>
      <c r="BQ601" s="336"/>
      <c r="BR601" s="336"/>
      <c r="BS601" s="336"/>
      <c r="BT601" s="336"/>
      <c r="BU601" s="336"/>
      <c r="BV601" s="336"/>
      <c r="BW601" s="336"/>
      <c r="BX601" s="336"/>
      <c r="BY601" s="336"/>
      <c r="BZ601" s="338"/>
      <c r="CA601" s="338"/>
      <c r="CB601" s="338"/>
    </row>
    <row r="602" spans="1:80" s="11" customFormat="1" ht="72.75" customHeight="1" x14ac:dyDescent="0.2">
      <c r="A602" s="256"/>
      <c r="B602" s="54"/>
      <c r="C602" s="509" t="s">
        <v>694</v>
      </c>
      <c r="D602" s="64" t="s">
        <v>726</v>
      </c>
      <c r="E602" s="509" t="s">
        <v>727</v>
      </c>
      <c r="F602" s="509" t="s">
        <v>728</v>
      </c>
      <c r="G602" s="925"/>
      <c r="H602" s="65">
        <v>149</v>
      </c>
      <c r="I602" s="56" t="s">
        <v>729</v>
      </c>
      <c r="J602" s="57" t="s">
        <v>42</v>
      </c>
      <c r="K602" s="132">
        <v>8</v>
      </c>
      <c r="L602" s="132">
        <v>5</v>
      </c>
      <c r="M602" s="850">
        <v>2017003630100</v>
      </c>
      <c r="N602" s="856" t="s">
        <v>660</v>
      </c>
      <c r="O602" s="856" t="s">
        <v>730</v>
      </c>
      <c r="P602" s="854" t="s">
        <v>731</v>
      </c>
      <c r="Q602" s="57" t="s">
        <v>51</v>
      </c>
      <c r="R602" s="539"/>
      <c r="S602" s="539"/>
      <c r="T602" s="539"/>
      <c r="U602" s="539"/>
      <c r="V602" s="539"/>
      <c r="W602" s="539"/>
      <c r="X602" s="539"/>
      <c r="Y602" s="539"/>
      <c r="Z602" s="539"/>
      <c r="AA602" s="539"/>
      <c r="AB602" s="539"/>
      <c r="AC602" s="539"/>
      <c r="AD602" s="539"/>
      <c r="AE602" s="539"/>
      <c r="AF602" s="539"/>
      <c r="AG602" s="539"/>
      <c r="AH602" s="539"/>
      <c r="AI602" s="539"/>
      <c r="AJ602" s="539"/>
      <c r="AK602" s="539"/>
      <c r="AL602" s="539"/>
      <c r="AM602" s="539">
        <v>30000000</v>
      </c>
      <c r="AN602" s="539">
        <v>23760000</v>
      </c>
      <c r="AO602" s="539">
        <v>7920000</v>
      </c>
      <c r="AP602" s="540"/>
      <c r="AQ602" s="540"/>
      <c r="AR602" s="540"/>
      <c r="AS602" s="539">
        <v>3000000</v>
      </c>
      <c r="AT602" s="539"/>
      <c r="AU602" s="539"/>
      <c r="AV602" s="539"/>
      <c r="AW602" s="539"/>
      <c r="AX602" s="539"/>
      <c r="AY602" s="539"/>
      <c r="AZ602" s="539"/>
      <c r="BA602" s="539"/>
      <c r="BB602" s="539"/>
      <c r="BC602" s="539"/>
      <c r="BD602" s="539"/>
      <c r="BE602" s="539"/>
      <c r="BF602" s="539"/>
      <c r="BG602" s="539"/>
      <c r="BH602" s="539"/>
      <c r="BI602" s="539"/>
      <c r="BJ602" s="539"/>
      <c r="BK602" s="540"/>
      <c r="BL602" s="540"/>
      <c r="BM602" s="540"/>
      <c r="BN602" s="553"/>
      <c r="BO602" s="553"/>
      <c r="BP602" s="553"/>
      <c r="BQ602" s="539"/>
      <c r="BR602" s="541"/>
      <c r="BS602" s="541"/>
      <c r="BT602" s="541"/>
      <c r="BU602" s="541"/>
      <c r="BV602" s="541"/>
      <c r="BW602" s="541"/>
      <c r="BX602" s="541"/>
      <c r="BY602" s="541"/>
      <c r="BZ602" s="539">
        <f t="shared" ref="BZ602:BZ603" si="549">R602+U602+X602+AA602+AD602+AG602+AJ602+AM602+AP602+AS602+AV602+AY602+BB602+BE602+BH602+BK602+BN602+BQ602+BT602+BW602</f>
        <v>33000000</v>
      </c>
      <c r="CA602" s="539">
        <f t="shared" ref="CA602:CA603" si="550">S602+V602+Y602+AB602+AE602+AH602+AK602+AN602+AQ602+AT602+AW602+AZ602+BC602+BF602+BI602+BL602+BO602+BR602+BU602+BX602</f>
        <v>23760000</v>
      </c>
      <c r="CB602" s="539">
        <f t="shared" ref="CB602:CB603" si="551">T602+W602+Z602+AC602+AF602+AI602+AL602+AO602+AR602+AU602+AX602+BA602+BD602+BG602+BJ602+BM602+BP602+BS602+BV602+BY602</f>
        <v>7920000</v>
      </c>
    </row>
    <row r="603" spans="1:80" s="11" customFormat="1" ht="93" customHeight="1" x14ac:dyDescent="0.2">
      <c r="A603" s="256"/>
      <c r="B603" s="54"/>
      <c r="C603" s="509">
        <v>28</v>
      </c>
      <c r="D603" s="64" t="s">
        <v>732</v>
      </c>
      <c r="E603" s="523">
        <v>0.5</v>
      </c>
      <c r="F603" s="523">
        <v>1</v>
      </c>
      <c r="G603" s="926"/>
      <c r="H603" s="65">
        <v>150</v>
      </c>
      <c r="I603" s="56" t="s">
        <v>733</v>
      </c>
      <c r="J603" s="57">
        <v>0</v>
      </c>
      <c r="K603" s="132">
        <v>14</v>
      </c>
      <c r="L603" s="30">
        <v>12</v>
      </c>
      <c r="M603" s="852"/>
      <c r="N603" s="858"/>
      <c r="O603" s="858"/>
      <c r="P603" s="855"/>
      <c r="Q603" s="57" t="s">
        <v>51</v>
      </c>
      <c r="R603" s="539">
        <v>0</v>
      </c>
      <c r="S603" s="539"/>
      <c r="T603" s="539"/>
      <c r="U603" s="539">
        <v>0</v>
      </c>
      <c r="V603" s="539"/>
      <c r="W603" s="539"/>
      <c r="X603" s="539">
        <v>0</v>
      </c>
      <c r="Y603" s="539"/>
      <c r="Z603" s="539"/>
      <c r="AA603" s="539">
        <v>0</v>
      </c>
      <c r="AB603" s="539"/>
      <c r="AC603" s="539"/>
      <c r="AD603" s="539">
        <v>0</v>
      </c>
      <c r="AE603" s="539"/>
      <c r="AF603" s="539"/>
      <c r="AG603" s="539">
        <v>0</v>
      </c>
      <c r="AH603" s="539"/>
      <c r="AI603" s="539"/>
      <c r="AJ603" s="539">
        <v>0</v>
      </c>
      <c r="AK603" s="539"/>
      <c r="AL603" s="539"/>
      <c r="AM603" s="539">
        <v>30000000</v>
      </c>
      <c r="AN603" s="539">
        <v>19920000</v>
      </c>
      <c r="AO603" s="539">
        <v>4640000</v>
      </c>
      <c r="AP603" s="540"/>
      <c r="AQ603" s="540"/>
      <c r="AR603" s="540"/>
      <c r="AS603" s="539">
        <v>0</v>
      </c>
      <c r="AT603" s="539"/>
      <c r="AU603" s="539"/>
      <c r="AV603" s="539">
        <v>0</v>
      </c>
      <c r="AW603" s="539"/>
      <c r="AX603" s="539"/>
      <c r="AY603" s="539"/>
      <c r="AZ603" s="539"/>
      <c r="BA603" s="539"/>
      <c r="BB603" s="539"/>
      <c r="BC603" s="539"/>
      <c r="BD603" s="539"/>
      <c r="BE603" s="539">
        <v>0</v>
      </c>
      <c r="BF603" s="539"/>
      <c r="BG603" s="539"/>
      <c r="BH603" s="539">
        <v>0</v>
      </c>
      <c r="BI603" s="539"/>
      <c r="BJ603" s="539"/>
      <c r="BK603" s="540">
        <v>0</v>
      </c>
      <c r="BL603" s="540"/>
      <c r="BM603" s="540"/>
      <c r="BN603" s="553"/>
      <c r="BO603" s="553"/>
      <c r="BP603" s="553"/>
      <c r="BQ603" s="539">
        <v>0</v>
      </c>
      <c r="BR603" s="541"/>
      <c r="BS603" s="541"/>
      <c r="BT603" s="541"/>
      <c r="BU603" s="541"/>
      <c r="BV603" s="541"/>
      <c r="BW603" s="541"/>
      <c r="BX603" s="541"/>
      <c r="BY603" s="541"/>
      <c r="BZ603" s="539">
        <f t="shared" si="549"/>
        <v>30000000</v>
      </c>
      <c r="CA603" s="539">
        <f t="shared" si="550"/>
        <v>19920000</v>
      </c>
      <c r="CB603" s="539">
        <f t="shared" si="551"/>
        <v>4640000</v>
      </c>
    </row>
    <row r="604" spans="1:80" s="459" customFormat="1" ht="15.75" x14ac:dyDescent="0.2">
      <c r="A604" s="256"/>
      <c r="B604" s="54"/>
      <c r="C604" s="510"/>
      <c r="D604" s="518"/>
      <c r="E604" s="510"/>
      <c r="F604" s="510"/>
      <c r="G604" s="234"/>
      <c r="H604" s="239"/>
      <c r="I604" s="77"/>
      <c r="J604" s="78"/>
      <c r="K604" s="165"/>
      <c r="L604" s="165"/>
      <c r="M604" s="165"/>
      <c r="N604" s="78"/>
      <c r="O604" s="78"/>
      <c r="P604" s="77"/>
      <c r="Q604" s="78"/>
      <c r="R604" s="548">
        <f t="shared" ref="R604:BZ604" si="552">SUM(R602:R603)</f>
        <v>0</v>
      </c>
      <c r="S604" s="548">
        <f t="shared" si="552"/>
        <v>0</v>
      </c>
      <c r="T604" s="548">
        <f t="shared" si="552"/>
        <v>0</v>
      </c>
      <c r="U604" s="548">
        <f t="shared" si="552"/>
        <v>0</v>
      </c>
      <c r="V604" s="548">
        <f t="shared" si="552"/>
        <v>0</v>
      </c>
      <c r="W604" s="548">
        <f t="shared" si="552"/>
        <v>0</v>
      </c>
      <c r="X604" s="548">
        <f t="shared" si="552"/>
        <v>0</v>
      </c>
      <c r="Y604" s="548">
        <f t="shared" si="552"/>
        <v>0</v>
      </c>
      <c r="Z604" s="548">
        <f t="shared" si="552"/>
        <v>0</v>
      </c>
      <c r="AA604" s="548">
        <f t="shared" si="552"/>
        <v>0</v>
      </c>
      <c r="AB604" s="548">
        <f t="shared" si="552"/>
        <v>0</v>
      </c>
      <c r="AC604" s="548">
        <f t="shared" si="552"/>
        <v>0</v>
      </c>
      <c r="AD604" s="548">
        <f t="shared" si="552"/>
        <v>0</v>
      </c>
      <c r="AE604" s="548">
        <f t="shared" si="552"/>
        <v>0</v>
      </c>
      <c r="AF604" s="548">
        <f t="shared" si="552"/>
        <v>0</v>
      </c>
      <c r="AG604" s="548">
        <f t="shared" si="552"/>
        <v>0</v>
      </c>
      <c r="AH604" s="548">
        <f t="shared" si="552"/>
        <v>0</v>
      </c>
      <c r="AI604" s="548">
        <f t="shared" si="552"/>
        <v>0</v>
      </c>
      <c r="AJ604" s="548">
        <f t="shared" si="552"/>
        <v>0</v>
      </c>
      <c r="AK604" s="548">
        <f t="shared" si="552"/>
        <v>0</v>
      </c>
      <c r="AL604" s="548">
        <f t="shared" si="552"/>
        <v>0</v>
      </c>
      <c r="AM604" s="548">
        <f t="shared" si="552"/>
        <v>60000000</v>
      </c>
      <c r="AN604" s="548">
        <f t="shared" si="552"/>
        <v>43680000</v>
      </c>
      <c r="AO604" s="548">
        <f t="shared" si="552"/>
        <v>12560000</v>
      </c>
      <c r="AP604" s="548">
        <f t="shared" si="552"/>
        <v>0</v>
      </c>
      <c r="AQ604" s="548">
        <f t="shared" si="552"/>
        <v>0</v>
      </c>
      <c r="AR604" s="548">
        <f t="shared" si="552"/>
        <v>0</v>
      </c>
      <c r="AS604" s="548">
        <f t="shared" si="552"/>
        <v>3000000</v>
      </c>
      <c r="AT604" s="548">
        <f t="shared" si="552"/>
        <v>0</v>
      </c>
      <c r="AU604" s="548">
        <f t="shared" si="552"/>
        <v>0</v>
      </c>
      <c r="AV604" s="548">
        <f t="shared" si="552"/>
        <v>0</v>
      </c>
      <c r="AW604" s="548">
        <f t="shared" si="552"/>
        <v>0</v>
      </c>
      <c r="AX604" s="548">
        <f t="shared" si="552"/>
        <v>0</v>
      </c>
      <c r="AY604" s="548">
        <f t="shared" si="552"/>
        <v>0</v>
      </c>
      <c r="AZ604" s="548">
        <f t="shared" si="552"/>
        <v>0</v>
      </c>
      <c r="BA604" s="548">
        <f t="shared" si="552"/>
        <v>0</v>
      </c>
      <c r="BB604" s="548">
        <f t="shared" si="552"/>
        <v>0</v>
      </c>
      <c r="BC604" s="548">
        <f t="shared" si="552"/>
        <v>0</v>
      </c>
      <c r="BD604" s="548">
        <f t="shared" si="552"/>
        <v>0</v>
      </c>
      <c r="BE604" s="548">
        <f t="shared" si="552"/>
        <v>0</v>
      </c>
      <c r="BF604" s="548">
        <f t="shared" si="552"/>
        <v>0</v>
      </c>
      <c r="BG604" s="548">
        <f t="shared" si="552"/>
        <v>0</v>
      </c>
      <c r="BH604" s="548">
        <f t="shared" si="552"/>
        <v>0</v>
      </c>
      <c r="BI604" s="548">
        <f t="shared" si="552"/>
        <v>0</v>
      </c>
      <c r="BJ604" s="548">
        <f t="shared" si="552"/>
        <v>0</v>
      </c>
      <c r="BK604" s="548">
        <f t="shared" si="552"/>
        <v>0</v>
      </c>
      <c r="BL604" s="548">
        <f t="shared" si="552"/>
        <v>0</v>
      </c>
      <c r="BM604" s="548">
        <f t="shared" si="552"/>
        <v>0</v>
      </c>
      <c r="BN604" s="548">
        <f t="shared" si="552"/>
        <v>0</v>
      </c>
      <c r="BO604" s="548">
        <f t="shared" si="552"/>
        <v>0</v>
      </c>
      <c r="BP604" s="548">
        <f t="shared" si="552"/>
        <v>0</v>
      </c>
      <c r="BQ604" s="548">
        <f t="shared" si="552"/>
        <v>0</v>
      </c>
      <c r="BR604" s="548">
        <f t="shared" si="552"/>
        <v>0</v>
      </c>
      <c r="BS604" s="548">
        <f t="shared" si="552"/>
        <v>0</v>
      </c>
      <c r="BT604" s="548">
        <f t="shared" si="552"/>
        <v>0</v>
      </c>
      <c r="BU604" s="548">
        <f t="shared" si="552"/>
        <v>0</v>
      </c>
      <c r="BV604" s="548">
        <f t="shared" si="552"/>
        <v>0</v>
      </c>
      <c r="BW604" s="548">
        <f t="shared" si="552"/>
        <v>0</v>
      </c>
      <c r="BX604" s="548">
        <f t="shared" si="552"/>
        <v>0</v>
      </c>
      <c r="BY604" s="548">
        <f t="shared" si="552"/>
        <v>0</v>
      </c>
      <c r="BZ604" s="548">
        <f t="shared" si="552"/>
        <v>63000000</v>
      </c>
      <c r="CA604" s="548">
        <f t="shared" ref="CA604:CB604" si="553">SUM(CA602:CA603)</f>
        <v>43680000</v>
      </c>
      <c r="CB604" s="548">
        <f t="shared" si="553"/>
        <v>12560000</v>
      </c>
    </row>
    <row r="605" spans="1:80" s="459" customFormat="1" ht="15.75" x14ac:dyDescent="0.2">
      <c r="A605" s="256"/>
      <c r="B605" s="54"/>
      <c r="C605" s="92"/>
      <c r="D605" s="91"/>
      <c r="E605" s="92"/>
      <c r="F605" s="92"/>
      <c r="G605" s="91"/>
      <c r="H605" s="92"/>
      <c r="I605" s="91"/>
      <c r="J605" s="92"/>
      <c r="K605" s="184"/>
      <c r="L605" s="334"/>
      <c r="M605" s="334"/>
      <c r="N605" s="125"/>
      <c r="O605" s="499"/>
      <c r="P605" s="124"/>
      <c r="Q605" s="92"/>
      <c r="R605" s="543"/>
      <c r="S605" s="543"/>
      <c r="T605" s="543"/>
      <c r="U605" s="543"/>
      <c r="V605" s="543"/>
      <c r="W605" s="543"/>
      <c r="X605" s="543"/>
      <c r="Y605" s="543"/>
      <c r="Z605" s="543"/>
      <c r="AA605" s="543"/>
      <c r="AB605" s="543"/>
      <c r="AC605" s="543"/>
      <c r="AD605" s="543"/>
      <c r="AE605" s="543"/>
      <c r="AF605" s="543"/>
      <c r="AG605" s="543"/>
      <c r="AH605" s="543"/>
      <c r="AI605" s="543"/>
      <c r="AJ605" s="543"/>
      <c r="AK605" s="543"/>
      <c r="AL605" s="543"/>
      <c r="AM605" s="543"/>
      <c r="AN605" s="543"/>
      <c r="AO605" s="543"/>
      <c r="AP605" s="543"/>
      <c r="AQ605" s="543"/>
      <c r="AR605" s="543"/>
      <c r="AS605" s="543"/>
      <c r="AT605" s="543"/>
      <c r="AU605" s="543"/>
      <c r="AV605" s="543"/>
      <c r="AW605" s="543"/>
      <c r="AX605" s="543"/>
      <c r="AY605" s="543"/>
      <c r="AZ605" s="543"/>
      <c r="BA605" s="543"/>
      <c r="BB605" s="543"/>
      <c r="BC605" s="543"/>
      <c r="BD605" s="543"/>
      <c r="BE605" s="543"/>
      <c r="BF605" s="543"/>
      <c r="BG605" s="543"/>
      <c r="BH605" s="543"/>
      <c r="BI605" s="543"/>
      <c r="BJ605" s="543"/>
      <c r="BK605" s="545"/>
      <c r="BL605" s="545"/>
      <c r="BM605" s="545"/>
      <c r="BN605" s="546"/>
      <c r="BO605" s="546"/>
      <c r="BP605" s="546"/>
      <c r="BQ605" s="543"/>
      <c r="BR605" s="543"/>
      <c r="BS605" s="543"/>
      <c r="BT605" s="543"/>
      <c r="BU605" s="543"/>
      <c r="BV605" s="543"/>
      <c r="BW605" s="544"/>
      <c r="BX605" s="544"/>
      <c r="BY605" s="544"/>
      <c r="BZ605" s="547"/>
      <c r="CA605" s="547"/>
      <c r="CB605" s="547"/>
    </row>
    <row r="606" spans="1:80" s="459" customFormat="1" ht="15.75" x14ac:dyDescent="0.2">
      <c r="A606" s="256"/>
      <c r="B606" s="256"/>
      <c r="C606" s="27"/>
      <c r="D606" s="229"/>
      <c r="E606" s="230"/>
      <c r="F606" s="230"/>
      <c r="G606" s="274">
        <v>43</v>
      </c>
      <c r="H606" s="100" t="s">
        <v>734</v>
      </c>
      <c r="I606" s="100"/>
      <c r="J606" s="100"/>
      <c r="K606" s="155"/>
      <c r="L606" s="155"/>
      <c r="M606" s="155"/>
      <c r="N606" s="100"/>
      <c r="O606" s="212"/>
      <c r="P606" s="100"/>
      <c r="Q606" s="100"/>
      <c r="R606" s="336"/>
      <c r="S606" s="336"/>
      <c r="T606" s="336"/>
      <c r="U606" s="336"/>
      <c r="V606" s="336"/>
      <c r="W606" s="336"/>
      <c r="X606" s="336"/>
      <c r="Y606" s="336"/>
      <c r="Z606" s="336"/>
      <c r="AA606" s="336"/>
      <c r="AB606" s="336"/>
      <c r="AC606" s="336"/>
      <c r="AD606" s="336"/>
      <c r="AE606" s="336"/>
      <c r="AF606" s="336"/>
      <c r="AG606" s="336"/>
      <c r="AH606" s="336"/>
      <c r="AI606" s="336"/>
      <c r="AJ606" s="336"/>
      <c r="AK606" s="336"/>
      <c r="AL606" s="336"/>
      <c r="AM606" s="336"/>
      <c r="AN606" s="336"/>
      <c r="AO606" s="336"/>
      <c r="AP606" s="336"/>
      <c r="AQ606" s="336"/>
      <c r="AR606" s="336"/>
      <c r="AS606" s="336"/>
      <c r="AT606" s="336"/>
      <c r="AU606" s="336"/>
      <c r="AV606" s="336"/>
      <c r="AW606" s="336"/>
      <c r="AX606" s="336"/>
      <c r="AY606" s="336"/>
      <c r="AZ606" s="336"/>
      <c r="BA606" s="336"/>
      <c r="BB606" s="336"/>
      <c r="BC606" s="336"/>
      <c r="BD606" s="336"/>
      <c r="BE606" s="336"/>
      <c r="BF606" s="336"/>
      <c r="BG606" s="336"/>
      <c r="BH606" s="336"/>
      <c r="BI606" s="336"/>
      <c r="BJ606" s="336"/>
      <c r="BK606" s="552"/>
      <c r="BL606" s="552"/>
      <c r="BM606" s="552"/>
      <c r="BN606" s="336"/>
      <c r="BO606" s="336"/>
      <c r="BP606" s="336"/>
      <c r="BQ606" s="336"/>
      <c r="BR606" s="336"/>
      <c r="BS606" s="336"/>
      <c r="BT606" s="336"/>
      <c r="BU606" s="336"/>
      <c r="BV606" s="336"/>
      <c r="BW606" s="336"/>
      <c r="BX606" s="336"/>
      <c r="BY606" s="336"/>
      <c r="BZ606" s="338"/>
      <c r="CA606" s="338"/>
      <c r="CB606" s="338"/>
    </row>
    <row r="607" spans="1:80" s="11" customFormat="1" ht="122.25" customHeight="1" x14ac:dyDescent="0.2">
      <c r="A607" s="256"/>
      <c r="B607" s="256"/>
      <c r="C607" s="28" t="s">
        <v>694</v>
      </c>
      <c r="D607" s="857" t="s">
        <v>735</v>
      </c>
      <c r="E607" s="885">
        <v>0</v>
      </c>
      <c r="F607" s="885">
        <v>1</v>
      </c>
      <c r="G607" s="893"/>
      <c r="H607" s="57">
        <v>151</v>
      </c>
      <c r="I607" s="56" t="s">
        <v>736</v>
      </c>
      <c r="J607" s="57" t="s">
        <v>42</v>
      </c>
      <c r="K607" s="132">
        <v>12</v>
      </c>
      <c r="L607" s="132">
        <v>12</v>
      </c>
      <c r="M607" s="850">
        <v>2017003630068</v>
      </c>
      <c r="N607" s="856" t="s">
        <v>660</v>
      </c>
      <c r="O607" s="856" t="s">
        <v>737</v>
      </c>
      <c r="P607" s="856" t="s">
        <v>738</v>
      </c>
      <c r="Q607" s="207" t="s">
        <v>51</v>
      </c>
      <c r="R607" s="539">
        <v>0</v>
      </c>
      <c r="S607" s="539"/>
      <c r="T607" s="539"/>
      <c r="U607" s="539">
        <v>0</v>
      </c>
      <c r="V607" s="539"/>
      <c r="W607" s="539"/>
      <c r="X607" s="539">
        <v>0</v>
      </c>
      <c r="Y607" s="539"/>
      <c r="Z607" s="539"/>
      <c r="AA607" s="539">
        <v>0</v>
      </c>
      <c r="AB607" s="539"/>
      <c r="AC607" s="539"/>
      <c r="AD607" s="539">
        <v>0</v>
      </c>
      <c r="AE607" s="539"/>
      <c r="AF607" s="539"/>
      <c r="AG607" s="539">
        <v>0</v>
      </c>
      <c r="AH607" s="539"/>
      <c r="AI607" s="539"/>
      <c r="AJ607" s="539">
        <v>0</v>
      </c>
      <c r="AK607" s="633"/>
      <c r="AL607" s="633"/>
      <c r="AM607" s="633">
        <f>42240000+18676711</f>
        <v>60916711</v>
      </c>
      <c r="AN607" s="633">
        <v>43980000</v>
      </c>
      <c r="AO607" s="633">
        <v>14660000</v>
      </c>
      <c r="AP607" s="633"/>
      <c r="AQ607" s="633"/>
      <c r="AR607" s="633"/>
      <c r="AS607" s="539">
        <v>10260000</v>
      </c>
      <c r="AT607" s="539"/>
      <c r="AU607" s="539"/>
      <c r="AV607" s="539"/>
      <c r="AW607" s="539"/>
      <c r="AX607" s="539"/>
      <c r="AY607" s="539"/>
      <c r="AZ607" s="539"/>
      <c r="BA607" s="539"/>
      <c r="BB607" s="539"/>
      <c r="BC607" s="539"/>
      <c r="BD607" s="539"/>
      <c r="BE607" s="539">
        <v>0</v>
      </c>
      <c r="BF607" s="539"/>
      <c r="BG607" s="539"/>
      <c r="BH607" s="539"/>
      <c r="BI607" s="539"/>
      <c r="BJ607" s="539"/>
      <c r="BK607" s="540">
        <v>60000000</v>
      </c>
      <c r="BL607" s="540">
        <v>31680000</v>
      </c>
      <c r="BM607" s="540">
        <v>10560000</v>
      </c>
      <c r="BN607" s="540"/>
      <c r="BO607" s="540"/>
      <c r="BP607" s="540"/>
      <c r="BQ607" s="539">
        <v>0</v>
      </c>
      <c r="BR607" s="539"/>
      <c r="BS607" s="539"/>
      <c r="BT607" s="539"/>
      <c r="BU607" s="539"/>
      <c r="BV607" s="539"/>
      <c r="BW607" s="539"/>
      <c r="BX607" s="539"/>
      <c r="BY607" s="539"/>
      <c r="BZ607" s="539">
        <f t="shared" ref="BZ607:BZ609" si="554">R607+U607+X607+AA607+AD607+AG607+AJ607+AM607+AP607+AS607+AV607+AY607+BB607+BE607+BH607+BK607+BN607+BQ607+BT607+BW607</f>
        <v>131176711</v>
      </c>
      <c r="CA607" s="539">
        <f t="shared" ref="CA607:CA609" si="555">S607+V607+Y607+AB607+AE607+AH607+AK607+AN607+AQ607+AT607+AW607+AZ607+BC607+BF607+BI607+BL607+BO607+BR607+BU607+BX607</f>
        <v>75660000</v>
      </c>
      <c r="CB607" s="539">
        <f t="shared" ref="CB607:CB609" si="556">T607+W607+Z607+AC607+AF607+AI607+AL607+AO607+AR607+AU607+AX607+BA607+BD607+BG607+BJ607+BM607+BP607+BS607+BV607+BY607</f>
        <v>25220000</v>
      </c>
    </row>
    <row r="608" spans="1:80" s="11" customFormat="1" ht="84" customHeight="1" x14ac:dyDescent="0.2">
      <c r="A608" s="256"/>
      <c r="B608" s="256"/>
      <c r="C608" s="28"/>
      <c r="D608" s="857"/>
      <c r="E608" s="885"/>
      <c r="F608" s="885"/>
      <c r="G608" s="894"/>
      <c r="H608" s="57">
        <v>152</v>
      </c>
      <c r="I608" s="56" t="s">
        <v>739</v>
      </c>
      <c r="J608" s="57" t="s">
        <v>42</v>
      </c>
      <c r="K608" s="132">
        <v>1</v>
      </c>
      <c r="L608" s="132">
        <v>1</v>
      </c>
      <c r="M608" s="851"/>
      <c r="N608" s="857"/>
      <c r="O608" s="857"/>
      <c r="P608" s="857"/>
      <c r="Q608" s="207" t="s">
        <v>51</v>
      </c>
      <c r="R608" s="539">
        <v>0</v>
      </c>
      <c r="S608" s="539"/>
      <c r="T608" s="539"/>
      <c r="U608" s="539">
        <v>0</v>
      </c>
      <c r="V608" s="539"/>
      <c r="W608" s="539"/>
      <c r="X608" s="539">
        <v>0</v>
      </c>
      <c r="Y608" s="539"/>
      <c r="Z608" s="539"/>
      <c r="AA608" s="539">
        <v>0</v>
      </c>
      <c r="AB608" s="539"/>
      <c r="AC608" s="539"/>
      <c r="AD608" s="539">
        <v>0</v>
      </c>
      <c r="AE608" s="539"/>
      <c r="AF608" s="539"/>
      <c r="AG608" s="539">
        <v>0</v>
      </c>
      <c r="AH608" s="539"/>
      <c r="AI608" s="539"/>
      <c r="AJ608" s="539">
        <v>0</v>
      </c>
      <c r="AK608" s="539"/>
      <c r="AL608" s="539"/>
      <c r="AM608" s="539">
        <v>127760000</v>
      </c>
      <c r="AN608" s="539">
        <v>97500000</v>
      </c>
      <c r="AO608" s="539">
        <v>24580000</v>
      </c>
      <c r="AP608" s="540"/>
      <c r="AQ608" s="540"/>
      <c r="AR608" s="540"/>
      <c r="AS608" s="539">
        <v>34740000</v>
      </c>
      <c r="AT608" s="539"/>
      <c r="AU608" s="539"/>
      <c r="AV608" s="539"/>
      <c r="AW608" s="539"/>
      <c r="AX608" s="539"/>
      <c r="AY608" s="539"/>
      <c r="AZ608" s="539"/>
      <c r="BA608" s="539"/>
      <c r="BB608" s="539"/>
      <c r="BC608" s="539"/>
      <c r="BD608" s="539"/>
      <c r="BE608" s="539">
        <v>0</v>
      </c>
      <c r="BF608" s="539"/>
      <c r="BG608" s="539"/>
      <c r="BH608" s="539"/>
      <c r="BI608" s="539"/>
      <c r="BJ608" s="539"/>
      <c r="BK608" s="540"/>
      <c r="BL608" s="540"/>
      <c r="BM608" s="540"/>
      <c r="BN608" s="553"/>
      <c r="BO608" s="553"/>
      <c r="BP608" s="553"/>
      <c r="BQ608" s="539">
        <v>0</v>
      </c>
      <c r="BR608" s="541"/>
      <c r="BS608" s="541"/>
      <c r="BT608" s="541"/>
      <c r="BU608" s="541"/>
      <c r="BV608" s="541"/>
      <c r="BW608" s="541"/>
      <c r="BX608" s="541"/>
      <c r="BY608" s="541"/>
      <c r="BZ608" s="539">
        <f t="shared" si="554"/>
        <v>162500000</v>
      </c>
      <c r="CA608" s="539">
        <f t="shared" si="555"/>
        <v>97500000</v>
      </c>
      <c r="CB608" s="539">
        <f t="shared" si="556"/>
        <v>24580000</v>
      </c>
    </row>
    <row r="609" spans="1:80" s="11" customFormat="1" ht="79.5" customHeight="1" x14ac:dyDescent="0.2">
      <c r="A609" s="256"/>
      <c r="B609" s="256"/>
      <c r="C609" s="508" t="s">
        <v>694</v>
      </c>
      <c r="D609" s="516" t="s">
        <v>740</v>
      </c>
      <c r="E609" s="522">
        <v>0</v>
      </c>
      <c r="F609" s="522">
        <v>1</v>
      </c>
      <c r="G609" s="282"/>
      <c r="H609" s="57">
        <v>153</v>
      </c>
      <c r="I609" s="56" t="s">
        <v>741</v>
      </c>
      <c r="J609" s="57" t="s">
        <v>42</v>
      </c>
      <c r="K609" s="132">
        <v>150</v>
      </c>
      <c r="L609" s="132">
        <v>49</v>
      </c>
      <c r="M609" s="852"/>
      <c r="N609" s="858"/>
      <c r="O609" s="858"/>
      <c r="P609" s="858"/>
      <c r="Q609" s="207" t="s">
        <v>51</v>
      </c>
      <c r="R609" s="539"/>
      <c r="S609" s="539"/>
      <c r="T609" s="539"/>
      <c r="U609" s="539"/>
      <c r="V609" s="539"/>
      <c r="W609" s="539"/>
      <c r="X609" s="539"/>
      <c r="Y609" s="539"/>
      <c r="Z609" s="539"/>
      <c r="AA609" s="539"/>
      <c r="AB609" s="539"/>
      <c r="AC609" s="539"/>
      <c r="AD609" s="539"/>
      <c r="AE609" s="539"/>
      <c r="AF609" s="539"/>
      <c r="AG609" s="539"/>
      <c r="AH609" s="539"/>
      <c r="AI609" s="539"/>
      <c r="AJ609" s="539"/>
      <c r="AK609" s="539"/>
      <c r="AL609" s="539"/>
      <c r="AM609" s="539">
        <v>0</v>
      </c>
      <c r="AN609" s="539"/>
      <c r="AO609" s="539"/>
      <c r="AP609" s="540"/>
      <c r="AQ609" s="540"/>
      <c r="AR609" s="540"/>
      <c r="AS609" s="539"/>
      <c r="AT609" s="539"/>
      <c r="AU609" s="539"/>
      <c r="AV609" s="539">
        <f>723669712+500977580</f>
        <v>1224647292</v>
      </c>
      <c r="AW609" s="539">
        <v>391840000</v>
      </c>
      <c r="AX609" s="539">
        <v>13280000</v>
      </c>
      <c r="AY609" s="539"/>
      <c r="AZ609" s="539"/>
      <c r="BA609" s="539"/>
      <c r="BB609" s="539"/>
      <c r="BC609" s="539"/>
      <c r="BD609" s="539"/>
      <c r="BE609" s="539"/>
      <c r="BF609" s="539"/>
      <c r="BG609" s="539"/>
      <c r="BH609" s="539"/>
      <c r="BI609" s="539"/>
      <c r="BJ609" s="539"/>
      <c r="BK609" s="540"/>
      <c r="BL609" s="540"/>
      <c r="BM609" s="540"/>
      <c r="BN609" s="553"/>
      <c r="BO609" s="553"/>
      <c r="BP609" s="553"/>
      <c r="BQ609" s="539"/>
      <c r="BR609" s="541"/>
      <c r="BS609" s="541"/>
      <c r="BT609" s="541"/>
      <c r="BU609" s="541"/>
      <c r="BV609" s="541"/>
      <c r="BW609" s="541"/>
      <c r="BX609" s="541"/>
      <c r="BY609" s="541"/>
      <c r="BZ609" s="539">
        <f t="shared" si="554"/>
        <v>1224647292</v>
      </c>
      <c r="CA609" s="539">
        <f t="shared" si="555"/>
        <v>391840000</v>
      </c>
      <c r="CB609" s="539">
        <f t="shared" si="556"/>
        <v>13280000</v>
      </c>
    </row>
    <row r="610" spans="1:80" s="459" customFormat="1" ht="19.5" customHeight="1" x14ac:dyDescent="0.2">
      <c r="A610" s="256"/>
      <c r="B610" s="54"/>
      <c r="C610" s="510"/>
      <c r="D610" s="209"/>
      <c r="E610" s="259"/>
      <c r="F610" s="259"/>
      <c r="G610" s="77"/>
      <c r="H610" s="78"/>
      <c r="I610" s="77"/>
      <c r="J610" s="78"/>
      <c r="K610" s="140"/>
      <c r="L610" s="140"/>
      <c r="M610" s="140"/>
      <c r="N610" s="239"/>
      <c r="O610" s="78"/>
      <c r="P610" s="77"/>
      <c r="Q610" s="78"/>
      <c r="R610" s="548">
        <f t="shared" ref="R610:BY610" si="557">SUM(R607:R609)</f>
        <v>0</v>
      </c>
      <c r="S610" s="548">
        <f t="shared" si="557"/>
        <v>0</v>
      </c>
      <c r="T610" s="548">
        <f t="shared" si="557"/>
        <v>0</v>
      </c>
      <c r="U610" s="548">
        <f t="shared" si="557"/>
        <v>0</v>
      </c>
      <c r="V610" s="548">
        <f t="shared" si="557"/>
        <v>0</v>
      </c>
      <c r="W610" s="548">
        <f t="shared" si="557"/>
        <v>0</v>
      </c>
      <c r="X610" s="548">
        <f t="shared" si="557"/>
        <v>0</v>
      </c>
      <c r="Y610" s="548">
        <f t="shared" si="557"/>
        <v>0</v>
      </c>
      <c r="Z610" s="548">
        <f t="shared" si="557"/>
        <v>0</v>
      </c>
      <c r="AA610" s="548">
        <f t="shared" si="557"/>
        <v>0</v>
      </c>
      <c r="AB610" s="548">
        <f t="shared" si="557"/>
        <v>0</v>
      </c>
      <c r="AC610" s="548">
        <f t="shared" si="557"/>
        <v>0</v>
      </c>
      <c r="AD610" s="548">
        <f t="shared" si="557"/>
        <v>0</v>
      </c>
      <c r="AE610" s="548">
        <f t="shared" si="557"/>
        <v>0</v>
      </c>
      <c r="AF610" s="548">
        <f t="shared" si="557"/>
        <v>0</v>
      </c>
      <c r="AG610" s="548">
        <f t="shared" si="557"/>
        <v>0</v>
      </c>
      <c r="AH610" s="548">
        <f t="shared" si="557"/>
        <v>0</v>
      </c>
      <c r="AI610" s="548">
        <f t="shared" si="557"/>
        <v>0</v>
      </c>
      <c r="AJ610" s="548">
        <f t="shared" si="557"/>
        <v>0</v>
      </c>
      <c r="AK610" s="548">
        <f t="shared" si="557"/>
        <v>0</v>
      </c>
      <c r="AL610" s="548">
        <f t="shared" si="557"/>
        <v>0</v>
      </c>
      <c r="AM610" s="548">
        <f t="shared" si="557"/>
        <v>188676711</v>
      </c>
      <c r="AN610" s="548">
        <f t="shared" si="557"/>
        <v>141480000</v>
      </c>
      <c r="AO610" s="548">
        <f t="shared" si="557"/>
        <v>39240000</v>
      </c>
      <c r="AP610" s="548">
        <f t="shared" si="557"/>
        <v>0</v>
      </c>
      <c r="AQ610" s="548">
        <f t="shared" si="557"/>
        <v>0</v>
      </c>
      <c r="AR610" s="548">
        <f t="shared" si="557"/>
        <v>0</v>
      </c>
      <c r="AS610" s="548">
        <f t="shared" si="557"/>
        <v>45000000</v>
      </c>
      <c r="AT610" s="548">
        <f t="shared" si="557"/>
        <v>0</v>
      </c>
      <c r="AU610" s="548">
        <f t="shared" si="557"/>
        <v>0</v>
      </c>
      <c r="AV610" s="548">
        <f t="shared" si="557"/>
        <v>1224647292</v>
      </c>
      <c r="AW610" s="548">
        <f t="shared" si="557"/>
        <v>391840000</v>
      </c>
      <c r="AX610" s="548">
        <f t="shared" si="557"/>
        <v>13280000</v>
      </c>
      <c r="AY610" s="548">
        <f t="shared" si="557"/>
        <v>0</v>
      </c>
      <c r="AZ610" s="548">
        <f t="shared" si="557"/>
        <v>0</v>
      </c>
      <c r="BA610" s="548">
        <f t="shared" si="557"/>
        <v>0</v>
      </c>
      <c r="BB610" s="548">
        <f t="shared" si="557"/>
        <v>0</v>
      </c>
      <c r="BC610" s="548">
        <f t="shared" si="557"/>
        <v>0</v>
      </c>
      <c r="BD610" s="548">
        <f t="shared" si="557"/>
        <v>0</v>
      </c>
      <c r="BE610" s="548">
        <f t="shared" si="557"/>
        <v>0</v>
      </c>
      <c r="BF610" s="548">
        <f t="shared" si="557"/>
        <v>0</v>
      </c>
      <c r="BG610" s="548">
        <f t="shared" si="557"/>
        <v>0</v>
      </c>
      <c r="BH610" s="548">
        <f t="shared" si="557"/>
        <v>0</v>
      </c>
      <c r="BI610" s="548">
        <f t="shared" si="557"/>
        <v>0</v>
      </c>
      <c r="BJ610" s="548">
        <f t="shared" si="557"/>
        <v>0</v>
      </c>
      <c r="BK610" s="548">
        <f t="shared" si="557"/>
        <v>60000000</v>
      </c>
      <c r="BL610" s="548">
        <f t="shared" si="557"/>
        <v>31680000</v>
      </c>
      <c r="BM610" s="548">
        <f t="shared" si="557"/>
        <v>10560000</v>
      </c>
      <c r="BN610" s="548">
        <f t="shared" si="557"/>
        <v>0</v>
      </c>
      <c r="BO610" s="548">
        <f t="shared" si="557"/>
        <v>0</v>
      </c>
      <c r="BP610" s="548">
        <f t="shared" si="557"/>
        <v>0</v>
      </c>
      <c r="BQ610" s="548">
        <f t="shared" si="557"/>
        <v>0</v>
      </c>
      <c r="BR610" s="548">
        <f t="shared" si="557"/>
        <v>0</v>
      </c>
      <c r="BS610" s="548">
        <f t="shared" si="557"/>
        <v>0</v>
      </c>
      <c r="BT610" s="548">
        <f t="shared" si="557"/>
        <v>0</v>
      </c>
      <c r="BU610" s="548">
        <f t="shared" si="557"/>
        <v>0</v>
      </c>
      <c r="BV610" s="548">
        <f t="shared" si="557"/>
        <v>0</v>
      </c>
      <c r="BW610" s="548">
        <f t="shared" si="557"/>
        <v>0</v>
      </c>
      <c r="BX610" s="548">
        <f t="shared" si="557"/>
        <v>0</v>
      </c>
      <c r="BY610" s="548">
        <f t="shared" si="557"/>
        <v>0</v>
      </c>
      <c r="BZ610" s="548">
        <f>SUM(BZ607:BZ609)</f>
        <v>1518324003</v>
      </c>
      <c r="CA610" s="548">
        <f t="shared" ref="CA610:CB610" si="558">SUM(CA607:CA609)</f>
        <v>565000000</v>
      </c>
      <c r="CB610" s="548">
        <f t="shared" si="558"/>
        <v>63080000</v>
      </c>
    </row>
    <row r="611" spans="1:80" s="459" customFormat="1" ht="22.5" customHeight="1" x14ac:dyDescent="0.2">
      <c r="A611" s="256"/>
      <c r="B611" s="54"/>
      <c r="C611" s="92"/>
      <c r="D611" s="91"/>
      <c r="E611" s="92"/>
      <c r="F611" s="92"/>
      <c r="G611" s="91"/>
      <c r="H611" s="92"/>
      <c r="I611" s="91"/>
      <c r="J611" s="92"/>
      <c r="K611" s="184"/>
      <c r="L611" s="334"/>
      <c r="M611" s="334"/>
      <c r="N611" s="125"/>
      <c r="O611" s="499"/>
      <c r="P611" s="124"/>
      <c r="Q611" s="92"/>
      <c r="R611" s="543"/>
      <c r="S611" s="543"/>
      <c r="T611" s="543"/>
      <c r="U611" s="543"/>
      <c r="V611" s="543"/>
      <c r="W611" s="543"/>
      <c r="X611" s="543"/>
      <c r="Y611" s="543"/>
      <c r="Z611" s="543"/>
      <c r="AA611" s="543"/>
      <c r="AB611" s="543"/>
      <c r="AC611" s="543"/>
      <c r="AD611" s="543"/>
      <c r="AE611" s="543"/>
      <c r="AF611" s="543"/>
      <c r="AG611" s="543"/>
      <c r="AH611" s="543"/>
      <c r="AI611" s="543"/>
      <c r="AJ611" s="543"/>
      <c r="AK611" s="543"/>
      <c r="AL611" s="543"/>
      <c r="AM611" s="543"/>
      <c r="AN611" s="543"/>
      <c r="AO611" s="543"/>
      <c r="AP611" s="543"/>
      <c r="AQ611" s="543"/>
      <c r="AR611" s="543"/>
      <c r="AS611" s="543"/>
      <c r="AT611" s="543"/>
      <c r="AU611" s="543"/>
      <c r="AV611" s="543"/>
      <c r="AW611" s="543"/>
      <c r="AX611" s="543"/>
      <c r="AY611" s="543"/>
      <c r="AZ611" s="543"/>
      <c r="BA611" s="543"/>
      <c r="BB611" s="543"/>
      <c r="BC611" s="543"/>
      <c r="BD611" s="543"/>
      <c r="BE611" s="543"/>
      <c r="BF611" s="543"/>
      <c r="BG611" s="543"/>
      <c r="BH611" s="543"/>
      <c r="BI611" s="543"/>
      <c r="BJ611" s="543"/>
      <c r="BK611" s="545" t="s">
        <v>62</v>
      </c>
      <c r="BL611" s="545"/>
      <c r="BM611" s="545"/>
      <c r="BN611" s="546"/>
      <c r="BO611" s="546"/>
      <c r="BP611" s="546"/>
      <c r="BQ611" s="543"/>
      <c r="BR611" s="543"/>
      <c r="BS611" s="543"/>
      <c r="BT611" s="543"/>
      <c r="BU611" s="543"/>
      <c r="BV611" s="543"/>
      <c r="BW611" s="543"/>
      <c r="BX611" s="543"/>
      <c r="BY611" s="543"/>
      <c r="BZ611" s="547"/>
      <c r="CA611" s="547"/>
      <c r="CB611" s="547"/>
    </row>
    <row r="612" spans="1:80" s="459" customFormat="1" ht="15.75" x14ac:dyDescent="0.2">
      <c r="A612" s="256"/>
      <c r="B612" s="54"/>
      <c r="C612" s="508"/>
      <c r="D612" s="229"/>
      <c r="E612" s="230"/>
      <c r="F612" s="230"/>
      <c r="G612" s="342">
        <v>44</v>
      </c>
      <c r="H612" s="100" t="s">
        <v>742</v>
      </c>
      <c r="I612" s="100"/>
      <c r="J612" s="100"/>
      <c r="K612" s="155"/>
      <c r="L612" s="155"/>
      <c r="M612" s="155"/>
      <c r="N612" s="100"/>
      <c r="O612" s="212"/>
      <c r="P612" s="100"/>
      <c r="Q612" s="100"/>
      <c r="R612" s="336"/>
      <c r="S612" s="336"/>
      <c r="T612" s="336"/>
      <c r="U612" s="336"/>
      <c r="V612" s="336"/>
      <c r="W612" s="336"/>
      <c r="X612" s="336"/>
      <c r="Y612" s="336"/>
      <c r="Z612" s="336"/>
      <c r="AA612" s="336"/>
      <c r="AB612" s="336"/>
      <c r="AC612" s="336"/>
      <c r="AD612" s="336"/>
      <c r="AE612" s="336"/>
      <c r="AF612" s="336"/>
      <c r="AG612" s="336"/>
      <c r="AH612" s="336"/>
      <c r="AI612" s="336"/>
      <c r="AJ612" s="336"/>
      <c r="AK612" s="336"/>
      <c r="AL612" s="336"/>
      <c r="AM612" s="336"/>
      <c r="AN612" s="336"/>
      <c r="AO612" s="336"/>
      <c r="AP612" s="336"/>
      <c r="AQ612" s="336"/>
      <c r="AR612" s="336"/>
      <c r="AS612" s="336"/>
      <c r="AT612" s="336"/>
      <c r="AU612" s="336"/>
      <c r="AV612" s="336"/>
      <c r="AW612" s="336"/>
      <c r="AX612" s="336"/>
      <c r="AY612" s="336"/>
      <c r="AZ612" s="336"/>
      <c r="BA612" s="336"/>
      <c r="BB612" s="336"/>
      <c r="BC612" s="336"/>
      <c r="BD612" s="336"/>
      <c r="BE612" s="336"/>
      <c r="BF612" s="336"/>
      <c r="BG612" s="336"/>
      <c r="BH612" s="336"/>
      <c r="BI612" s="336"/>
      <c r="BJ612" s="336"/>
      <c r="BK612" s="552"/>
      <c r="BL612" s="552"/>
      <c r="BM612" s="552"/>
      <c r="BN612" s="336"/>
      <c r="BO612" s="336"/>
      <c r="BP612" s="336"/>
      <c r="BQ612" s="336"/>
      <c r="BR612" s="336"/>
      <c r="BS612" s="336"/>
      <c r="BT612" s="336"/>
      <c r="BU612" s="336"/>
      <c r="BV612" s="336"/>
      <c r="BW612" s="336"/>
      <c r="BX612" s="336"/>
      <c r="BY612" s="336"/>
      <c r="BZ612" s="338"/>
      <c r="CA612" s="338"/>
      <c r="CB612" s="338"/>
    </row>
    <row r="613" spans="1:80" s="11" customFormat="1" ht="94.5" customHeight="1" x14ac:dyDescent="0.2">
      <c r="A613" s="256"/>
      <c r="B613" s="256"/>
      <c r="C613" s="510">
        <v>37</v>
      </c>
      <c r="D613" s="518" t="s">
        <v>653</v>
      </c>
      <c r="E613" s="510" t="s">
        <v>72</v>
      </c>
      <c r="F613" s="524">
        <v>0.6</v>
      </c>
      <c r="G613" s="332"/>
      <c r="H613" s="57">
        <v>154</v>
      </c>
      <c r="I613" s="56" t="s">
        <v>743</v>
      </c>
      <c r="J613" s="57" t="s">
        <v>42</v>
      </c>
      <c r="K613" s="60">
        <v>5</v>
      </c>
      <c r="L613" s="60">
        <v>1</v>
      </c>
      <c r="M613" s="850">
        <v>2017003630107</v>
      </c>
      <c r="N613" s="927" t="s">
        <v>660</v>
      </c>
      <c r="O613" s="856" t="s">
        <v>744</v>
      </c>
      <c r="P613" s="853" t="s">
        <v>745</v>
      </c>
      <c r="Q613" s="57" t="s">
        <v>51</v>
      </c>
      <c r="R613" s="539">
        <v>0</v>
      </c>
      <c r="S613" s="539"/>
      <c r="T613" s="539"/>
      <c r="U613" s="539">
        <v>0</v>
      </c>
      <c r="V613" s="539"/>
      <c r="W613" s="539"/>
      <c r="X613" s="539">
        <v>0</v>
      </c>
      <c r="Y613" s="539"/>
      <c r="Z613" s="539"/>
      <c r="AA613" s="539">
        <v>0</v>
      </c>
      <c r="AB613" s="539"/>
      <c r="AC613" s="539"/>
      <c r="AD613" s="539">
        <v>0</v>
      </c>
      <c r="AE613" s="539"/>
      <c r="AF613" s="539"/>
      <c r="AG613" s="539">
        <v>0</v>
      </c>
      <c r="AH613" s="539"/>
      <c r="AI613" s="539"/>
      <c r="AJ613" s="539">
        <v>0</v>
      </c>
      <c r="AK613" s="539"/>
      <c r="AL613" s="539"/>
      <c r="AM613" s="539">
        <f>80000000+6385271</f>
        <v>86385271</v>
      </c>
      <c r="AN613" s="539">
        <v>34860000</v>
      </c>
      <c r="AO613" s="539">
        <v>8450000</v>
      </c>
      <c r="AP613" s="540"/>
      <c r="AQ613" s="540"/>
      <c r="AR613" s="540"/>
      <c r="AS613" s="539">
        <v>0</v>
      </c>
      <c r="AT613" s="539"/>
      <c r="AU613" s="539"/>
      <c r="AV613" s="539">
        <v>0</v>
      </c>
      <c r="AW613" s="539"/>
      <c r="AX613" s="539"/>
      <c r="AY613" s="539"/>
      <c r="AZ613" s="539"/>
      <c r="BA613" s="539"/>
      <c r="BB613" s="539"/>
      <c r="BC613" s="539"/>
      <c r="BD613" s="539"/>
      <c r="BE613" s="539">
        <v>0</v>
      </c>
      <c r="BF613" s="539"/>
      <c r="BG613" s="539"/>
      <c r="BH613" s="539">
        <v>0</v>
      </c>
      <c r="BI613" s="539"/>
      <c r="BJ613" s="539"/>
      <c r="BK613" s="540">
        <v>0</v>
      </c>
      <c r="BL613" s="540"/>
      <c r="BM613" s="540"/>
      <c r="BN613" s="553"/>
      <c r="BO613" s="553"/>
      <c r="BP613" s="553"/>
      <c r="BQ613" s="539">
        <v>0</v>
      </c>
      <c r="BR613" s="541"/>
      <c r="BS613" s="541"/>
      <c r="BT613" s="541"/>
      <c r="BU613" s="541"/>
      <c r="BV613" s="541"/>
      <c r="BW613" s="541"/>
      <c r="BX613" s="541"/>
      <c r="BY613" s="541"/>
      <c r="BZ613" s="539">
        <f t="shared" ref="BZ613:BZ616" si="559">R613+U613+X613+AA613+AD613+AG613+AJ613+AM613+AP613+AS613+AV613+AY613+BB613+BE613+BH613+BK613+BN613+BQ613+BT613+BW613</f>
        <v>86385271</v>
      </c>
      <c r="CA613" s="539">
        <f t="shared" ref="CA613:CA616" si="560">S613+V613+Y613+AB613+AE613+AH613+AK613+AN613+AQ613+AT613+AW613+AZ613+BC613+BF613+BI613+BL613+BO613+BR613+BU613+BX613</f>
        <v>34860000</v>
      </c>
      <c r="CB613" s="539">
        <f t="shared" ref="CB613:CB616" si="561">T613+W613+Z613+AC613+AF613+AI613+AL613+AO613+AR613+AU613+AX613+BA613+BD613+BG613+BJ613+BM613+BP613+BS613+BV613+BY613</f>
        <v>8450000</v>
      </c>
    </row>
    <row r="614" spans="1:80" s="11" customFormat="1" ht="68.25" customHeight="1" x14ac:dyDescent="0.2">
      <c r="A614" s="256"/>
      <c r="B614" s="256"/>
      <c r="C614" s="29">
        <v>13</v>
      </c>
      <c r="D614" s="71" t="s">
        <v>953</v>
      </c>
      <c r="E614" s="57">
        <v>71.040000000000006</v>
      </c>
      <c r="F614" s="331">
        <v>0.88170000000000004</v>
      </c>
      <c r="G614" s="332"/>
      <c r="H614" s="57">
        <v>155</v>
      </c>
      <c r="I614" s="56" t="s">
        <v>746</v>
      </c>
      <c r="J614" s="57">
        <v>0</v>
      </c>
      <c r="K614" s="60">
        <v>1</v>
      </c>
      <c r="L614" s="60">
        <v>1</v>
      </c>
      <c r="M614" s="851"/>
      <c r="N614" s="925"/>
      <c r="O614" s="857"/>
      <c r="P614" s="854"/>
      <c r="Q614" s="207" t="s">
        <v>51</v>
      </c>
      <c r="R614" s="539">
        <v>0</v>
      </c>
      <c r="S614" s="539"/>
      <c r="T614" s="539"/>
      <c r="U614" s="539">
        <v>0</v>
      </c>
      <c r="V614" s="539"/>
      <c r="W614" s="539"/>
      <c r="X614" s="539">
        <v>0</v>
      </c>
      <c r="Y614" s="539"/>
      <c r="Z614" s="539"/>
      <c r="AA614" s="539">
        <v>0</v>
      </c>
      <c r="AB614" s="539"/>
      <c r="AC614" s="539"/>
      <c r="AD614" s="539">
        <v>0</v>
      </c>
      <c r="AE614" s="539"/>
      <c r="AF614" s="539"/>
      <c r="AG614" s="539">
        <v>0</v>
      </c>
      <c r="AH614" s="539"/>
      <c r="AI614" s="539"/>
      <c r="AJ614" s="539">
        <v>0</v>
      </c>
      <c r="AK614" s="539"/>
      <c r="AL614" s="539"/>
      <c r="AM614" s="539">
        <f>50500000+2300000</f>
        <v>52800000</v>
      </c>
      <c r="AN614" s="539">
        <v>47520000</v>
      </c>
      <c r="AO614" s="539">
        <v>10560000</v>
      </c>
      <c r="AP614" s="540"/>
      <c r="AQ614" s="540"/>
      <c r="AR614" s="540"/>
      <c r="AS614" s="539">
        <v>0</v>
      </c>
      <c r="AT614" s="539"/>
      <c r="AU614" s="539"/>
      <c r="AV614" s="539">
        <v>0</v>
      </c>
      <c r="AW614" s="539"/>
      <c r="AX614" s="539"/>
      <c r="AY614" s="539"/>
      <c r="AZ614" s="539"/>
      <c r="BA614" s="539"/>
      <c r="BB614" s="539"/>
      <c r="BC614" s="539"/>
      <c r="BD614" s="539"/>
      <c r="BE614" s="539">
        <v>0</v>
      </c>
      <c r="BF614" s="539"/>
      <c r="BG614" s="539"/>
      <c r="BH614" s="539">
        <v>0</v>
      </c>
      <c r="BI614" s="539"/>
      <c r="BJ614" s="539"/>
      <c r="BK614" s="540">
        <v>0</v>
      </c>
      <c r="BL614" s="540"/>
      <c r="BM614" s="540"/>
      <c r="BN614" s="553"/>
      <c r="BO614" s="553"/>
      <c r="BP614" s="553"/>
      <c r="BQ614" s="539">
        <v>0</v>
      </c>
      <c r="BR614" s="541"/>
      <c r="BS614" s="541"/>
      <c r="BT614" s="541"/>
      <c r="BU614" s="541"/>
      <c r="BV614" s="541"/>
      <c r="BW614" s="541"/>
      <c r="BX614" s="541"/>
      <c r="BY614" s="541"/>
      <c r="BZ614" s="539">
        <f t="shared" si="559"/>
        <v>52800000</v>
      </c>
      <c r="CA614" s="539">
        <f t="shared" si="560"/>
        <v>47520000</v>
      </c>
      <c r="CB614" s="539">
        <f t="shared" si="561"/>
        <v>10560000</v>
      </c>
    </row>
    <row r="615" spans="1:80" s="11" customFormat="1" ht="234.75" customHeight="1" x14ac:dyDescent="0.2">
      <c r="A615" s="256"/>
      <c r="B615" s="256"/>
      <c r="C615" s="29" t="s">
        <v>747</v>
      </c>
      <c r="D615" s="71" t="s">
        <v>937</v>
      </c>
      <c r="E615" s="29" t="s">
        <v>939</v>
      </c>
      <c r="F615" s="29" t="s">
        <v>940</v>
      </c>
      <c r="G615" s="68"/>
      <c r="H615" s="57">
        <v>156</v>
      </c>
      <c r="I615" s="56" t="s">
        <v>748</v>
      </c>
      <c r="J615" s="57">
        <v>12</v>
      </c>
      <c r="K615" s="60">
        <v>12</v>
      </c>
      <c r="L615" s="60">
        <v>12</v>
      </c>
      <c r="M615" s="851"/>
      <c r="N615" s="925"/>
      <c r="O615" s="857"/>
      <c r="P615" s="854"/>
      <c r="Q615" s="207" t="s">
        <v>51</v>
      </c>
      <c r="R615" s="539">
        <v>0</v>
      </c>
      <c r="S615" s="539"/>
      <c r="T615" s="539"/>
      <c r="U615" s="539">
        <v>0</v>
      </c>
      <c r="V615" s="539"/>
      <c r="W615" s="539"/>
      <c r="X615" s="539">
        <v>0</v>
      </c>
      <c r="Y615" s="539"/>
      <c r="Z615" s="539"/>
      <c r="AA615" s="539">
        <v>0</v>
      </c>
      <c r="AB615" s="539"/>
      <c r="AC615" s="539"/>
      <c r="AD615" s="539">
        <v>0</v>
      </c>
      <c r="AE615" s="539"/>
      <c r="AF615" s="539"/>
      <c r="AG615" s="539">
        <v>0</v>
      </c>
      <c r="AH615" s="539"/>
      <c r="AI615" s="539"/>
      <c r="AJ615" s="539">
        <v>0</v>
      </c>
      <c r="AK615" s="539"/>
      <c r="AL615" s="539"/>
      <c r="AM615" s="539">
        <f>74000000+8000000</f>
        <v>82000000</v>
      </c>
      <c r="AN615" s="539">
        <v>51840000</v>
      </c>
      <c r="AO615" s="539">
        <v>17280000</v>
      </c>
      <c r="AP615" s="539"/>
      <c r="AQ615" s="539"/>
      <c r="AR615" s="539"/>
      <c r="AS615" s="539">
        <v>0</v>
      </c>
      <c r="AT615" s="539"/>
      <c r="AU615" s="539"/>
      <c r="AV615" s="539">
        <v>0</v>
      </c>
      <c r="AW615" s="539"/>
      <c r="AX615" s="539"/>
      <c r="AY615" s="539"/>
      <c r="AZ615" s="539"/>
      <c r="BA615" s="539"/>
      <c r="BB615" s="539"/>
      <c r="BC615" s="539"/>
      <c r="BD615" s="539"/>
      <c r="BE615" s="539">
        <v>0</v>
      </c>
      <c r="BF615" s="539"/>
      <c r="BG615" s="539"/>
      <c r="BH615" s="539">
        <v>0</v>
      </c>
      <c r="BI615" s="539"/>
      <c r="BJ615" s="539"/>
      <c r="BK615" s="540"/>
      <c r="BL615" s="540"/>
      <c r="BM615" s="540"/>
      <c r="BN615" s="553"/>
      <c r="BO615" s="553"/>
      <c r="BP615" s="553"/>
      <c r="BQ615" s="539">
        <v>0</v>
      </c>
      <c r="BR615" s="541"/>
      <c r="BS615" s="541"/>
      <c r="BT615" s="541"/>
      <c r="BU615" s="541"/>
      <c r="BV615" s="541"/>
      <c r="BW615" s="541"/>
      <c r="BX615" s="541"/>
      <c r="BY615" s="541"/>
      <c r="BZ615" s="539">
        <f t="shared" si="559"/>
        <v>82000000</v>
      </c>
      <c r="CA615" s="539">
        <f t="shared" si="560"/>
        <v>51840000</v>
      </c>
      <c r="CB615" s="539">
        <f t="shared" si="561"/>
        <v>17280000</v>
      </c>
    </row>
    <row r="616" spans="1:80" s="11" customFormat="1" ht="67.5" customHeight="1" x14ac:dyDescent="0.2">
      <c r="A616" s="256"/>
      <c r="B616" s="256"/>
      <c r="C616" s="508">
        <v>34</v>
      </c>
      <c r="D616" s="516" t="s">
        <v>954</v>
      </c>
      <c r="E616" s="508" t="s">
        <v>42</v>
      </c>
      <c r="F616" s="522">
        <v>0.4</v>
      </c>
      <c r="G616" s="68"/>
      <c r="H616" s="57">
        <v>157</v>
      </c>
      <c r="I616" s="56" t="s">
        <v>749</v>
      </c>
      <c r="J616" s="57">
        <v>12</v>
      </c>
      <c r="K616" s="60">
        <v>12</v>
      </c>
      <c r="L616" s="73">
        <v>12</v>
      </c>
      <c r="M616" s="852"/>
      <c r="N616" s="926"/>
      <c r="O616" s="858"/>
      <c r="P616" s="855"/>
      <c r="Q616" s="207" t="s">
        <v>51</v>
      </c>
      <c r="R616" s="539">
        <v>0</v>
      </c>
      <c r="S616" s="539"/>
      <c r="T616" s="539"/>
      <c r="U616" s="539">
        <v>0</v>
      </c>
      <c r="V616" s="539"/>
      <c r="W616" s="539"/>
      <c r="X616" s="539">
        <v>0</v>
      </c>
      <c r="Y616" s="539"/>
      <c r="Z616" s="539"/>
      <c r="AA616" s="539">
        <v>0</v>
      </c>
      <c r="AB616" s="539"/>
      <c r="AC616" s="539"/>
      <c r="AD616" s="539">
        <v>0</v>
      </c>
      <c r="AE616" s="539"/>
      <c r="AF616" s="539"/>
      <c r="AG616" s="539">
        <v>0</v>
      </c>
      <c r="AH616" s="539"/>
      <c r="AI616" s="539"/>
      <c r="AJ616" s="539">
        <v>0</v>
      </c>
      <c r="AK616" s="539"/>
      <c r="AL616" s="539"/>
      <c r="AM616" s="539">
        <f>49542081+3200000</f>
        <v>52742081</v>
      </c>
      <c r="AN616" s="539">
        <v>26400000</v>
      </c>
      <c r="AO616" s="539">
        <v>5280000</v>
      </c>
      <c r="AP616" s="540"/>
      <c r="AQ616" s="540"/>
      <c r="AR616" s="540"/>
      <c r="AS616" s="539">
        <v>0</v>
      </c>
      <c r="AT616" s="539"/>
      <c r="AU616" s="539"/>
      <c r="AV616" s="539">
        <v>0</v>
      </c>
      <c r="AW616" s="539"/>
      <c r="AX616" s="539"/>
      <c r="AY616" s="539"/>
      <c r="AZ616" s="539"/>
      <c r="BA616" s="539"/>
      <c r="BB616" s="539"/>
      <c r="BC616" s="539"/>
      <c r="BD616" s="539"/>
      <c r="BE616" s="539">
        <v>0</v>
      </c>
      <c r="BF616" s="539"/>
      <c r="BG616" s="539"/>
      <c r="BH616" s="539">
        <v>0</v>
      </c>
      <c r="BI616" s="539"/>
      <c r="BJ616" s="539"/>
      <c r="BK616" s="540">
        <v>0</v>
      </c>
      <c r="BL616" s="540"/>
      <c r="BM616" s="540"/>
      <c r="BN616" s="553"/>
      <c r="BO616" s="553"/>
      <c r="BP616" s="553"/>
      <c r="BQ616" s="539">
        <v>0</v>
      </c>
      <c r="BR616" s="541"/>
      <c r="BS616" s="541"/>
      <c r="BT616" s="541"/>
      <c r="BU616" s="541"/>
      <c r="BV616" s="541"/>
      <c r="BW616" s="541"/>
      <c r="BX616" s="541"/>
      <c r="BY616" s="541"/>
      <c r="BZ616" s="539">
        <f t="shared" si="559"/>
        <v>52742081</v>
      </c>
      <c r="CA616" s="539">
        <f t="shared" si="560"/>
        <v>26400000</v>
      </c>
      <c r="CB616" s="539">
        <f t="shared" si="561"/>
        <v>5280000</v>
      </c>
    </row>
    <row r="617" spans="1:80" s="459" customFormat="1" ht="15.75" x14ac:dyDescent="0.2">
      <c r="A617" s="256"/>
      <c r="B617" s="54"/>
      <c r="C617" s="510"/>
      <c r="D617" s="209"/>
      <c r="E617" s="259"/>
      <c r="F617" s="259"/>
      <c r="G617" s="77"/>
      <c r="H617" s="78"/>
      <c r="I617" s="77"/>
      <c r="J617" s="78"/>
      <c r="K617" s="140"/>
      <c r="L617" s="140"/>
      <c r="M617" s="140"/>
      <c r="N617" s="239"/>
      <c r="O617" s="78"/>
      <c r="P617" s="77"/>
      <c r="Q617" s="78"/>
      <c r="R617" s="548">
        <f t="shared" ref="R617:BZ617" si="562">SUM(R613:R616)</f>
        <v>0</v>
      </c>
      <c r="S617" s="548">
        <f t="shared" si="562"/>
        <v>0</v>
      </c>
      <c r="T617" s="548">
        <f t="shared" si="562"/>
        <v>0</v>
      </c>
      <c r="U617" s="548">
        <f t="shared" si="562"/>
        <v>0</v>
      </c>
      <c r="V617" s="548">
        <f t="shared" si="562"/>
        <v>0</v>
      </c>
      <c r="W617" s="548">
        <f t="shared" si="562"/>
        <v>0</v>
      </c>
      <c r="X617" s="548">
        <f t="shared" si="562"/>
        <v>0</v>
      </c>
      <c r="Y617" s="548">
        <f t="shared" si="562"/>
        <v>0</v>
      </c>
      <c r="Z617" s="548">
        <f t="shared" si="562"/>
        <v>0</v>
      </c>
      <c r="AA617" s="548">
        <f t="shared" si="562"/>
        <v>0</v>
      </c>
      <c r="AB617" s="548">
        <f t="shared" si="562"/>
        <v>0</v>
      </c>
      <c r="AC617" s="548">
        <f t="shared" si="562"/>
        <v>0</v>
      </c>
      <c r="AD617" s="548">
        <f t="shared" si="562"/>
        <v>0</v>
      </c>
      <c r="AE617" s="548">
        <f t="shared" si="562"/>
        <v>0</v>
      </c>
      <c r="AF617" s="548">
        <f t="shared" si="562"/>
        <v>0</v>
      </c>
      <c r="AG617" s="548">
        <f t="shared" si="562"/>
        <v>0</v>
      </c>
      <c r="AH617" s="548">
        <f t="shared" si="562"/>
        <v>0</v>
      </c>
      <c r="AI617" s="548">
        <f t="shared" si="562"/>
        <v>0</v>
      </c>
      <c r="AJ617" s="548">
        <f t="shared" si="562"/>
        <v>0</v>
      </c>
      <c r="AK617" s="548">
        <f t="shared" si="562"/>
        <v>0</v>
      </c>
      <c r="AL617" s="548">
        <f t="shared" si="562"/>
        <v>0</v>
      </c>
      <c r="AM617" s="548">
        <f t="shared" si="562"/>
        <v>273927352</v>
      </c>
      <c r="AN617" s="548">
        <f t="shared" si="562"/>
        <v>160620000</v>
      </c>
      <c r="AO617" s="548">
        <f t="shared" si="562"/>
        <v>41570000</v>
      </c>
      <c r="AP617" s="548">
        <f t="shared" si="562"/>
        <v>0</v>
      </c>
      <c r="AQ617" s="548">
        <f t="shared" si="562"/>
        <v>0</v>
      </c>
      <c r="AR617" s="548">
        <f t="shared" si="562"/>
        <v>0</v>
      </c>
      <c r="AS617" s="548">
        <f t="shared" si="562"/>
        <v>0</v>
      </c>
      <c r="AT617" s="548">
        <f t="shared" si="562"/>
        <v>0</v>
      </c>
      <c r="AU617" s="548">
        <f t="shared" si="562"/>
        <v>0</v>
      </c>
      <c r="AV617" s="548">
        <f t="shared" si="562"/>
        <v>0</v>
      </c>
      <c r="AW617" s="548">
        <f t="shared" si="562"/>
        <v>0</v>
      </c>
      <c r="AX617" s="548">
        <f t="shared" si="562"/>
        <v>0</v>
      </c>
      <c r="AY617" s="548">
        <f t="shared" si="562"/>
        <v>0</v>
      </c>
      <c r="AZ617" s="548">
        <f t="shared" si="562"/>
        <v>0</v>
      </c>
      <c r="BA617" s="548">
        <f t="shared" si="562"/>
        <v>0</v>
      </c>
      <c r="BB617" s="548">
        <f t="shared" si="562"/>
        <v>0</v>
      </c>
      <c r="BC617" s="548">
        <f t="shared" si="562"/>
        <v>0</v>
      </c>
      <c r="BD617" s="548">
        <f t="shared" si="562"/>
        <v>0</v>
      </c>
      <c r="BE617" s="548">
        <f t="shared" si="562"/>
        <v>0</v>
      </c>
      <c r="BF617" s="548">
        <f t="shared" si="562"/>
        <v>0</v>
      </c>
      <c r="BG617" s="548">
        <f t="shared" si="562"/>
        <v>0</v>
      </c>
      <c r="BH617" s="548">
        <f t="shared" si="562"/>
        <v>0</v>
      </c>
      <c r="BI617" s="548">
        <f t="shared" si="562"/>
        <v>0</v>
      </c>
      <c r="BJ617" s="548">
        <f t="shared" si="562"/>
        <v>0</v>
      </c>
      <c r="BK617" s="548">
        <f t="shared" si="562"/>
        <v>0</v>
      </c>
      <c r="BL617" s="548">
        <f t="shared" si="562"/>
        <v>0</v>
      </c>
      <c r="BM617" s="548">
        <f t="shared" si="562"/>
        <v>0</v>
      </c>
      <c r="BN617" s="548">
        <f t="shared" si="562"/>
        <v>0</v>
      </c>
      <c r="BO617" s="548">
        <f t="shared" si="562"/>
        <v>0</v>
      </c>
      <c r="BP617" s="548">
        <f t="shared" si="562"/>
        <v>0</v>
      </c>
      <c r="BQ617" s="548">
        <f t="shared" si="562"/>
        <v>0</v>
      </c>
      <c r="BR617" s="548">
        <f t="shared" si="562"/>
        <v>0</v>
      </c>
      <c r="BS617" s="548">
        <f t="shared" si="562"/>
        <v>0</v>
      </c>
      <c r="BT617" s="548">
        <f t="shared" si="562"/>
        <v>0</v>
      </c>
      <c r="BU617" s="548">
        <f t="shared" si="562"/>
        <v>0</v>
      </c>
      <c r="BV617" s="548">
        <f t="shared" si="562"/>
        <v>0</v>
      </c>
      <c r="BW617" s="548">
        <f t="shared" si="562"/>
        <v>0</v>
      </c>
      <c r="BX617" s="548">
        <f t="shared" si="562"/>
        <v>0</v>
      </c>
      <c r="BY617" s="548">
        <f t="shared" si="562"/>
        <v>0</v>
      </c>
      <c r="BZ617" s="548">
        <f t="shared" si="562"/>
        <v>273927352</v>
      </c>
      <c r="CA617" s="548">
        <f t="shared" ref="CA617:CB617" si="563">SUM(CA613:CA616)</f>
        <v>160620000</v>
      </c>
      <c r="CB617" s="548">
        <f t="shared" si="563"/>
        <v>41570000</v>
      </c>
    </row>
    <row r="618" spans="1:80" s="459" customFormat="1" ht="15.75" x14ac:dyDescent="0.2">
      <c r="A618" s="256"/>
      <c r="B618" s="54"/>
      <c r="C618" s="92"/>
      <c r="D618" s="91"/>
      <c r="E618" s="92"/>
      <c r="F618" s="92"/>
      <c r="G618" s="91"/>
      <c r="H618" s="92"/>
      <c r="I618" s="91"/>
      <c r="J618" s="92"/>
      <c r="K618" s="184"/>
      <c r="L618" s="334"/>
      <c r="M618" s="334"/>
      <c r="N618" s="125"/>
      <c r="O618" s="499"/>
      <c r="P618" s="124"/>
      <c r="Q618" s="92"/>
      <c r="R618" s="543"/>
      <c r="S618" s="543"/>
      <c r="T618" s="543"/>
      <c r="U618" s="543"/>
      <c r="V618" s="543"/>
      <c r="W618" s="543"/>
      <c r="X618" s="543"/>
      <c r="Y618" s="543"/>
      <c r="Z618" s="543"/>
      <c r="AA618" s="543"/>
      <c r="AB618" s="543"/>
      <c r="AC618" s="543"/>
      <c r="AD618" s="543"/>
      <c r="AE618" s="543"/>
      <c r="AF618" s="543"/>
      <c r="AG618" s="543"/>
      <c r="AH618" s="543"/>
      <c r="AI618" s="543"/>
      <c r="AJ618" s="543"/>
      <c r="AK618" s="543"/>
      <c r="AL618" s="543"/>
      <c r="AM618" s="543"/>
      <c r="AN618" s="543"/>
      <c r="AO618" s="543"/>
      <c r="AP618" s="543"/>
      <c r="AQ618" s="543"/>
      <c r="AR618" s="543"/>
      <c r="AS618" s="543"/>
      <c r="AT618" s="543"/>
      <c r="AU618" s="543"/>
      <c r="AV618" s="543"/>
      <c r="AW618" s="543"/>
      <c r="AX618" s="543"/>
      <c r="AY618" s="543"/>
      <c r="AZ618" s="543"/>
      <c r="BA618" s="543"/>
      <c r="BB618" s="543"/>
      <c r="BC618" s="543"/>
      <c r="BD618" s="543"/>
      <c r="BE618" s="543"/>
      <c r="BF618" s="543"/>
      <c r="BG618" s="543"/>
      <c r="BH618" s="543"/>
      <c r="BI618" s="543"/>
      <c r="BJ618" s="543"/>
      <c r="BK618" s="545"/>
      <c r="BL618" s="545"/>
      <c r="BM618" s="545"/>
      <c r="BN618" s="546"/>
      <c r="BO618" s="546"/>
      <c r="BP618" s="546"/>
      <c r="BQ618" s="543"/>
      <c r="BR618" s="543"/>
      <c r="BS618" s="543"/>
      <c r="BT618" s="543"/>
      <c r="BU618" s="543"/>
      <c r="BV618" s="543"/>
      <c r="BW618" s="543"/>
      <c r="BX618" s="543"/>
      <c r="BY618" s="543"/>
      <c r="BZ618" s="547"/>
      <c r="CA618" s="547"/>
      <c r="CB618" s="547"/>
    </row>
    <row r="619" spans="1:80" s="459" customFormat="1" ht="15.75" x14ac:dyDescent="0.2">
      <c r="A619" s="256"/>
      <c r="B619" s="54"/>
      <c r="C619" s="508"/>
      <c r="D619" s="229"/>
      <c r="E619" s="230"/>
      <c r="F619" s="230"/>
      <c r="G619" s="274">
        <v>45</v>
      </c>
      <c r="H619" s="100" t="s">
        <v>750</v>
      </c>
      <c r="I619" s="100"/>
      <c r="J619" s="100"/>
      <c r="K619" s="155"/>
      <c r="L619" s="155"/>
      <c r="M619" s="155"/>
      <c r="N619" s="100"/>
      <c r="O619" s="212"/>
      <c r="P619" s="100"/>
      <c r="Q619" s="100"/>
      <c r="R619" s="336"/>
      <c r="S619" s="336"/>
      <c r="T619" s="336"/>
      <c r="U619" s="336"/>
      <c r="V619" s="336"/>
      <c r="W619" s="336"/>
      <c r="X619" s="336"/>
      <c r="Y619" s="336"/>
      <c r="Z619" s="336"/>
      <c r="AA619" s="336"/>
      <c r="AB619" s="336"/>
      <c r="AC619" s="336"/>
      <c r="AD619" s="336"/>
      <c r="AE619" s="336"/>
      <c r="AF619" s="336"/>
      <c r="AG619" s="336"/>
      <c r="AH619" s="336"/>
      <c r="AI619" s="336"/>
      <c r="AJ619" s="336"/>
      <c r="AK619" s="336"/>
      <c r="AL619" s="336"/>
      <c r="AM619" s="336"/>
      <c r="AN619" s="336"/>
      <c r="AO619" s="336"/>
      <c r="AP619" s="336"/>
      <c r="AQ619" s="336"/>
      <c r="AR619" s="336"/>
      <c r="AS619" s="336"/>
      <c r="AT619" s="336"/>
      <c r="AU619" s="336"/>
      <c r="AV619" s="336"/>
      <c r="AW619" s="336"/>
      <c r="AX619" s="336"/>
      <c r="AY619" s="336"/>
      <c r="AZ619" s="336"/>
      <c r="BA619" s="336"/>
      <c r="BB619" s="336"/>
      <c r="BC619" s="336"/>
      <c r="BD619" s="336"/>
      <c r="BE619" s="336"/>
      <c r="BF619" s="336"/>
      <c r="BG619" s="336"/>
      <c r="BH619" s="336"/>
      <c r="BI619" s="336"/>
      <c r="BJ619" s="336"/>
      <c r="BK619" s="552"/>
      <c r="BL619" s="552"/>
      <c r="BM619" s="552"/>
      <c r="BN619" s="336"/>
      <c r="BO619" s="336"/>
      <c r="BP619" s="336"/>
      <c r="BQ619" s="336"/>
      <c r="BR619" s="336"/>
      <c r="BS619" s="336"/>
      <c r="BT619" s="336"/>
      <c r="BU619" s="336"/>
      <c r="BV619" s="336"/>
      <c r="BW619" s="336"/>
      <c r="BX619" s="336"/>
      <c r="BY619" s="336"/>
      <c r="BZ619" s="338"/>
      <c r="CA619" s="338"/>
      <c r="CB619" s="338"/>
    </row>
    <row r="620" spans="1:80" s="11" customFormat="1" ht="104.25" customHeight="1" x14ac:dyDescent="0.2">
      <c r="A620" s="256"/>
      <c r="B620" s="54"/>
      <c r="C620" s="857" t="s">
        <v>751</v>
      </c>
      <c r="D620" s="854" t="s">
        <v>938</v>
      </c>
      <c r="E620" s="857" t="s">
        <v>941</v>
      </c>
      <c r="F620" s="857" t="s">
        <v>942</v>
      </c>
      <c r="G620" s="927"/>
      <c r="H620" s="65">
        <v>158</v>
      </c>
      <c r="I620" s="56" t="s">
        <v>752</v>
      </c>
      <c r="J620" s="65" t="s">
        <v>42</v>
      </c>
      <c r="K620" s="132">
        <v>11</v>
      </c>
      <c r="L620" s="132">
        <v>11</v>
      </c>
      <c r="M620" s="850">
        <v>2017003630067</v>
      </c>
      <c r="N620" s="856" t="s">
        <v>660</v>
      </c>
      <c r="O620" s="856" t="s">
        <v>753</v>
      </c>
      <c r="P620" s="853" t="s">
        <v>754</v>
      </c>
      <c r="Q620" s="57" t="s">
        <v>51</v>
      </c>
      <c r="R620" s="539">
        <v>0</v>
      </c>
      <c r="S620" s="539"/>
      <c r="T620" s="539"/>
      <c r="U620" s="539">
        <v>0</v>
      </c>
      <c r="V620" s="539"/>
      <c r="W620" s="539"/>
      <c r="X620" s="539">
        <v>0</v>
      </c>
      <c r="Y620" s="539"/>
      <c r="Z620" s="539"/>
      <c r="AA620" s="539">
        <v>0</v>
      </c>
      <c r="AB620" s="539"/>
      <c r="AC620" s="539"/>
      <c r="AD620" s="539">
        <v>0</v>
      </c>
      <c r="AE620" s="539"/>
      <c r="AF620" s="539"/>
      <c r="AG620" s="539">
        <v>0</v>
      </c>
      <c r="AH620" s="539"/>
      <c r="AI620" s="539"/>
      <c r="AJ620" s="539">
        <v>0</v>
      </c>
      <c r="AK620" s="539"/>
      <c r="AL620" s="539"/>
      <c r="AM620" s="539">
        <f>1175000000+109098541</f>
        <v>1284098541</v>
      </c>
      <c r="AN620" s="539">
        <v>580396000</v>
      </c>
      <c r="AO620" s="539">
        <v>63920000</v>
      </c>
      <c r="AP620" s="540"/>
      <c r="AQ620" s="540"/>
      <c r="AR620" s="540"/>
      <c r="AS620" s="539">
        <v>0</v>
      </c>
      <c r="AT620" s="539"/>
      <c r="AU620" s="539"/>
      <c r="AV620" s="539">
        <v>0</v>
      </c>
      <c r="AW620" s="539"/>
      <c r="AX620" s="539"/>
      <c r="AY620" s="539"/>
      <c r="AZ620" s="539"/>
      <c r="BA620" s="539"/>
      <c r="BB620" s="539"/>
      <c r="BC620" s="539"/>
      <c r="BD620" s="539"/>
      <c r="BE620" s="539">
        <v>0</v>
      </c>
      <c r="BF620" s="539"/>
      <c r="BG620" s="539"/>
      <c r="BH620" s="539">
        <v>0</v>
      </c>
      <c r="BI620" s="539"/>
      <c r="BJ620" s="539"/>
      <c r="BK620" s="540">
        <v>0</v>
      </c>
      <c r="BL620" s="540"/>
      <c r="BM620" s="540"/>
      <c r="BN620" s="553"/>
      <c r="BO620" s="553"/>
      <c r="BP620" s="553"/>
      <c r="BQ620" s="539">
        <v>0</v>
      </c>
      <c r="BR620" s="541"/>
      <c r="BS620" s="541"/>
      <c r="BT620" s="541"/>
      <c r="BU620" s="541"/>
      <c r="BV620" s="541"/>
      <c r="BW620" s="541"/>
      <c r="BX620" s="541"/>
      <c r="BY620" s="541"/>
      <c r="BZ620" s="539">
        <f t="shared" ref="BZ620:BZ621" si="564">R620+U620+X620+AA620+AD620+AG620+AJ620+AM620+AP620+AS620+AV620+AY620+BB620+BE620+BH620+BK620+BN620+BQ620+BT620+BW620</f>
        <v>1284098541</v>
      </c>
      <c r="CA620" s="539">
        <f t="shared" ref="CA620:CA621" si="565">S620+V620+Y620+AB620+AE620+AH620+AK620+AN620+AQ620+AT620+AW620+AZ620+BC620+BF620+BI620+BL620+BO620+BR620+BU620+BX620</f>
        <v>580396000</v>
      </c>
      <c r="CB620" s="539">
        <f t="shared" ref="CB620:CB621" si="566">T620+W620+Z620+AC620+AF620+AI620+AL620+AO620+AR620+AU620+AX620+BA620+BD620+BG620+BJ620+BM620+BP620+BS620+BV620+BY620</f>
        <v>63920000</v>
      </c>
    </row>
    <row r="621" spans="1:80" s="11" customFormat="1" ht="136.5" customHeight="1" x14ac:dyDescent="0.2">
      <c r="A621" s="256"/>
      <c r="B621" s="54"/>
      <c r="C621" s="857"/>
      <c r="D621" s="854"/>
      <c r="E621" s="857"/>
      <c r="F621" s="857"/>
      <c r="G621" s="926"/>
      <c r="H621" s="65">
        <v>159</v>
      </c>
      <c r="I621" s="56" t="s">
        <v>755</v>
      </c>
      <c r="J621" s="65" t="s">
        <v>42</v>
      </c>
      <c r="K621" s="132">
        <v>8</v>
      </c>
      <c r="L621" s="132">
        <v>0</v>
      </c>
      <c r="M621" s="852"/>
      <c r="N621" s="858"/>
      <c r="O621" s="858"/>
      <c r="P621" s="855"/>
      <c r="Q621" s="57" t="s">
        <v>51</v>
      </c>
      <c r="R621" s="539">
        <v>0</v>
      </c>
      <c r="S621" s="539"/>
      <c r="T621" s="539"/>
      <c r="U621" s="539">
        <v>0</v>
      </c>
      <c r="V621" s="539"/>
      <c r="W621" s="539"/>
      <c r="X621" s="539">
        <v>0</v>
      </c>
      <c r="Y621" s="539"/>
      <c r="Z621" s="539"/>
      <c r="AA621" s="539">
        <v>0</v>
      </c>
      <c r="AB621" s="539"/>
      <c r="AC621" s="539"/>
      <c r="AD621" s="539">
        <v>0</v>
      </c>
      <c r="AE621" s="539"/>
      <c r="AF621" s="539"/>
      <c r="AG621" s="539">
        <v>0</v>
      </c>
      <c r="AH621" s="539"/>
      <c r="AI621" s="539"/>
      <c r="AJ621" s="539">
        <v>0</v>
      </c>
      <c r="AK621" s="539"/>
      <c r="AL621" s="539"/>
      <c r="AM621" s="539">
        <v>0</v>
      </c>
      <c r="AN621" s="539"/>
      <c r="AO621" s="539"/>
      <c r="AP621" s="539"/>
      <c r="AQ621" s="539"/>
      <c r="AR621" s="539"/>
      <c r="AS621" s="539">
        <v>0</v>
      </c>
      <c r="AT621" s="539"/>
      <c r="AU621" s="539"/>
      <c r="AV621" s="539">
        <v>0</v>
      </c>
      <c r="AW621" s="539"/>
      <c r="AX621" s="539"/>
      <c r="AY621" s="539"/>
      <c r="AZ621" s="539"/>
      <c r="BA621" s="539"/>
      <c r="BB621" s="539"/>
      <c r="BC621" s="539"/>
      <c r="BD621" s="539"/>
      <c r="BE621" s="539">
        <v>0</v>
      </c>
      <c r="BF621" s="539"/>
      <c r="BG621" s="539"/>
      <c r="BH621" s="539">
        <v>0</v>
      </c>
      <c r="BI621" s="539"/>
      <c r="BJ621" s="539"/>
      <c r="BK621" s="540">
        <v>0</v>
      </c>
      <c r="BL621" s="540"/>
      <c r="BM621" s="540"/>
      <c r="BN621" s="553"/>
      <c r="BO621" s="553"/>
      <c r="BP621" s="553"/>
      <c r="BQ621" s="539">
        <v>0</v>
      </c>
      <c r="BR621" s="541"/>
      <c r="BS621" s="541"/>
      <c r="BT621" s="541"/>
      <c r="BU621" s="541"/>
      <c r="BV621" s="541"/>
      <c r="BW621" s="541"/>
      <c r="BX621" s="541"/>
      <c r="BY621" s="541"/>
      <c r="BZ621" s="539">
        <f t="shared" si="564"/>
        <v>0</v>
      </c>
      <c r="CA621" s="539">
        <f t="shared" si="565"/>
        <v>0</v>
      </c>
      <c r="CB621" s="539">
        <f t="shared" si="566"/>
        <v>0</v>
      </c>
    </row>
    <row r="622" spans="1:80" s="459" customFormat="1" ht="15.75" x14ac:dyDescent="0.2">
      <c r="A622" s="256"/>
      <c r="B622" s="54"/>
      <c r="C622" s="510"/>
      <c r="D622" s="209"/>
      <c r="E622" s="259"/>
      <c r="F622" s="259"/>
      <c r="G622" s="234"/>
      <c r="H622" s="239"/>
      <c r="I622" s="77"/>
      <c r="J622" s="239"/>
      <c r="K622" s="165"/>
      <c r="L622" s="165"/>
      <c r="M622" s="165"/>
      <c r="N622" s="78"/>
      <c r="O622" s="78"/>
      <c r="P622" s="77"/>
      <c r="Q622" s="78"/>
      <c r="R622" s="548">
        <f t="shared" ref="R622:BY622" si="567">SUM(R620:R621)</f>
        <v>0</v>
      </c>
      <c r="S622" s="548">
        <f t="shared" si="567"/>
        <v>0</v>
      </c>
      <c r="T622" s="548">
        <f t="shared" si="567"/>
        <v>0</v>
      </c>
      <c r="U622" s="548">
        <f t="shared" si="567"/>
        <v>0</v>
      </c>
      <c r="V622" s="548">
        <f t="shared" si="567"/>
        <v>0</v>
      </c>
      <c r="W622" s="548">
        <f t="shared" si="567"/>
        <v>0</v>
      </c>
      <c r="X622" s="548">
        <f t="shared" si="567"/>
        <v>0</v>
      </c>
      <c r="Y622" s="548">
        <f t="shared" si="567"/>
        <v>0</v>
      </c>
      <c r="Z622" s="548">
        <f t="shared" si="567"/>
        <v>0</v>
      </c>
      <c r="AA622" s="548">
        <f t="shared" si="567"/>
        <v>0</v>
      </c>
      <c r="AB622" s="548">
        <f t="shared" si="567"/>
        <v>0</v>
      </c>
      <c r="AC622" s="548">
        <f t="shared" si="567"/>
        <v>0</v>
      </c>
      <c r="AD622" s="548">
        <f t="shared" si="567"/>
        <v>0</v>
      </c>
      <c r="AE622" s="548">
        <f t="shared" si="567"/>
        <v>0</v>
      </c>
      <c r="AF622" s="548">
        <f t="shared" si="567"/>
        <v>0</v>
      </c>
      <c r="AG622" s="548">
        <f t="shared" si="567"/>
        <v>0</v>
      </c>
      <c r="AH622" s="548">
        <f t="shared" si="567"/>
        <v>0</v>
      </c>
      <c r="AI622" s="548">
        <f t="shared" si="567"/>
        <v>0</v>
      </c>
      <c r="AJ622" s="548">
        <f t="shared" si="567"/>
        <v>0</v>
      </c>
      <c r="AK622" s="548">
        <f t="shared" si="567"/>
        <v>0</v>
      </c>
      <c r="AL622" s="548">
        <f t="shared" si="567"/>
        <v>0</v>
      </c>
      <c r="AM622" s="548">
        <f t="shared" si="567"/>
        <v>1284098541</v>
      </c>
      <c r="AN622" s="548">
        <f t="shared" si="567"/>
        <v>580396000</v>
      </c>
      <c r="AO622" s="548">
        <f t="shared" si="567"/>
        <v>63920000</v>
      </c>
      <c r="AP622" s="548">
        <f t="shared" si="567"/>
        <v>0</v>
      </c>
      <c r="AQ622" s="548">
        <f t="shared" si="567"/>
        <v>0</v>
      </c>
      <c r="AR622" s="548">
        <f t="shared" si="567"/>
        <v>0</v>
      </c>
      <c r="AS622" s="548">
        <f t="shared" si="567"/>
        <v>0</v>
      </c>
      <c r="AT622" s="548">
        <f t="shared" si="567"/>
        <v>0</v>
      </c>
      <c r="AU622" s="548">
        <f t="shared" si="567"/>
        <v>0</v>
      </c>
      <c r="AV622" s="548">
        <f t="shared" si="567"/>
        <v>0</v>
      </c>
      <c r="AW622" s="548">
        <f t="shared" si="567"/>
        <v>0</v>
      </c>
      <c r="AX622" s="548">
        <f t="shared" si="567"/>
        <v>0</v>
      </c>
      <c r="AY622" s="548">
        <f t="shared" si="567"/>
        <v>0</v>
      </c>
      <c r="AZ622" s="548">
        <f t="shared" si="567"/>
        <v>0</v>
      </c>
      <c r="BA622" s="548">
        <f t="shared" si="567"/>
        <v>0</v>
      </c>
      <c r="BB622" s="548">
        <f t="shared" si="567"/>
        <v>0</v>
      </c>
      <c r="BC622" s="548">
        <f t="shared" si="567"/>
        <v>0</v>
      </c>
      <c r="BD622" s="548">
        <f t="shared" si="567"/>
        <v>0</v>
      </c>
      <c r="BE622" s="548">
        <f t="shared" si="567"/>
        <v>0</v>
      </c>
      <c r="BF622" s="548">
        <f t="shared" si="567"/>
        <v>0</v>
      </c>
      <c r="BG622" s="548">
        <f t="shared" si="567"/>
        <v>0</v>
      </c>
      <c r="BH622" s="548">
        <f t="shared" si="567"/>
        <v>0</v>
      </c>
      <c r="BI622" s="548">
        <f t="shared" si="567"/>
        <v>0</v>
      </c>
      <c r="BJ622" s="548">
        <f t="shared" si="567"/>
        <v>0</v>
      </c>
      <c r="BK622" s="548">
        <f t="shared" si="567"/>
        <v>0</v>
      </c>
      <c r="BL622" s="548">
        <f t="shared" si="567"/>
        <v>0</v>
      </c>
      <c r="BM622" s="548">
        <f t="shared" si="567"/>
        <v>0</v>
      </c>
      <c r="BN622" s="548">
        <f t="shared" si="567"/>
        <v>0</v>
      </c>
      <c r="BO622" s="548">
        <f t="shared" si="567"/>
        <v>0</v>
      </c>
      <c r="BP622" s="548">
        <f t="shared" si="567"/>
        <v>0</v>
      </c>
      <c r="BQ622" s="548">
        <f t="shared" si="567"/>
        <v>0</v>
      </c>
      <c r="BR622" s="548">
        <f t="shared" si="567"/>
        <v>0</v>
      </c>
      <c r="BS622" s="548">
        <f t="shared" si="567"/>
        <v>0</v>
      </c>
      <c r="BT622" s="548">
        <f t="shared" si="567"/>
        <v>0</v>
      </c>
      <c r="BU622" s="548">
        <f t="shared" si="567"/>
        <v>0</v>
      </c>
      <c r="BV622" s="548">
        <f t="shared" si="567"/>
        <v>0</v>
      </c>
      <c r="BW622" s="548">
        <f t="shared" si="567"/>
        <v>0</v>
      </c>
      <c r="BX622" s="548">
        <f t="shared" si="567"/>
        <v>0</v>
      </c>
      <c r="BY622" s="548">
        <f t="shared" si="567"/>
        <v>0</v>
      </c>
      <c r="BZ622" s="548">
        <f>SUM(BZ620:BZ621)</f>
        <v>1284098541</v>
      </c>
      <c r="CA622" s="548">
        <f t="shared" ref="CA622:CB622" si="568">SUM(CA620:CA621)</f>
        <v>580396000</v>
      </c>
      <c r="CB622" s="548">
        <f t="shared" si="568"/>
        <v>63920000</v>
      </c>
    </row>
    <row r="623" spans="1:80" s="459" customFormat="1" ht="15.75" x14ac:dyDescent="0.2">
      <c r="A623" s="256"/>
      <c r="B623" s="54"/>
      <c r="C623" s="92"/>
      <c r="D623" s="91"/>
      <c r="E623" s="92"/>
      <c r="F623" s="92"/>
      <c r="G623" s="91"/>
      <c r="H623" s="92"/>
      <c r="I623" s="91"/>
      <c r="J623" s="92"/>
      <c r="K623" s="184"/>
      <c r="L623" s="334"/>
      <c r="M623" s="334"/>
      <c r="N623" s="125"/>
      <c r="O623" s="499"/>
      <c r="P623" s="124"/>
      <c r="Q623" s="92"/>
      <c r="R623" s="543"/>
      <c r="S623" s="543"/>
      <c r="T623" s="543"/>
      <c r="U623" s="543"/>
      <c r="V623" s="543"/>
      <c r="W623" s="543"/>
      <c r="X623" s="543"/>
      <c r="Y623" s="543"/>
      <c r="Z623" s="543"/>
      <c r="AA623" s="543"/>
      <c r="AB623" s="543"/>
      <c r="AC623" s="543"/>
      <c r="AD623" s="543"/>
      <c r="AE623" s="543"/>
      <c r="AF623" s="543"/>
      <c r="AG623" s="543"/>
      <c r="AH623" s="543"/>
      <c r="AI623" s="543"/>
      <c r="AJ623" s="543"/>
      <c r="AK623" s="543"/>
      <c r="AL623" s="543"/>
      <c r="AM623" s="543"/>
      <c r="AN623" s="543"/>
      <c r="AO623" s="543"/>
      <c r="AP623" s="543"/>
      <c r="AQ623" s="543"/>
      <c r="AR623" s="543"/>
      <c r="AS623" s="543"/>
      <c r="AT623" s="543"/>
      <c r="AU623" s="543"/>
      <c r="AV623" s="543"/>
      <c r="AW623" s="543"/>
      <c r="AX623" s="543"/>
      <c r="AY623" s="543"/>
      <c r="AZ623" s="543"/>
      <c r="BA623" s="543"/>
      <c r="BB623" s="543"/>
      <c r="BC623" s="543"/>
      <c r="BD623" s="543"/>
      <c r="BE623" s="543"/>
      <c r="BF623" s="543"/>
      <c r="BG623" s="543"/>
      <c r="BH623" s="543"/>
      <c r="BI623" s="543"/>
      <c r="BJ623" s="543"/>
      <c r="BK623" s="545"/>
      <c r="BL623" s="545"/>
      <c r="BM623" s="545"/>
      <c r="BN623" s="546"/>
      <c r="BO623" s="546"/>
      <c r="BP623" s="546"/>
      <c r="BQ623" s="543"/>
      <c r="BR623" s="543"/>
      <c r="BS623" s="543"/>
      <c r="BT623" s="543"/>
      <c r="BU623" s="543"/>
      <c r="BV623" s="543"/>
      <c r="BW623" s="543"/>
      <c r="BX623" s="543"/>
      <c r="BY623" s="543"/>
      <c r="BZ623" s="547"/>
      <c r="CA623" s="547"/>
      <c r="CB623" s="547"/>
    </row>
    <row r="624" spans="1:80" s="459" customFormat="1" ht="15.75" x14ac:dyDescent="0.2">
      <c r="A624" s="256"/>
      <c r="B624" s="54"/>
      <c r="C624" s="508"/>
      <c r="D624" s="229"/>
      <c r="E624" s="230"/>
      <c r="F624" s="230"/>
      <c r="G624" s="274">
        <v>46</v>
      </c>
      <c r="H624" s="99" t="s">
        <v>756</v>
      </c>
      <c r="I624" s="99"/>
      <c r="J624" s="99"/>
      <c r="K624" s="415"/>
      <c r="L624" s="415"/>
      <c r="M624" s="415"/>
      <c r="N624" s="99"/>
      <c r="O624" s="212"/>
      <c r="P624" s="99"/>
      <c r="Q624" s="99"/>
      <c r="R624" s="657"/>
      <c r="S624" s="657"/>
      <c r="T624" s="657"/>
      <c r="U624" s="657"/>
      <c r="V624" s="657"/>
      <c r="W624" s="657"/>
      <c r="X624" s="336"/>
      <c r="Y624" s="336"/>
      <c r="Z624" s="336"/>
      <c r="AA624" s="336"/>
      <c r="AB624" s="336"/>
      <c r="AC624" s="336"/>
      <c r="AD624" s="336"/>
      <c r="AE624" s="336"/>
      <c r="AF624" s="336"/>
      <c r="AG624" s="336"/>
      <c r="AH624" s="336"/>
      <c r="AI624" s="336"/>
      <c r="AJ624" s="336"/>
      <c r="AK624" s="336"/>
      <c r="AL624" s="336"/>
      <c r="AM624" s="336"/>
      <c r="AN624" s="336"/>
      <c r="AO624" s="336"/>
      <c r="AP624" s="336"/>
      <c r="AQ624" s="336"/>
      <c r="AR624" s="336"/>
      <c r="AS624" s="336"/>
      <c r="AT624" s="336"/>
      <c r="AU624" s="336"/>
      <c r="AV624" s="336"/>
      <c r="AW624" s="336"/>
      <c r="AX624" s="336"/>
      <c r="AY624" s="336"/>
      <c r="AZ624" s="336"/>
      <c r="BA624" s="336"/>
      <c r="BB624" s="336"/>
      <c r="BC624" s="336"/>
      <c r="BD624" s="336"/>
      <c r="BE624" s="336"/>
      <c r="BF624" s="336"/>
      <c r="BG624" s="336"/>
      <c r="BH624" s="336"/>
      <c r="BI624" s="336"/>
      <c r="BJ624" s="336"/>
      <c r="BK624" s="552"/>
      <c r="BL624" s="552"/>
      <c r="BM624" s="552"/>
      <c r="BN624" s="336"/>
      <c r="BO624" s="336"/>
      <c r="BP624" s="336"/>
      <c r="BQ624" s="336"/>
      <c r="BR624" s="336"/>
      <c r="BS624" s="336"/>
      <c r="BT624" s="336"/>
      <c r="BU624" s="336"/>
      <c r="BV624" s="336"/>
      <c r="BW624" s="336"/>
      <c r="BX624" s="336"/>
      <c r="BY624" s="336"/>
      <c r="BZ624" s="338"/>
      <c r="CA624" s="338"/>
      <c r="CB624" s="338"/>
    </row>
    <row r="625" spans="1:80" s="11" customFormat="1" ht="90.75" customHeight="1" x14ac:dyDescent="0.2">
      <c r="A625" s="256"/>
      <c r="B625" s="54"/>
      <c r="C625" s="510">
        <v>26</v>
      </c>
      <c r="D625" s="518" t="s">
        <v>757</v>
      </c>
      <c r="E625" s="510" t="s">
        <v>700</v>
      </c>
      <c r="F625" s="510" t="s">
        <v>758</v>
      </c>
      <c r="G625" s="58"/>
      <c r="H625" s="57">
        <v>160</v>
      </c>
      <c r="I625" s="233" t="s">
        <v>759</v>
      </c>
      <c r="J625" s="57">
        <v>250</v>
      </c>
      <c r="K625" s="132">
        <v>300</v>
      </c>
      <c r="L625" s="132">
        <v>872</v>
      </c>
      <c r="M625" s="61">
        <v>2017003630066</v>
      </c>
      <c r="N625" s="57" t="s">
        <v>660</v>
      </c>
      <c r="O625" s="498" t="s">
        <v>760</v>
      </c>
      <c r="P625" s="56" t="s">
        <v>761</v>
      </c>
      <c r="Q625" s="57" t="s">
        <v>51</v>
      </c>
      <c r="R625" s="539">
        <v>0</v>
      </c>
      <c r="S625" s="539"/>
      <c r="T625" s="539"/>
      <c r="U625" s="539">
        <v>0</v>
      </c>
      <c r="V625" s="539"/>
      <c r="W625" s="539"/>
      <c r="X625" s="539">
        <v>0</v>
      </c>
      <c r="Y625" s="539"/>
      <c r="Z625" s="539"/>
      <c r="AA625" s="539">
        <v>0</v>
      </c>
      <c r="AB625" s="539"/>
      <c r="AC625" s="539"/>
      <c r="AD625" s="539">
        <v>0</v>
      </c>
      <c r="AE625" s="539"/>
      <c r="AF625" s="539"/>
      <c r="AG625" s="539">
        <v>0</v>
      </c>
      <c r="AH625" s="539"/>
      <c r="AI625" s="539"/>
      <c r="AJ625" s="539">
        <v>0</v>
      </c>
      <c r="AK625" s="539"/>
      <c r="AL625" s="539"/>
      <c r="AM625" s="539">
        <f>970000000+32822900+134293814</f>
        <v>1137116714</v>
      </c>
      <c r="AN625" s="539">
        <f>[6]Salud!$P$82+[6]Salud!$P$84</f>
        <v>297355000</v>
      </c>
      <c r="AO625" s="539">
        <f>[6]Salud!$Q$82</f>
        <v>89200000</v>
      </c>
      <c r="AP625" s="540"/>
      <c r="AQ625" s="540"/>
      <c r="AR625" s="540"/>
      <c r="AS625" s="539">
        <v>66328505</v>
      </c>
      <c r="AT625" s="539"/>
      <c r="AU625" s="539"/>
      <c r="AV625" s="539">
        <v>0</v>
      </c>
      <c r="AW625" s="539"/>
      <c r="AX625" s="539"/>
      <c r="AY625" s="539"/>
      <c r="AZ625" s="539"/>
      <c r="BA625" s="539"/>
      <c r="BB625" s="539"/>
      <c r="BC625" s="539"/>
      <c r="BD625" s="539"/>
      <c r="BE625" s="539">
        <v>0</v>
      </c>
      <c r="BF625" s="539"/>
      <c r="BG625" s="539"/>
      <c r="BH625" s="539">
        <v>0</v>
      </c>
      <c r="BI625" s="539"/>
      <c r="BJ625" s="539"/>
      <c r="BK625" s="540">
        <v>0</v>
      </c>
      <c r="BL625" s="540"/>
      <c r="BM625" s="540"/>
      <c r="BN625" s="553"/>
      <c r="BO625" s="553"/>
      <c r="BP625" s="553"/>
      <c r="BQ625" s="539">
        <v>0</v>
      </c>
      <c r="BR625" s="541"/>
      <c r="BS625" s="541"/>
      <c r="BT625" s="541"/>
      <c r="BU625" s="541"/>
      <c r="BV625" s="541"/>
      <c r="BW625" s="541">
        <v>36818951</v>
      </c>
      <c r="BX625" s="541"/>
      <c r="BY625" s="541"/>
      <c r="BZ625" s="539">
        <f t="shared" ref="BZ625:BZ627" si="569">R625+U625+X625+AA625+AD625+AG625+AJ625+AM625+AP625+AS625+AV625+AY625+BB625+BE625+BH625+BK625+BN625+BQ625+BT625+BW625</f>
        <v>1240264170</v>
      </c>
      <c r="CA625" s="539">
        <f t="shared" ref="CA625:CA627" si="570">S625+V625+Y625+AB625+AE625+AH625+AK625+AN625+AQ625+AT625+AW625+AZ625+BC625+BF625+BI625+BL625+BO625+BR625+BU625+BX625</f>
        <v>297355000</v>
      </c>
      <c r="CB625" s="539">
        <f t="shared" ref="CB625:CB627" si="571">T625+W625+Z625+AC625+AF625+AI625+AL625+AO625+AR625+AU625+AX625+BA625+BD625+BG625+BJ625+BM625+BP625+BS625+BV625+BY625</f>
        <v>89200000</v>
      </c>
    </row>
    <row r="626" spans="1:80" s="11" customFormat="1" ht="124.5" customHeight="1" x14ac:dyDescent="0.2">
      <c r="A626" s="256"/>
      <c r="B626" s="54"/>
      <c r="C626" s="856" t="s">
        <v>762</v>
      </c>
      <c r="D626" s="853" t="s">
        <v>943</v>
      </c>
      <c r="E626" s="856" t="s">
        <v>944</v>
      </c>
      <c r="F626" s="856" t="s">
        <v>945</v>
      </c>
      <c r="G626" s="64"/>
      <c r="H626" s="57">
        <v>161</v>
      </c>
      <c r="I626" s="56" t="s">
        <v>763</v>
      </c>
      <c r="J626" s="57">
        <v>90</v>
      </c>
      <c r="K626" s="132">
        <v>100</v>
      </c>
      <c r="L626" s="132">
        <v>100</v>
      </c>
      <c r="M626" s="850">
        <v>2017003630110</v>
      </c>
      <c r="N626" s="856" t="s">
        <v>660</v>
      </c>
      <c r="O626" s="856" t="s">
        <v>764</v>
      </c>
      <c r="P626" s="853" t="s">
        <v>765</v>
      </c>
      <c r="Q626" s="57" t="s">
        <v>51</v>
      </c>
      <c r="R626" s="539">
        <v>0</v>
      </c>
      <c r="S626" s="539"/>
      <c r="T626" s="539"/>
      <c r="U626" s="539">
        <v>0</v>
      </c>
      <c r="V626" s="539"/>
      <c r="W626" s="539"/>
      <c r="X626" s="539">
        <v>0</v>
      </c>
      <c r="Y626" s="539"/>
      <c r="Z626" s="539"/>
      <c r="AA626" s="539">
        <v>0</v>
      </c>
      <c r="AB626" s="539"/>
      <c r="AC626" s="539"/>
      <c r="AD626" s="539">
        <v>0</v>
      </c>
      <c r="AE626" s="539"/>
      <c r="AF626" s="539"/>
      <c r="AG626" s="539">
        <v>0</v>
      </c>
      <c r="AH626" s="539"/>
      <c r="AI626" s="539"/>
      <c r="AJ626" s="539">
        <v>0</v>
      </c>
      <c r="AK626" s="539"/>
      <c r="AL626" s="539"/>
      <c r="AM626" s="539">
        <f>90000000</f>
        <v>90000000</v>
      </c>
      <c r="AN626" s="539">
        <v>86700000</v>
      </c>
      <c r="AO626" s="539">
        <v>28900000</v>
      </c>
      <c r="AP626" s="540"/>
      <c r="AQ626" s="540"/>
      <c r="AR626" s="540"/>
      <c r="AS626" s="539">
        <v>46340000</v>
      </c>
      <c r="AT626" s="539"/>
      <c r="AU626" s="539"/>
      <c r="AV626" s="539">
        <v>0</v>
      </c>
      <c r="AW626" s="539"/>
      <c r="AX626" s="539"/>
      <c r="AY626" s="539"/>
      <c r="AZ626" s="539"/>
      <c r="BA626" s="539"/>
      <c r="BB626" s="539"/>
      <c r="BC626" s="539"/>
      <c r="BD626" s="539"/>
      <c r="BE626" s="539">
        <v>0</v>
      </c>
      <c r="BF626" s="539"/>
      <c r="BG626" s="539"/>
      <c r="BH626" s="539">
        <v>0</v>
      </c>
      <c r="BI626" s="539"/>
      <c r="BJ626" s="539"/>
      <c r="BK626" s="540">
        <v>0</v>
      </c>
      <c r="BL626" s="540"/>
      <c r="BM626" s="540"/>
      <c r="BN626" s="553"/>
      <c r="BO626" s="553"/>
      <c r="BP626" s="553"/>
      <c r="BQ626" s="539">
        <v>0</v>
      </c>
      <c r="BR626" s="541"/>
      <c r="BS626" s="541"/>
      <c r="BT626" s="541"/>
      <c r="BU626" s="541"/>
      <c r="BV626" s="541"/>
      <c r="BW626" s="541"/>
      <c r="BX626" s="541"/>
      <c r="BY626" s="541"/>
      <c r="BZ626" s="539">
        <f t="shared" si="569"/>
        <v>136340000</v>
      </c>
      <c r="CA626" s="539">
        <f t="shared" si="570"/>
        <v>86700000</v>
      </c>
      <c r="CB626" s="539">
        <f t="shared" si="571"/>
        <v>28900000</v>
      </c>
    </row>
    <row r="627" spans="1:80" s="11" customFormat="1" ht="143.25" customHeight="1" x14ac:dyDescent="0.2">
      <c r="A627" s="256"/>
      <c r="B627" s="54"/>
      <c r="C627" s="857"/>
      <c r="D627" s="854"/>
      <c r="E627" s="857"/>
      <c r="F627" s="857"/>
      <c r="G627" s="139"/>
      <c r="H627" s="57">
        <v>162</v>
      </c>
      <c r="I627" s="56" t="s">
        <v>766</v>
      </c>
      <c r="J627" s="57">
        <v>83</v>
      </c>
      <c r="K627" s="132">
        <v>83</v>
      </c>
      <c r="L627" s="132">
        <v>83</v>
      </c>
      <c r="M627" s="852"/>
      <c r="N627" s="858"/>
      <c r="O627" s="858"/>
      <c r="P627" s="855"/>
      <c r="Q627" s="57" t="s">
        <v>51</v>
      </c>
      <c r="R627" s="539">
        <v>0</v>
      </c>
      <c r="S627" s="539"/>
      <c r="T627" s="539"/>
      <c r="U627" s="539">
        <v>0</v>
      </c>
      <c r="V627" s="539"/>
      <c r="W627" s="539"/>
      <c r="X627" s="539">
        <v>0</v>
      </c>
      <c r="Y627" s="539"/>
      <c r="Z627" s="539"/>
      <c r="AA627" s="539">
        <v>0</v>
      </c>
      <c r="AB627" s="539"/>
      <c r="AC627" s="539"/>
      <c r="AD627" s="539">
        <v>0</v>
      </c>
      <c r="AE627" s="539"/>
      <c r="AF627" s="539"/>
      <c r="AG627" s="539">
        <v>0</v>
      </c>
      <c r="AH627" s="539"/>
      <c r="AI627" s="539"/>
      <c r="AJ627" s="539">
        <v>0</v>
      </c>
      <c r="AK627" s="539"/>
      <c r="AL627" s="539"/>
      <c r="AM627" s="63">
        <f>225000000+27584843</f>
        <v>252584843</v>
      </c>
      <c r="AN627" s="63">
        <v>157800000</v>
      </c>
      <c r="AO627" s="63">
        <v>42990000</v>
      </c>
      <c r="AP627" s="540"/>
      <c r="AQ627" s="540"/>
      <c r="AR627" s="540"/>
      <c r="AS627" s="539">
        <v>40702000</v>
      </c>
      <c r="AT627" s="539"/>
      <c r="AU627" s="539"/>
      <c r="AV627" s="539">
        <v>0</v>
      </c>
      <c r="AW627" s="539"/>
      <c r="AX627" s="539"/>
      <c r="AY627" s="539"/>
      <c r="AZ627" s="539"/>
      <c r="BA627" s="539"/>
      <c r="BB627" s="539"/>
      <c r="BC627" s="539"/>
      <c r="BD627" s="539"/>
      <c r="BE627" s="539">
        <v>0</v>
      </c>
      <c r="BF627" s="539"/>
      <c r="BG627" s="539"/>
      <c r="BH627" s="539">
        <v>0</v>
      </c>
      <c r="BI627" s="539"/>
      <c r="BJ627" s="539"/>
      <c r="BK627" s="540">
        <v>0</v>
      </c>
      <c r="BL627" s="540"/>
      <c r="BM627" s="540"/>
      <c r="BN627" s="553"/>
      <c r="BO627" s="553"/>
      <c r="BP627" s="553"/>
      <c r="BQ627" s="539">
        <v>0</v>
      </c>
      <c r="BR627" s="541"/>
      <c r="BS627" s="541"/>
      <c r="BT627" s="541"/>
      <c r="BU627" s="541"/>
      <c r="BV627" s="541"/>
      <c r="BW627" s="541">
        <v>30000000</v>
      </c>
      <c r="BX627" s="541"/>
      <c r="BY627" s="541"/>
      <c r="BZ627" s="539">
        <f t="shared" si="569"/>
        <v>323286843</v>
      </c>
      <c r="CA627" s="539">
        <f t="shared" si="570"/>
        <v>157800000</v>
      </c>
      <c r="CB627" s="539">
        <f t="shared" si="571"/>
        <v>42990000</v>
      </c>
    </row>
    <row r="628" spans="1:80" s="459" customFormat="1" ht="15.75" x14ac:dyDescent="0.2">
      <c r="A628" s="54"/>
      <c r="B628" s="74"/>
      <c r="C628" s="510"/>
      <c r="D628" s="209"/>
      <c r="E628" s="259"/>
      <c r="F628" s="259"/>
      <c r="G628" s="77"/>
      <c r="H628" s="78"/>
      <c r="I628" s="77"/>
      <c r="J628" s="78"/>
      <c r="K628" s="165"/>
      <c r="L628" s="165"/>
      <c r="M628" s="165"/>
      <c r="N628" s="78"/>
      <c r="O628" s="78"/>
      <c r="P628" s="77"/>
      <c r="Q628" s="78"/>
      <c r="R628" s="548">
        <f t="shared" ref="R628:BY628" si="572">SUM(R625:R627)</f>
        <v>0</v>
      </c>
      <c r="S628" s="548">
        <f t="shared" si="572"/>
        <v>0</v>
      </c>
      <c r="T628" s="548">
        <f t="shared" si="572"/>
        <v>0</v>
      </c>
      <c r="U628" s="548">
        <f t="shared" si="572"/>
        <v>0</v>
      </c>
      <c r="V628" s="548">
        <f t="shared" si="572"/>
        <v>0</v>
      </c>
      <c r="W628" s="548">
        <f t="shared" si="572"/>
        <v>0</v>
      </c>
      <c r="X628" s="548">
        <f t="shared" si="572"/>
        <v>0</v>
      </c>
      <c r="Y628" s="548">
        <f t="shared" si="572"/>
        <v>0</v>
      </c>
      <c r="Z628" s="548">
        <f t="shared" si="572"/>
        <v>0</v>
      </c>
      <c r="AA628" s="548">
        <f t="shared" si="572"/>
        <v>0</v>
      </c>
      <c r="AB628" s="548">
        <f t="shared" si="572"/>
        <v>0</v>
      </c>
      <c r="AC628" s="548">
        <f t="shared" si="572"/>
        <v>0</v>
      </c>
      <c r="AD628" s="548">
        <f t="shared" si="572"/>
        <v>0</v>
      </c>
      <c r="AE628" s="548">
        <f t="shared" si="572"/>
        <v>0</v>
      </c>
      <c r="AF628" s="548">
        <f t="shared" si="572"/>
        <v>0</v>
      </c>
      <c r="AG628" s="548">
        <f t="shared" si="572"/>
        <v>0</v>
      </c>
      <c r="AH628" s="548">
        <f t="shared" si="572"/>
        <v>0</v>
      </c>
      <c r="AI628" s="548">
        <f t="shared" si="572"/>
        <v>0</v>
      </c>
      <c r="AJ628" s="548">
        <f t="shared" si="572"/>
        <v>0</v>
      </c>
      <c r="AK628" s="548">
        <f t="shared" si="572"/>
        <v>0</v>
      </c>
      <c r="AL628" s="548">
        <f t="shared" si="572"/>
        <v>0</v>
      </c>
      <c r="AM628" s="548">
        <f t="shared" si="572"/>
        <v>1479701557</v>
      </c>
      <c r="AN628" s="548">
        <f t="shared" si="572"/>
        <v>541855000</v>
      </c>
      <c r="AO628" s="548">
        <f t="shared" si="572"/>
        <v>161090000</v>
      </c>
      <c r="AP628" s="548">
        <f t="shared" si="572"/>
        <v>0</v>
      </c>
      <c r="AQ628" s="548">
        <f t="shared" si="572"/>
        <v>0</v>
      </c>
      <c r="AR628" s="548">
        <f t="shared" si="572"/>
        <v>0</v>
      </c>
      <c r="AS628" s="548">
        <f t="shared" si="572"/>
        <v>153370505</v>
      </c>
      <c r="AT628" s="548">
        <f t="shared" si="572"/>
        <v>0</v>
      </c>
      <c r="AU628" s="548">
        <f t="shared" si="572"/>
        <v>0</v>
      </c>
      <c r="AV628" s="548">
        <f t="shared" si="572"/>
        <v>0</v>
      </c>
      <c r="AW628" s="548">
        <f t="shared" si="572"/>
        <v>0</v>
      </c>
      <c r="AX628" s="548">
        <f t="shared" si="572"/>
        <v>0</v>
      </c>
      <c r="AY628" s="548">
        <f t="shared" si="572"/>
        <v>0</v>
      </c>
      <c r="AZ628" s="548">
        <f t="shared" si="572"/>
        <v>0</v>
      </c>
      <c r="BA628" s="548">
        <f t="shared" si="572"/>
        <v>0</v>
      </c>
      <c r="BB628" s="548">
        <f t="shared" si="572"/>
        <v>0</v>
      </c>
      <c r="BC628" s="548">
        <f t="shared" si="572"/>
        <v>0</v>
      </c>
      <c r="BD628" s="548">
        <f t="shared" si="572"/>
        <v>0</v>
      </c>
      <c r="BE628" s="548">
        <f t="shared" si="572"/>
        <v>0</v>
      </c>
      <c r="BF628" s="548">
        <f t="shared" si="572"/>
        <v>0</v>
      </c>
      <c r="BG628" s="548">
        <f t="shared" si="572"/>
        <v>0</v>
      </c>
      <c r="BH628" s="548">
        <f t="shared" si="572"/>
        <v>0</v>
      </c>
      <c r="BI628" s="548">
        <f t="shared" si="572"/>
        <v>0</v>
      </c>
      <c r="BJ628" s="548">
        <f t="shared" si="572"/>
        <v>0</v>
      </c>
      <c r="BK628" s="548">
        <f t="shared" si="572"/>
        <v>0</v>
      </c>
      <c r="BL628" s="548">
        <f t="shared" si="572"/>
        <v>0</v>
      </c>
      <c r="BM628" s="548">
        <f t="shared" si="572"/>
        <v>0</v>
      </c>
      <c r="BN628" s="548">
        <f t="shared" si="572"/>
        <v>0</v>
      </c>
      <c r="BO628" s="548">
        <f t="shared" si="572"/>
        <v>0</v>
      </c>
      <c r="BP628" s="548">
        <f t="shared" si="572"/>
        <v>0</v>
      </c>
      <c r="BQ628" s="548">
        <f t="shared" si="572"/>
        <v>0</v>
      </c>
      <c r="BR628" s="548">
        <f t="shared" si="572"/>
        <v>0</v>
      </c>
      <c r="BS628" s="548">
        <f t="shared" si="572"/>
        <v>0</v>
      </c>
      <c r="BT628" s="548">
        <f t="shared" si="572"/>
        <v>0</v>
      </c>
      <c r="BU628" s="548">
        <f t="shared" si="572"/>
        <v>0</v>
      </c>
      <c r="BV628" s="548">
        <f t="shared" si="572"/>
        <v>0</v>
      </c>
      <c r="BW628" s="548">
        <f t="shared" si="572"/>
        <v>66818951</v>
      </c>
      <c r="BX628" s="548">
        <f t="shared" si="572"/>
        <v>0</v>
      </c>
      <c r="BY628" s="548">
        <f t="shared" si="572"/>
        <v>0</v>
      </c>
      <c r="BZ628" s="548">
        <f>SUM(BZ625:BZ627)</f>
        <v>1699891013</v>
      </c>
      <c r="CA628" s="548">
        <f t="shared" ref="CA628:CB628" si="573">SUM(CA625:CA627)</f>
        <v>541855000</v>
      </c>
      <c r="CB628" s="548">
        <f t="shared" si="573"/>
        <v>161090000</v>
      </c>
    </row>
    <row r="629" spans="1:80" s="459" customFormat="1" ht="15.75" x14ac:dyDescent="0.2">
      <c r="A629" s="54"/>
      <c r="B629" s="118"/>
      <c r="C629" s="82"/>
      <c r="D629" s="81"/>
      <c r="E629" s="82"/>
      <c r="F629" s="82"/>
      <c r="G629" s="81"/>
      <c r="H629" s="82"/>
      <c r="I629" s="81"/>
      <c r="J629" s="82"/>
      <c r="K629" s="179"/>
      <c r="L629" s="179"/>
      <c r="M629" s="179"/>
      <c r="N629" s="82"/>
      <c r="O629" s="82"/>
      <c r="P629" s="81"/>
      <c r="Q629" s="82"/>
      <c r="R629" s="554">
        <f t="shared" ref="R629:BY629" si="574">R628+R622+R617+R610+R604+R599+R594+R586+R580+R574+R567</f>
        <v>0</v>
      </c>
      <c r="S629" s="554">
        <f t="shared" si="574"/>
        <v>0</v>
      </c>
      <c r="T629" s="554">
        <f t="shared" si="574"/>
        <v>0</v>
      </c>
      <c r="U629" s="554">
        <f t="shared" si="574"/>
        <v>0</v>
      </c>
      <c r="V629" s="554">
        <f t="shared" si="574"/>
        <v>0</v>
      </c>
      <c r="W629" s="554">
        <f t="shared" si="574"/>
        <v>0</v>
      </c>
      <c r="X629" s="554">
        <f t="shared" si="574"/>
        <v>0</v>
      </c>
      <c r="Y629" s="554">
        <f t="shared" si="574"/>
        <v>0</v>
      </c>
      <c r="Z629" s="554">
        <f t="shared" si="574"/>
        <v>0</v>
      </c>
      <c r="AA629" s="554">
        <f t="shared" si="574"/>
        <v>0</v>
      </c>
      <c r="AB629" s="554">
        <f t="shared" si="574"/>
        <v>0</v>
      </c>
      <c r="AC629" s="554">
        <f t="shared" si="574"/>
        <v>0</v>
      </c>
      <c r="AD629" s="554">
        <f t="shared" si="574"/>
        <v>0</v>
      </c>
      <c r="AE629" s="554">
        <f t="shared" si="574"/>
        <v>0</v>
      </c>
      <c r="AF629" s="554">
        <f t="shared" si="574"/>
        <v>0</v>
      </c>
      <c r="AG629" s="554">
        <f t="shared" si="574"/>
        <v>0</v>
      </c>
      <c r="AH629" s="554">
        <f t="shared" si="574"/>
        <v>0</v>
      </c>
      <c r="AI629" s="554">
        <f t="shared" si="574"/>
        <v>0</v>
      </c>
      <c r="AJ629" s="554">
        <f t="shared" si="574"/>
        <v>0</v>
      </c>
      <c r="AK629" s="554">
        <f t="shared" si="574"/>
        <v>0</v>
      </c>
      <c r="AL629" s="554">
        <f t="shared" si="574"/>
        <v>0</v>
      </c>
      <c r="AM629" s="554">
        <f t="shared" si="574"/>
        <v>4203888623</v>
      </c>
      <c r="AN629" s="554">
        <f t="shared" si="574"/>
        <v>2073496296</v>
      </c>
      <c r="AO629" s="554">
        <f t="shared" si="574"/>
        <v>473882000</v>
      </c>
      <c r="AP629" s="554">
        <f t="shared" si="574"/>
        <v>0</v>
      </c>
      <c r="AQ629" s="554">
        <f t="shared" si="574"/>
        <v>0</v>
      </c>
      <c r="AR629" s="554">
        <f t="shared" si="574"/>
        <v>0</v>
      </c>
      <c r="AS629" s="554">
        <f t="shared" si="574"/>
        <v>359370505</v>
      </c>
      <c r="AT629" s="554">
        <f t="shared" si="574"/>
        <v>0</v>
      </c>
      <c r="AU629" s="554">
        <f t="shared" si="574"/>
        <v>0</v>
      </c>
      <c r="AV629" s="554">
        <f t="shared" si="574"/>
        <v>1224647292</v>
      </c>
      <c r="AW629" s="554">
        <f t="shared" si="574"/>
        <v>391840000</v>
      </c>
      <c r="AX629" s="554">
        <f t="shared" si="574"/>
        <v>13280000</v>
      </c>
      <c r="AY629" s="554">
        <f t="shared" si="574"/>
        <v>0</v>
      </c>
      <c r="AZ629" s="554">
        <f t="shared" si="574"/>
        <v>0</v>
      </c>
      <c r="BA629" s="554">
        <f t="shared" si="574"/>
        <v>0</v>
      </c>
      <c r="BB629" s="554">
        <f t="shared" si="574"/>
        <v>0</v>
      </c>
      <c r="BC629" s="554">
        <f t="shared" si="574"/>
        <v>0</v>
      </c>
      <c r="BD629" s="554">
        <f t="shared" si="574"/>
        <v>0</v>
      </c>
      <c r="BE629" s="554">
        <f t="shared" si="574"/>
        <v>0</v>
      </c>
      <c r="BF629" s="554">
        <f t="shared" si="574"/>
        <v>0</v>
      </c>
      <c r="BG629" s="554">
        <f t="shared" si="574"/>
        <v>0</v>
      </c>
      <c r="BH629" s="554">
        <f t="shared" si="574"/>
        <v>0</v>
      </c>
      <c r="BI629" s="554">
        <f t="shared" si="574"/>
        <v>0</v>
      </c>
      <c r="BJ629" s="554">
        <f t="shared" si="574"/>
        <v>0</v>
      </c>
      <c r="BK629" s="554">
        <f t="shared" si="574"/>
        <v>60000000</v>
      </c>
      <c r="BL629" s="554">
        <f t="shared" si="574"/>
        <v>31680000</v>
      </c>
      <c r="BM629" s="554">
        <f t="shared" si="574"/>
        <v>10560000</v>
      </c>
      <c r="BN629" s="554">
        <f t="shared" si="574"/>
        <v>0</v>
      </c>
      <c r="BO629" s="554">
        <f t="shared" si="574"/>
        <v>0</v>
      </c>
      <c r="BP629" s="554">
        <f t="shared" si="574"/>
        <v>0</v>
      </c>
      <c r="BQ629" s="554">
        <f t="shared" si="574"/>
        <v>0</v>
      </c>
      <c r="BR629" s="554">
        <f t="shared" si="574"/>
        <v>0</v>
      </c>
      <c r="BS629" s="554">
        <f t="shared" si="574"/>
        <v>0</v>
      </c>
      <c r="BT629" s="554">
        <f t="shared" si="574"/>
        <v>0</v>
      </c>
      <c r="BU629" s="554">
        <f t="shared" si="574"/>
        <v>0</v>
      </c>
      <c r="BV629" s="554">
        <f t="shared" si="574"/>
        <v>0</v>
      </c>
      <c r="BW629" s="554">
        <f t="shared" si="574"/>
        <v>677799214</v>
      </c>
      <c r="BX629" s="554">
        <f t="shared" si="574"/>
        <v>112767580</v>
      </c>
      <c r="BY629" s="554">
        <f t="shared" si="574"/>
        <v>31473576</v>
      </c>
      <c r="BZ629" s="554">
        <f>BZ628+BZ622+BZ617+BZ610+BZ604+BZ599+BZ594+BZ586+BZ580+BZ574+BZ567</f>
        <v>6525705634</v>
      </c>
      <c r="CA629" s="554">
        <f t="shared" ref="CA629:CB629" si="575">CA628+CA622+CA617+CA610+CA604+CA599+CA594+CA586+CA580+CA574+CA567</f>
        <v>2609783876</v>
      </c>
      <c r="CB629" s="554">
        <f t="shared" si="575"/>
        <v>529195576</v>
      </c>
    </row>
    <row r="630" spans="1:80" s="11" customFormat="1" ht="15.75" x14ac:dyDescent="0.2">
      <c r="A630" s="54"/>
      <c r="B630" s="91"/>
      <c r="C630" s="92"/>
      <c r="D630" s="91"/>
      <c r="E630" s="92"/>
      <c r="F630" s="92"/>
      <c r="G630" s="91"/>
      <c r="H630" s="92"/>
      <c r="I630" s="91"/>
      <c r="J630" s="92"/>
      <c r="K630" s="184"/>
      <c r="L630" s="334"/>
      <c r="M630" s="334"/>
      <c r="N630" s="125"/>
      <c r="O630" s="499"/>
      <c r="P630" s="124"/>
      <c r="Q630" s="92"/>
      <c r="R630" s="543"/>
      <c r="S630" s="543"/>
      <c r="T630" s="543"/>
      <c r="U630" s="543"/>
      <c r="V630" s="543"/>
      <c r="W630" s="543"/>
      <c r="X630" s="543"/>
      <c r="Y630" s="543"/>
      <c r="Z630" s="543"/>
      <c r="AA630" s="543"/>
      <c r="AB630" s="543"/>
      <c r="AC630" s="543"/>
      <c r="AD630" s="543"/>
      <c r="AE630" s="543"/>
      <c r="AF630" s="543"/>
      <c r="AG630" s="543"/>
      <c r="AH630" s="543"/>
      <c r="AI630" s="543"/>
      <c r="AJ630" s="543"/>
      <c r="AK630" s="543"/>
      <c r="AL630" s="543"/>
      <c r="AM630" s="543"/>
      <c r="AN630" s="543"/>
      <c r="AO630" s="543"/>
      <c r="AP630" s="543"/>
      <c r="AQ630" s="543"/>
      <c r="AR630" s="543"/>
      <c r="AS630" s="543"/>
      <c r="AT630" s="543"/>
      <c r="AU630" s="543"/>
      <c r="AV630" s="543"/>
      <c r="AW630" s="543"/>
      <c r="AX630" s="543"/>
      <c r="AY630" s="543"/>
      <c r="AZ630" s="543"/>
      <c r="BA630" s="543"/>
      <c r="BB630" s="543"/>
      <c r="BC630" s="543"/>
      <c r="BD630" s="543"/>
      <c r="BE630" s="543"/>
      <c r="BF630" s="543"/>
      <c r="BG630" s="543"/>
      <c r="BH630" s="543"/>
      <c r="BI630" s="543"/>
      <c r="BJ630" s="543"/>
      <c r="BK630" s="545"/>
      <c r="BL630" s="545"/>
      <c r="BM630" s="545"/>
      <c r="BN630" s="543"/>
      <c r="BO630" s="543"/>
      <c r="BP630" s="543"/>
      <c r="BQ630" s="543"/>
      <c r="BR630" s="543"/>
      <c r="BS630" s="543"/>
      <c r="BT630" s="543"/>
      <c r="BU630" s="543"/>
      <c r="BV630" s="543"/>
      <c r="BW630" s="544"/>
      <c r="BX630" s="544"/>
      <c r="BY630" s="544"/>
      <c r="BZ630" s="547"/>
      <c r="CA630" s="547"/>
      <c r="CB630" s="547"/>
    </row>
    <row r="631" spans="1:80" s="11" customFormat="1" ht="20.25" customHeight="1" x14ac:dyDescent="0.2">
      <c r="A631" s="54"/>
      <c r="B631" s="408">
        <v>13</v>
      </c>
      <c r="C631" s="49" t="s">
        <v>767</v>
      </c>
      <c r="D631" s="50"/>
      <c r="E631" s="50"/>
      <c r="F631" s="50"/>
      <c r="G631" s="50"/>
      <c r="H631" s="51"/>
      <c r="I631" s="50"/>
      <c r="J631" s="50"/>
      <c r="K631" s="153"/>
      <c r="L631" s="153"/>
      <c r="M631" s="153"/>
      <c r="N631" s="50"/>
      <c r="O631" s="51"/>
      <c r="P631" s="50"/>
      <c r="Q631" s="50"/>
      <c r="R631" s="550"/>
      <c r="S631" s="550"/>
      <c r="T631" s="550"/>
      <c r="U631" s="550"/>
      <c r="V631" s="550"/>
      <c r="W631" s="550"/>
      <c r="X631" s="550"/>
      <c r="Y631" s="550"/>
      <c r="Z631" s="550"/>
      <c r="AA631" s="550"/>
      <c r="AB631" s="550"/>
      <c r="AC631" s="550"/>
      <c r="AD631" s="550"/>
      <c r="AE631" s="550"/>
      <c r="AF631" s="550"/>
      <c r="AG631" s="550"/>
      <c r="AH631" s="550"/>
      <c r="AI631" s="550"/>
      <c r="AJ631" s="550"/>
      <c r="AK631" s="550"/>
      <c r="AL631" s="550"/>
      <c r="AM631" s="550"/>
      <c r="AN631" s="550"/>
      <c r="AO631" s="550"/>
      <c r="AP631" s="550"/>
      <c r="AQ631" s="550"/>
      <c r="AR631" s="550"/>
      <c r="AS631" s="550"/>
      <c r="AT631" s="550"/>
      <c r="AU631" s="550"/>
      <c r="AV631" s="550"/>
      <c r="AW631" s="550"/>
      <c r="AX631" s="550"/>
      <c r="AY631" s="550"/>
      <c r="AZ631" s="550"/>
      <c r="BA631" s="550"/>
      <c r="BB631" s="550"/>
      <c r="BC631" s="550"/>
      <c r="BD631" s="550"/>
      <c r="BE631" s="550"/>
      <c r="BF631" s="550"/>
      <c r="BG631" s="550"/>
      <c r="BH631" s="550"/>
      <c r="BI631" s="550"/>
      <c r="BJ631" s="550"/>
      <c r="BK631" s="551"/>
      <c r="BL631" s="551"/>
      <c r="BM631" s="551"/>
      <c r="BN631" s="550"/>
      <c r="BO631" s="550"/>
      <c r="BP631" s="550"/>
      <c r="BQ631" s="550"/>
      <c r="BR631" s="550"/>
      <c r="BS631" s="550"/>
      <c r="BT631" s="550"/>
      <c r="BU631" s="550"/>
      <c r="BV631" s="550"/>
      <c r="BW631" s="550"/>
      <c r="BX631" s="550"/>
      <c r="BY631" s="550"/>
      <c r="BZ631" s="555"/>
      <c r="CA631" s="555"/>
      <c r="CB631" s="555"/>
    </row>
    <row r="632" spans="1:80" s="11" customFormat="1" ht="15.75" x14ac:dyDescent="0.2">
      <c r="A632" s="256"/>
      <c r="B632" s="54"/>
      <c r="C632" s="508"/>
      <c r="D632" s="516"/>
      <c r="E632" s="508"/>
      <c r="F632" s="508"/>
      <c r="G632" s="274">
        <v>47</v>
      </c>
      <c r="H632" s="99" t="s">
        <v>768</v>
      </c>
      <c r="I632" s="99"/>
      <c r="J632" s="99"/>
      <c r="K632" s="415"/>
      <c r="L632" s="415"/>
      <c r="M632" s="415"/>
      <c r="N632" s="99"/>
      <c r="O632" s="212"/>
      <c r="P632" s="99"/>
      <c r="Q632" s="99"/>
      <c r="R632" s="336"/>
      <c r="S632" s="336"/>
      <c r="T632" s="336"/>
      <c r="U632" s="336"/>
      <c r="V632" s="336"/>
      <c r="W632" s="336"/>
      <c r="X632" s="336"/>
      <c r="Y632" s="336"/>
      <c r="Z632" s="336"/>
      <c r="AA632" s="336"/>
      <c r="AB632" s="336"/>
      <c r="AC632" s="336"/>
      <c r="AD632" s="336"/>
      <c r="AE632" s="336"/>
      <c r="AF632" s="336"/>
      <c r="AG632" s="336"/>
      <c r="AH632" s="336"/>
      <c r="AI632" s="336"/>
      <c r="AJ632" s="336"/>
      <c r="AK632" s="336"/>
      <c r="AL632" s="336"/>
      <c r="AM632" s="336"/>
      <c r="AN632" s="336"/>
      <c r="AO632" s="336"/>
      <c r="AP632" s="336"/>
      <c r="AQ632" s="336"/>
      <c r="AR632" s="336"/>
      <c r="AS632" s="336"/>
      <c r="AT632" s="336"/>
      <c r="AU632" s="336"/>
      <c r="AV632" s="336"/>
      <c r="AW632" s="336"/>
      <c r="AX632" s="336"/>
      <c r="AY632" s="336"/>
      <c r="AZ632" s="336"/>
      <c r="BA632" s="336"/>
      <c r="BB632" s="336"/>
      <c r="BC632" s="336"/>
      <c r="BD632" s="336"/>
      <c r="BE632" s="336"/>
      <c r="BF632" s="336"/>
      <c r="BG632" s="336"/>
      <c r="BH632" s="336"/>
      <c r="BI632" s="336"/>
      <c r="BJ632" s="336"/>
      <c r="BK632" s="552"/>
      <c r="BL632" s="552"/>
      <c r="BM632" s="552"/>
      <c r="BN632" s="336"/>
      <c r="BO632" s="336"/>
      <c r="BP632" s="336"/>
      <c r="BQ632" s="336"/>
      <c r="BR632" s="336"/>
      <c r="BS632" s="336"/>
      <c r="BT632" s="336"/>
      <c r="BU632" s="336"/>
      <c r="BV632" s="336"/>
      <c r="BW632" s="336"/>
      <c r="BX632" s="336"/>
      <c r="BY632" s="336"/>
      <c r="BZ632" s="338"/>
      <c r="CA632" s="338"/>
      <c r="CB632" s="338"/>
    </row>
    <row r="633" spans="1:80" s="11" customFormat="1" ht="88.5" customHeight="1" x14ac:dyDescent="0.2">
      <c r="A633" s="256"/>
      <c r="B633" s="54"/>
      <c r="C633" s="509">
        <v>27</v>
      </c>
      <c r="D633" s="64" t="s">
        <v>769</v>
      </c>
      <c r="E633" s="526">
        <v>0.89949999999999997</v>
      </c>
      <c r="F633" s="523">
        <v>0.92</v>
      </c>
      <c r="G633" s="56"/>
      <c r="H633" s="57">
        <v>163</v>
      </c>
      <c r="I633" s="56" t="s">
        <v>770</v>
      </c>
      <c r="J633" s="57">
        <v>12</v>
      </c>
      <c r="K633" s="132">
        <v>12</v>
      </c>
      <c r="L633" s="132">
        <v>12</v>
      </c>
      <c r="M633" s="61">
        <v>2017003630064</v>
      </c>
      <c r="N633" s="57" t="s">
        <v>660</v>
      </c>
      <c r="O633" s="498" t="s">
        <v>771</v>
      </c>
      <c r="P633" s="56" t="s">
        <v>772</v>
      </c>
      <c r="Q633" s="57" t="s">
        <v>51</v>
      </c>
      <c r="R633" s="539">
        <v>0</v>
      </c>
      <c r="S633" s="539"/>
      <c r="T633" s="539"/>
      <c r="U633" s="539">
        <v>0</v>
      </c>
      <c r="V633" s="539"/>
      <c r="W633" s="539"/>
      <c r="X633" s="539">
        <v>0</v>
      </c>
      <c r="Y633" s="539"/>
      <c r="Z633" s="539"/>
      <c r="AA633" s="539">
        <v>0</v>
      </c>
      <c r="AB633" s="539"/>
      <c r="AC633" s="539"/>
      <c r="AD633" s="539">
        <v>0</v>
      </c>
      <c r="AE633" s="539"/>
      <c r="AF633" s="539"/>
      <c r="AG633" s="539">
        <v>0</v>
      </c>
      <c r="AH633" s="539"/>
      <c r="AI633" s="539"/>
      <c r="AJ633" s="539">
        <v>0</v>
      </c>
      <c r="AK633" s="539"/>
      <c r="AL633" s="539"/>
      <c r="AM633" s="539"/>
      <c r="AN633" s="539"/>
      <c r="AO633" s="539"/>
      <c r="AP633" s="539"/>
      <c r="AQ633" s="539"/>
      <c r="AR633" s="539"/>
      <c r="AS633" s="539">
        <v>29046000</v>
      </c>
      <c r="AT633" s="540"/>
      <c r="AU633" s="540"/>
      <c r="AV633" s="539">
        <v>0</v>
      </c>
      <c r="AW633" s="539"/>
      <c r="AX633" s="539"/>
      <c r="AY633" s="539"/>
      <c r="AZ633" s="539"/>
      <c r="BA633" s="539"/>
      <c r="BB633" s="539"/>
      <c r="BC633" s="539"/>
      <c r="BD633" s="539"/>
      <c r="BE633" s="539">
        <v>0</v>
      </c>
      <c r="BF633" s="539"/>
      <c r="BG633" s="539"/>
      <c r="BH633" s="539">
        <v>0</v>
      </c>
      <c r="BI633" s="539"/>
      <c r="BJ633" s="539"/>
      <c r="BK633" s="540">
        <v>0</v>
      </c>
      <c r="BL633" s="540"/>
      <c r="BM633" s="540"/>
      <c r="BN633" s="553"/>
      <c r="BO633" s="553"/>
      <c r="BP633" s="553"/>
      <c r="BQ633" s="539">
        <v>0</v>
      </c>
      <c r="BR633" s="541"/>
      <c r="BS633" s="541"/>
      <c r="BT633" s="541"/>
      <c r="BU633" s="541"/>
      <c r="BV633" s="541"/>
      <c r="BW633" s="541"/>
      <c r="BX633" s="541"/>
      <c r="BY633" s="541"/>
      <c r="BZ633" s="539">
        <f t="shared" ref="BZ633" si="576">R633+U633+X633+AA633+AD633+AG633+AJ633+AM633+AP633+AS633+AV633+AY633+BB633+BE633+BH633+BK633+BN633+BQ633+BT633+BW633</f>
        <v>29046000</v>
      </c>
      <c r="CA633" s="539">
        <f t="shared" ref="CA633" si="577">S633+V633+Y633+AB633+AE633+AH633+AK633+AN633+AQ633+AT633+AW633+AZ633+BC633+BF633+BI633+BL633+BO633+BR633+BU633+BX633</f>
        <v>0</v>
      </c>
      <c r="CB633" s="539">
        <f t="shared" ref="CB633" si="578">T633+W633+Z633+AC633+AF633+AI633+AL633+AO633+AR633+AU633+AX633+BA633+BD633+BG633+BJ633+BM633+BP633+BS633+BV633+BY633</f>
        <v>0</v>
      </c>
    </row>
    <row r="634" spans="1:80" s="459" customFormat="1" ht="15.75" x14ac:dyDescent="0.2">
      <c r="A634" s="256"/>
      <c r="B634" s="54"/>
      <c r="C634" s="510"/>
      <c r="D634" s="209"/>
      <c r="E634" s="259"/>
      <c r="F634" s="259"/>
      <c r="G634" s="77"/>
      <c r="H634" s="78"/>
      <c r="I634" s="77"/>
      <c r="J634" s="78"/>
      <c r="K634" s="165"/>
      <c r="L634" s="165"/>
      <c r="M634" s="165"/>
      <c r="N634" s="78"/>
      <c r="O634" s="78"/>
      <c r="P634" s="78"/>
      <c r="Q634" s="78"/>
      <c r="R634" s="548">
        <f t="shared" ref="R634:BZ634" si="579">SUM(R633)</f>
        <v>0</v>
      </c>
      <c r="S634" s="548">
        <f t="shared" si="579"/>
        <v>0</v>
      </c>
      <c r="T634" s="548">
        <f t="shared" si="579"/>
        <v>0</v>
      </c>
      <c r="U634" s="548">
        <f t="shared" si="579"/>
        <v>0</v>
      </c>
      <c r="V634" s="548">
        <f t="shared" si="579"/>
        <v>0</v>
      </c>
      <c r="W634" s="548">
        <f t="shared" si="579"/>
        <v>0</v>
      </c>
      <c r="X634" s="548">
        <f t="shared" si="579"/>
        <v>0</v>
      </c>
      <c r="Y634" s="548">
        <f t="shared" si="579"/>
        <v>0</v>
      </c>
      <c r="Z634" s="548">
        <f t="shared" si="579"/>
        <v>0</v>
      </c>
      <c r="AA634" s="548">
        <f t="shared" si="579"/>
        <v>0</v>
      </c>
      <c r="AB634" s="548">
        <f t="shared" si="579"/>
        <v>0</v>
      </c>
      <c r="AC634" s="548">
        <f t="shared" si="579"/>
        <v>0</v>
      </c>
      <c r="AD634" s="548">
        <f t="shared" si="579"/>
        <v>0</v>
      </c>
      <c r="AE634" s="548">
        <f t="shared" si="579"/>
        <v>0</v>
      </c>
      <c r="AF634" s="548">
        <f t="shared" si="579"/>
        <v>0</v>
      </c>
      <c r="AG634" s="548">
        <f t="shared" si="579"/>
        <v>0</v>
      </c>
      <c r="AH634" s="548">
        <f t="shared" si="579"/>
        <v>0</v>
      </c>
      <c r="AI634" s="548">
        <f t="shared" si="579"/>
        <v>0</v>
      </c>
      <c r="AJ634" s="548">
        <f t="shared" si="579"/>
        <v>0</v>
      </c>
      <c r="AK634" s="548">
        <f t="shared" si="579"/>
        <v>0</v>
      </c>
      <c r="AL634" s="548">
        <f t="shared" si="579"/>
        <v>0</v>
      </c>
      <c r="AM634" s="548">
        <f t="shared" si="579"/>
        <v>0</v>
      </c>
      <c r="AN634" s="548">
        <f t="shared" si="579"/>
        <v>0</v>
      </c>
      <c r="AO634" s="548">
        <f t="shared" si="579"/>
        <v>0</v>
      </c>
      <c r="AP634" s="548">
        <f t="shared" si="579"/>
        <v>0</v>
      </c>
      <c r="AQ634" s="548">
        <f t="shared" si="579"/>
        <v>0</v>
      </c>
      <c r="AR634" s="548">
        <f t="shared" si="579"/>
        <v>0</v>
      </c>
      <c r="AS634" s="548">
        <f t="shared" si="579"/>
        <v>29046000</v>
      </c>
      <c r="AT634" s="548">
        <f t="shared" si="579"/>
        <v>0</v>
      </c>
      <c r="AU634" s="548">
        <f t="shared" si="579"/>
        <v>0</v>
      </c>
      <c r="AV634" s="548">
        <f t="shared" si="579"/>
        <v>0</v>
      </c>
      <c r="AW634" s="548">
        <f t="shared" si="579"/>
        <v>0</v>
      </c>
      <c r="AX634" s="548">
        <f t="shared" si="579"/>
        <v>0</v>
      </c>
      <c r="AY634" s="548">
        <f t="shared" si="579"/>
        <v>0</v>
      </c>
      <c r="AZ634" s="548">
        <f t="shared" si="579"/>
        <v>0</v>
      </c>
      <c r="BA634" s="548">
        <f t="shared" si="579"/>
        <v>0</v>
      </c>
      <c r="BB634" s="548">
        <f t="shared" si="579"/>
        <v>0</v>
      </c>
      <c r="BC634" s="548">
        <f t="shared" si="579"/>
        <v>0</v>
      </c>
      <c r="BD634" s="548">
        <f t="shared" si="579"/>
        <v>0</v>
      </c>
      <c r="BE634" s="548">
        <f t="shared" si="579"/>
        <v>0</v>
      </c>
      <c r="BF634" s="548">
        <f t="shared" si="579"/>
        <v>0</v>
      </c>
      <c r="BG634" s="548">
        <f t="shared" si="579"/>
        <v>0</v>
      </c>
      <c r="BH634" s="548">
        <f t="shared" si="579"/>
        <v>0</v>
      </c>
      <c r="BI634" s="548">
        <f t="shared" si="579"/>
        <v>0</v>
      </c>
      <c r="BJ634" s="548">
        <f t="shared" si="579"/>
        <v>0</v>
      </c>
      <c r="BK634" s="548">
        <f t="shared" si="579"/>
        <v>0</v>
      </c>
      <c r="BL634" s="548">
        <f t="shared" si="579"/>
        <v>0</v>
      </c>
      <c r="BM634" s="548">
        <f t="shared" si="579"/>
        <v>0</v>
      </c>
      <c r="BN634" s="548">
        <f t="shared" si="579"/>
        <v>0</v>
      </c>
      <c r="BO634" s="548">
        <f t="shared" si="579"/>
        <v>0</v>
      </c>
      <c r="BP634" s="548">
        <f t="shared" si="579"/>
        <v>0</v>
      </c>
      <c r="BQ634" s="548">
        <f t="shared" si="579"/>
        <v>0</v>
      </c>
      <c r="BR634" s="548">
        <f t="shared" si="579"/>
        <v>0</v>
      </c>
      <c r="BS634" s="548">
        <f t="shared" si="579"/>
        <v>0</v>
      </c>
      <c r="BT634" s="548">
        <f t="shared" si="579"/>
        <v>0</v>
      </c>
      <c r="BU634" s="548">
        <f t="shared" si="579"/>
        <v>0</v>
      </c>
      <c r="BV634" s="548">
        <f t="shared" si="579"/>
        <v>0</v>
      </c>
      <c r="BW634" s="548">
        <f t="shared" si="579"/>
        <v>0</v>
      </c>
      <c r="BX634" s="548">
        <f t="shared" si="579"/>
        <v>0</v>
      </c>
      <c r="BY634" s="548">
        <f t="shared" si="579"/>
        <v>0</v>
      </c>
      <c r="BZ634" s="548">
        <f t="shared" si="579"/>
        <v>29046000</v>
      </c>
      <c r="CA634" s="548">
        <f t="shared" ref="CA634:CB634" si="580">SUM(CA633)</f>
        <v>0</v>
      </c>
      <c r="CB634" s="548">
        <f t="shared" si="580"/>
        <v>0</v>
      </c>
    </row>
    <row r="635" spans="1:80" s="459" customFormat="1" ht="15.75" x14ac:dyDescent="0.2">
      <c r="A635" s="256"/>
      <c r="B635" s="54"/>
      <c r="C635" s="92"/>
      <c r="D635" s="91"/>
      <c r="E635" s="92"/>
      <c r="F635" s="92"/>
      <c r="G635" s="91"/>
      <c r="H635" s="92"/>
      <c r="I635" s="91"/>
      <c r="J635" s="92"/>
      <c r="K635" s="184"/>
      <c r="L635" s="334"/>
      <c r="M635" s="334"/>
      <c r="N635" s="125"/>
      <c r="O635" s="499"/>
      <c r="P635" s="125"/>
      <c r="Q635" s="92"/>
      <c r="R635" s="543"/>
      <c r="S635" s="543"/>
      <c r="T635" s="543"/>
      <c r="U635" s="544"/>
      <c r="V635" s="544"/>
      <c r="W635" s="544"/>
      <c r="X635" s="543"/>
      <c r="Y635" s="543"/>
      <c r="Z635" s="543"/>
      <c r="AA635" s="543"/>
      <c r="AB635" s="543"/>
      <c r="AC635" s="543"/>
      <c r="AD635" s="543"/>
      <c r="AE635" s="543"/>
      <c r="AF635" s="543"/>
      <c r="AG635" s="543"/>
      <c r="AH635" s="543"/>
      <c r="AI635" s="543"/>
      <c r="AJ635" s="543"/>
      <c r="AK635" s="543"/>
      <c r="AL635" s="543"/>
      <c r="AM635" s="543"/>
      <c r="AN635" s="543"/>
      <c r="AO635" s="543"/>
      <c r="AP635" s="543"/>
      <c r="AQ635" s="543"/>
      <c r="AR635" s="543"/>
      <c r="AS635" s="543"/>
      <c r="AT635" s="543"/>
      <c r="AU635" s="543"/>
      <c r="AV635" s="543"/>
      <c r="AW635" s="543"/>
      <c r="AX635" s="543"/>
      <c r="AY635" s="543"/>
      <c r="AZ635" s="543"/>
      <c r="BA635" s="543"/>
      <c r="BB635" s="543"/>
      <c r="BC635" s="543"/>
      <c r="BD635" s="543"/>
      <c r="BE635" s="543"/>
      <c r="BF635" s="543"/>
      <c r="BG635" s="543"/>
      <c r="BH635" s="543"/>
      <c r="BI635" s="543"/>
      <c r="BJ635" s="543"/>
      <c r="BK635" s="545"/>
      <c r="BL635" s="545"/>
      <c r="BM635" s="545"/>
      <c r="BN635" s="546"/>
      <c r="BO635" s="546"/>
      <c r="BP635" s="546"/>
      <c r="BQ635" s="543"/>
      <c r="BR635" s="543"/>
      <c r="BS635" s="543"/>
      <c r="BT635" s="543"/>
      <c r="BU635" s="543"/>
      <c r="BV635" s="543"/>
      <c r="BW635" s="543"/>
      <c r="BX635" s="543"/>
      <c r="BY635" s="543"/>
      <c r="BZ635" s="547"/>
      <c r="CA635" s="547"/>
      <c r="CB635" s="547"/>
    </row>
    <row r="636" spans="1:80" s="459" customFormat="1" ht="15.75" x14ac:dyDescent="0.2">
      <c r="A636" s="256"/>
      <c r="B636" s="54"/>
      <c r="C636" s="508"/>
      <c r="D636" s="229"/>
      <c r="E636" s="230"/>
      <c r="F636" s="230"/>
      <c r="G636" s="274">
        <v>48</v>
      </c>
      <c r="H636" s="99" t="s">
        <v>773</v>
      </c>
      <c r="I636" s="99"/>
      <c r="J636" s="99"/>
      <c r="K636" s="415"/>
      <c r="L636" s="415"/>
      <c r="M636" s="415"/>
      <c r="N636" s="99"/>
      <c r="O636" s="212"/>
      <c r="P636" s="99"/>
      <c r="Q636" s="99"/>
      <c r="R636" s="336"/>
      <c r="S636" s="336"/>
      <c r="T636" s="336"/>
      <c r="U636" s="336"/>
      <c r="V636" s="336"/>
      <c r="W636" s="336"/>
      <c r="X636" s="336"/>
      <c r="Y636" s="336"/>
      <c r="Z636" s="336"/>
      <c r="AA636" s="336"/>
      <c r="AB636" s="336"/>
      <c r="AC636" s="336"/>
      <c r="AD636" s="336"/>
      <c r="AE636" s="336"/>
      <c r="AF636" s="336"/>
      <c r="AG636" s="336"/>
      <c r="AH636" s="336"/>
      <c r="AI636" s="336"/>
      <c r="AJ636" s="336"/>
      <c r="AK636" s="336"/>
      <c r="AL636" s="336"/>
      <c r="AM636" s="336"/>
      <c r="AN636" s="336"/>
      <c r="AO636" s="336"/>
      <c r="AP636" s="336"/>
      <c r="AQ636" s="336"/>
      <c r="AR636" s="336"/>
      <c r="AS636" s="336"/>
      <c r="AT636" s="336"/>
      <c r="AU636" s="336"/>
      <c r="AV636" s="336"/>
      <c r="AW636" s="336"/>
      <c r="AX636" s="336"/>
      <c r="AY636" s="336"/>
      <c r="AZ636" s="336"/>
      <c r="BA636" s="336"/>
      <c r="BB636" s="336"/>
      <c r="BC636" s="336"/>
      <c r="BD636" s="336"/>
      <c r="BE636" s="336"/>
      <c r="BF636" s="336"/>
      <c r="BG636" s="336"/>
      <c r="BH636" s="336"/>
      <c r="BI636" s="336"/>
      <c r="BJ636" s="336"/>
      <c r="BK636" s="552"/>
      <c r="BL636" s="552"/>
      <c r="BM636" s="552"/>
      <c r="BN636" s="336"/>
      <c r="BO636" s="336"/>
      <c r="BP636" s="336"/>
      <c r="BQ636" s="336"/>
      <c r="BR636" s="336"/>
      <c r="BS636" s="336"/>
      <c r="BT636" s="336"/>
      <c r="BU636" s="336"/>
      <c r="BV636" s="336"/>
      <c r="BW636" s="336"/>
      <c r="BX636" s="336"/>
      <c r="BY636" s="336"/>
      <c r="BZ636" s="338"/>
      <c r="CA636" s="338"/>
      <c r="CB636" s="338"/>
    </row>
    <row r="637" spans="1:80" s="11" customFormat="1" ht="106.5" customHeight="1" x14ac:dyDescent="0.2">
      <c r="A637" s="256"/>
      <c r="B637" s="54"/>
      <c r="C637" s="509">
        <v>27</v>
      </c>
      <c r="D637" s="64" t="s">
        <v>769</v>
      </c>
      <c r="E637" s="526">
        <v>0.89949999999999997</v>
      </c>
      <c r="F637" s="523">
        <v>0.92</v>
      </c>
      <c r="G637" s="56"/>
      <c r="H637" s="57">
        <v>164</v>
      </c>
      <c r="I637" s="56" t="s">
        <v>774</v>
      </c>
      <c r="J637" s="57">
        <v>12</v>
      </c>
      <c r="K637" s="132">
        <v>12</v>
      </c>
      <c r="L637" s="132">
        <v>12</v>
      </c>
      <c r="M637" s="61">
        <v>2017003630064</v>
      </c>
      <c r="N637" s="57" t="s">
        <v>660</v>
      </c>
      <c r="O637" s="498" t="s">
        <v>771</v>
      </c>
      <c r="P637" s="56" t="s">
        <v>772</v>
      </c>
      <c r="Q637" s="57" t="s">
        <v>51</v>
      </c>
      <c r="R637" s="539">
        <v>0</v>
      </c>
      <c r="S637" s="539"/>
      <c r="T637" s="539"/>
      <c r="U637" s="539">
        <v>0</v>
      </c>
      <c r="V637" s="539"/>
      <c r="W637" s="539"/>
      <c r="X637" s="539">
        <v>0</v>
      </c>
      <c r="Y637" s="539"/>
      <c r="Z637" s="539"/>
      <c r="AA637" s="539">
        <v>0</v>
      </c>
      <c r="AB637" s="539"/>
      <c r="AC637" s="539"/>
      <c r="AD637" s="539">
        <v>0</v>
      </c>
      <c r="AE637" s="539"/>
      <c r="AF637" s="539"/>
      <c r="AG637" s="539">
        <v>0</v>
      </c>
      <c r="AH637" s="539"/>
      <c r="AI637" s="539"/>
      <c r="AJ637" s="539">
        <v>0</v>
      </c>
      <c r="AK637" s="539"/>
      <c r="AL637" s="539"/>
      <c r="AM637" s="539">
        <v>0</v>
      </c>
      <c r="AN637" s="539"/>
      <c r="AO637" s="539"/>
      <c r="AP637" s="539">
        <v>0</v>
      </c>
      <c r="AQ637" s="539"/>
      <c r="AR637" s="539"/>
      <c r="AS637" s="539">
        <f>11806581808+1422058375</f>
        <v>13228640183</v>
      </c>
      <c r="AT637" s="539">
        <v>7957688369</v>
      </c>
      <c r="AU637" s="539"/>
      <c r="AV637" s="539">
        <v>7953000000</v>
      </c>
      <c r="AW637" s="539">
        <v>7953000000</v>
      </c>
      <c r="AX637" s="539">
        <v>1325890696</v>
      </c>
      <c r="AY637" s="539">
        <v>0</v>
      </c>
      <c r="AZ637" s="539"/>
      <c r="BA637" s="539"/>
      <c r="BB637" s="539">
        <v>0</v>
      </c>
      <c r="BC637" s="539"/>
      <c r="BD637" s="539"/>
      <c r="BE637" s="539">
        <v>0</v>
      </c>
      <c r="BF637" s="539"/>
      <c r="BG637" s="539"/>
      <c r="BH637" s="539">
        <v>0</v>
      </c>
      <c r="BI637" s="539"/>
      <c r="BJ637" s="539"/>
      <c r="BK637" s="540">
        <v>0</v>
      </c>
      <c r="BL637" s="540"/>
      <c r="BM637" s="540"/>
      <c r="BN637" s="553">
        <v>0</v>
      </c>
      <c r="BO637" s="553"/>
      <c r="BP637" s="553"/>
      <c r="BQ637" s="539"/>
      <c r="BR637" s="541"/>
      <c r="BS637" s="541"/>
      <c r="BT637" s="541"/>
      <c r="BU637" s="541"/>
      <c r="BV637" s="541"/>
      <c r="BW637" s="541">
        <v>9668755704</v>
      </c>
      <c r="BX637" s="541"/>
      <c r="BY637" s="541"/>
      <c r="BZ637" s="539">
        <f t="shared" ref="BZ637" si="581">R637+U637+X637+AA637+AD637+AG637+AJ637+AM637+AP637+AS637+AV637+AY637+BB637+BE637+BH637+BK637+BN637+BQ637+BT637+BW637</f>
        <v>30850395887</v>
      </c>
      <c r="CA637" s="539">
        <f t="shared" ref="CA637" si="582">S637+V637+Y637+AB637+AE637+AH637+AK637+AN637+AQ637+AT637+AW637+AZ637+BC637+BF637+BI637+BL637+BO637+BR637+BU637+BX637</f>
        <v>15910688369</v>
      </c>
      <c r="CB637" s="539">
        <f t="shared" ref="CB637" si="583">T637+W637+Z637+AC637+AF637+AI637+AL637+AO637+AR637+AU637+AX637+BA637+BD637+BG637+BJ637+BM637+BP637+BS637+BV637+BY637</f>
        <v>1325890696</v>
      </c>
    </row>
    <row r="638" spans="1:80" s="459" customFormat="1" ht="15.75" x14ac:dyDescent="0.2">
      <c r="A638" s="256"/>
      <c r="B638" s="54"/>
      <c r="C638" s="510"/>
      <c r="D638" s="209"/>
      <c r="E638" s="259"/>
      <c r="F638" s="259"/>
      <c r="G638" s="77"/>
      <c r="H638" s="78"/>
      <c r="I638" s="77"/>
      <c r="J638" s="78"/>
      <c r="K638" s="165"/>
      <c r="L638" s="165"/>
      <c r="M638" s="165"/>
      <c r="N638" s="78"/>
      <c r="O638" s="78"/>
      <c r="P638" s="77"/>
      <c r="Q638" s="78"/>
      <c r="R638" s="548">
        <f t="shared" ref="R638:BY638" si="584">SUM(R637)</f>
        <v>0</v>
      </c>
      <c r="S638" s="548">
        <f t="shared" si="584"/>
        <v>0</v>
      </c>
      <c r="T638" s="548">
        <f t="shared" si="584"/>
        <v>0</v>
      </c>
      <c r="U638" s="548">
        <f t="shared" si="584"/>
        <v>0</v>
      </c>
      <c r="V638" s="548">
        <f t="shared" si="584"/>
        <v>0</v>
      </c>
      <c r="W638" s="548">
        <f t="shared" si="584"/>
        <v>0</v>
      </c>
      <c r="X638" s="548">
        <f t="shared" si="584"/>
        <v>0</v>
      </c>
      <c r="Y638" s="548">
        <f t="shared" si="584"/>
        <v>0</v>
      </c>
      <c r="Z638" s="548">
        <f t="shared" si="584"/>
        <v>0</v>
      </c>
      <c r="AA638" s="548">
        <f t="shared" si="584"/>
        <v>0</v>
      </c>
      <c r="AB638" s="548">
        <f t="shared" si="584"/>
        <v>0</v>
      </c>
      <c r="AC638" s="548">
        <f t="shared" si="584"/>
        <v>0</v>
      </c>
      <c r="AD638" s="548">
        <f t="shared" si="584"/>
        <v>0</v>
      </c>
      <c r="AE638" s="548">
        <f t="shared" si="584"/>
        <v>0</v>
      </c>
      <c r="AF638" s="548">
        <f t="shared" si="584"/>
        <v>0</v>
      </c>
      <c r="AG638" s="548">
        <f t="shared" si="584"/>
        <v>0</v>
      </c>
      <c r="AH638" s="548">
        <f t="shared" si="584"/>
        <v>0</v>
      </c>
      <c r="AI638" s="548">
        <f t="shared" si="584"/>
        <v>0</v>
      </c>
      <c r="AJ638" s="548">
        <f t="shared" si="584"/>
        <v>0</v>
      </c>
      <c r="AK638" s="548">
        <f t="shared" si="584"/>
        <v>0</v>
      </c>
      <c r="AL638" s="548">
        <f t="shared" si="584"/>
        <v>0</v>
      </c>
      <c r="AM638" s="548">
        <f t="shared" si="584"/>
        <v>0</v>
      </c>
      <c r="AN638" s="548">
        <f t="shared" si="584"/>
        <v>0</v>
      </c>
      <c r="AO638" s="548">
        <f t="shared" si="584"/>
        <v>0</v>
      </c>
      <c r="AP638" s="548">
        <f t="shared" si="584"/>
        <v>0</v>
      </c>
      <c r="AQ638" s="548">
        <f t="shared" si="584"/>
        <v>0</v>
      </c>
      <c r="AR638" s="548">
        <f t="shared" si="584"/>
        <v>0</v>
      </c>
      <c r="AS638" s="548">
        <f t="shared" si="584"/>
        <v>13228640183</v>
      </c>
      <c r="AT638" s="548">
        <f t="shared" si="584"/>
        <v>7957688369</v>
      </c>
      <c r="AU638" s="548">
        <f t="shared" si="584"/>
        <v>0</v>
      </c>
      <c r="AV638" s="548">
        <f t="shared" si="584"/>
        <v>7953000000</v>
      </c>
      <c r="AW638" s="548">
        <f t="shared" si="584"/>
        <v>7953000000</v>
      </c>
      <c r="AX638" s="548">
        <f t="shared" si="584"/>
        <v>1325890696</v>
      </c>
      <c r="AY638" s="548">
        <f t="shared" si="584"/>
        <v>0</v>
      </c>
      <c r="AZ638" s="548">
        <f t="shared" si="584"/>
        <v>0</v>
      </c>
      <c r="BA638" s="548">
        <f t="shared" si="584"/>
        <v>0</v>
      </c>
      <c r="BB638" s="548">
        <f t="shared" si="584"/>
        <v>0</v>
      </c>
      <c r="BC638" s="548">
        <f t="shared" si="584"/>
        <v>0</v>
      </c>
      <c r="BD638" s="548">
        <f t="shared" si="584"/>
        <v>0</v>
      </c>
      <c r="BE638" s="548">
        <f t="shared" si="584"/>
        <v>0</v>
      </c>
      <c r="BF638" s="548">
        <f t="shared" si="584"/>
        <v>0</v>
      </c>
      <c r="BG638" s="548">
        <f t="shared" si="584"/>
        <v>0</v>
      </c>
      <c r="BH638" s="548">
        <f t="shared" si="584"/>
        <v>0</v>
      </c>
      <c r="BI638" s="548">
        <f t="shared" si="584"/>
        <v>0</v>
      </c>
      <c r="BJ638" s="548">
        <f t="shared" si="584"/>
        <v>0</v>
      </c>
      <c r="BK638" s="548">
        <f t="shared" si="584"/>
        <v>0</v>
      </c>
      <c r="BL638" s="548">
        <f t="shared" si="584"/>
        <v>0</v>
      </c>
      <c r="BM638" s="548">
        <f t="shared" si="584"/>
        <v>0</v>
      </c>
      <c r="BN638" s="548">
        <f t="shared" si="584"/>
        <v>0</v>
      </c>
      <c r="BO638" s="548">
        <f t="shared" si="584"/>
        <v>0</v>
      </c>
      <c r="BP638" s="548">
        <f t="shared" si="584"/>
        <v>0</v>
      </c>
      <c r="BQ638" s="548">
        <f t="shared" si="584"/>
        <v>0</v>
      </c>
      <c r="BR638" s="548">
        <f t="shared" si="584"/>
        <v>0</v>
      </c>
      <c r="BS638" s="548">
        <f t="shared" si="584"/>
        <v>0</v>
      </c>
      <c r="BT638" s="548">
        <f t="shared" si="584"/>
        <v>0</v>
      </c>
      <c r="BU638" s="548">
        <f t="shared" si="584"/>
        <v>0</v>
      </c>
      <c r="BV638" s="548">
        <f t="shared" si="584"/>
        <v>0</v>
      </c>
      <c r="BW638" s="548">
        <f t="shared" si="584"/>
        <v>9668755704</v>
      </c>
      <c r="BX638" s="548">
        <f t="shared" si="584"/>
        <v>0</v>
      </c>
      <c r="BY638" s="548">
        <f t="shared" si="584"/>
        <v>0</v>
      </c>
      <c r="BZ638" s="548">
        <f>SUM(BZ637)</f>
        <v>30850395887</v>
      </c>
      <c r="CA638" s="548">
        <f t="shared" ref="CA638:CB638" si="585">SUM(CA637)</f>
        <v>15910688369</v>
      </c>
      <c r="CB638" s="548">
        <f t="shared" si="585"/>
        <v>1325890696</v>
      </c>
    </row>
    <row r="639" spans="1:80" s="459" customFormat="1" ht="15.75" x14ac:dyDescent="0.2">
      <c r="A639" s="256"/>
      <c r="B639" s="54"/>
      <c r="C639" s="92"/>
      <c r="D639" s="91"/>
      <c r="E639" s="92"/>
      <c r="F639" s="92"/>
      <c r="G639" s="91"/>
      <c r="H639" s="92"/>
      <c r="I639" s="91"/>
      <c r="J639" s="92"/>
      <c r="K639" s="184"/>
      <c r="L639" s="334"/>
      <c r="M639" s="334"/>
      <c r="N639" s="125"/>
      <c r="O639" s="499"/>
      <c r="P639" s="124"/>
      <c r="Q639" s="92"/>
      <c r="R639" s="543"/>
      <c r="S639" s="543"/>
      <c r="T639" s="543"/>
      <c r="U639" s="544"/>
      <c r="V639" s="544"/>
      <c r="W639" s="544"/>
      <c r="X639" s="543"/>
      <c r="Y639" s="543"/>
      <c r="Z639" s="543"/>
      <c r="AA639" s="543"/>
      <c r="AB639" s="543"/>
      <c r="AC639" s="543"/>
      <c r="AD639" s="543"/>
      <c r="AE639" s="543"/>
      <c r="AF639" s="543"/>
      <c r="AG639" s="543"/>
      <c r="AH639" s="543"/>
      <c r="AI639" s="543"/>
      <c r="AJ639" s="543"/>
      <c r="AK639" s="543"/>
      <c r="AL639" s="543"/>
      <c r="AM639" s="543"/>
      <c r="AN639" s="543"/>
      <c r="AO639" s="543"/>
      <c r="AP639" s="543"/>
      <c r="AQ639" s="543"/>
      <c r="AR639" s="543"/>
      <c r="AS639" s="543"/>
      <c r="AT639" s="543"/>
      <c r="AU639" s="543"/>
      <c r="AV639" s="543"/>
      <c r="AW639" s="543"/>
      <c r="AX639" s="543"/>
      <c r="AY639" s="543"/>
      <c r="AZ639" s="543"/>
      <c r="BA639" s="543"/>
      <c r="BB639" s="543"/>
      <c r="BC639" s="543"/>
      <c r="BD639" s="543"/>
      <c r="BE639" s="543"/>
      <c r="BF639" s="543"/>
      <c r="BG639" s="543"/>
      <c r="BH639" s="543"/>
      <c r="BI639" s="543"/>
      <c r="BJ639" s="543"/>
      <c r="BK639" s="545"/>
      <c r="BL639" s="545"/>
      <c r="BM639" s="545"/>
      <c r="BN639" s="546"/>
      <c r="BO639" s="546"/>
      <c r="BP639" s="546"/>
      <c r="BQ639" s="543"/>
      <c r="BR639" s="543"/>
      <c r="BS639" s="543"/>
      <c r="BT639" s="543"/>
      <c r="BU639" s="543"/>
      <c r="BV639" s="543"/>
      <c r="BW639" s="543"/>
      <c r="BX639" s="543"/>
      <c r="BY639" s="543"/>
      <c r="BZ639" s="547"/>
      <c r="CA639" s="547"/>
      <c r="CB639" s="547"/>
    </row>
    <row r="640" spans="1:80" s="459" customFormat="1" ht="15.75" x14ac:dyDescent="0.2">
      <c r="A640" s="256"/>
      <c r="B640" s="54"/>
      <c r="C640" s="508"/>
      <c r="D640" s="229"/>
      <c r="E640" s="230"/>
      <c r="F640" s="230"/>
      <c r="G640" s="274">
        <v>49</v>
      </c>
      <c r="H640" s="99" t="s">
        <v>775</v>
      </c>
      <c r="I640" s="99"/>
      <c r="J640" s="99"/>
      <c r="K640" s="415"/>
      <c r="L640" s="415"/>
      <c r="M640" s="415"/>
      <c r="N640" s="99"/>
      <c r="O640" s="212"/>
      <c r="P640" s="99"/>
      <c r="Q640" s="99"/>
      <c r="R640" s="336"/>
      <c r="S640" s="336"/>
      <c r="T640" s="336"/>
      <c r="U640" s="336"/>
      <c r="V640" s="336"/>
      <c r="W640" s="336"/>
      <c r="X640" s="336"/>
      <c r="Y640" s="336"/>
      <c r="Z640" s="336"/>
      <c r="AA640" s="336"/>
      <c r="AB640" s="336"/>
      <c r="AC640" s="336"/>
      <c r="AD640" s="336"/>
      <c r="AE640" s="336"/>
      <c r="AF640" s="336"/>
      <c r="AG640" s="336"/>
      <c r="AH640" s="336"/>
      <c r="AI640" s="336"/>
      <c r="AJ640" s="336"/>
      <c r="AK640" s="336"/>
      <c r="AL640" s="336"/>
      <c r="AM640" s="336"/>
      <c r="AN640" s="336"/>
      <c r="AO640" s="336"/>
      <c r="AP640" s="336"/>
      <c r="AQ640" s="336"/>
      <c r="AR640" s="336"/>
      <c r="AS640" s="336"/>
      <c r="AT640" s="336"/>
      <c r="AU640" s="336"/>
      <c r="AV640" s="336"/>
      <c r="AW640" s="336"/>
      <c r="AX640" s="336"/>
      <c r="AY640" s="336"/>
      <c r="AZ640" s="336"/>
      <c r="BA640" s="336"/>
      <c r="BB640" s="336"/>
      <c r="BC640" s="336"/>
      <c r="BD640" s="336"/>
      <c r="BE640" s="336"/>
      <c r="BF640" s="336"/>
      <c r="BG640" s="336"/>
      <c r="BH640" s="336"/>
      <c r="BI640" s="336"/>
      <c r="BJ640" s="336"/>
      <c r="BK640" s="552"/>
      <c r="BL640" s="552"/>
      <c r="BM640" s="552"/>
      <c r="BN640" s="336"/>
      <c r="BO640" s="336"/>
      <c r="BP640" s="336"/>
      <c r="BQ640" s="336"/>
      <c r="BR640" s="336"/>
      <c r="BS640" s="336"/>
      <c r="BT640" s="336"/>
      <c r="BU640" s="336"/>
      <c r="BV640" s="336"/>
      <c r="BW640" s="336"/>
      <c r="BX640" s="336"/>
      <c r="BY640" s="336"/>
      <c r="BZ640" s="338"/>
      <c r="CA640" s="338"/>
      <c r="CB640" s="338"/>
    </row>
    <row r="641" spans="1:80" s="11" customFormat="1" ht="96" customHeight="1" x14ac:dyDescent="0.2">
      <c r="A641" s="256"/>
      <c r="B641" s="54"/>
      <c r="C641" s="509">
        <v>27</v>
      </c>
      <c r="D641" s="64" t="s">
        <v>769</v>
      </c>
      <c r="E641" s="526">
        <v>0.89949999999999997</v>
      </c>
      <c r="F641" s="523">
        <v>0.92</v>
      </c>
      <c r="G641" s="56"/>
      <c r="H641" s="57">
        <v>165</v>
      </c>
      <c r="I641" s="56" t="s">
        <v>776</v>
      </c>
      <c r="J641" s="132">
        <v>12</v>
      </c>
      <c r="K641" s="132">
        <v>12</v>
      </c>
      <c r="L641" s="132">
        <v>12</v>
      </c>
      <c r="M641" s="61">
        <v>2017003630064</v>
      </c>
      <c r="N641" s="132" t="s">
        <v>660</v>
      </c>
      <c r="O641" s="498" t="s">
        <v>771</v>
      </c>
      <c r="P641" s="56" t="s">
        <v>772</v>
      </c>
      <c r="Q641" s="57" t="s">
        <v>51</v>
      </c>
      <c r="R641" s="539">
        <v>0</v>
      </c>
      <c r="S641" s="539"/>
      <c r="T641" s="539"/>
      <c r="U641" s="539">
        <v>0</v>
      </c>
      <c r="V641" s="539"/>
      <c r="W641" s="539"/>
      <c r="X641" s="539">
        <v>0</v>
      </c>
      <c r="Y641" s="539"/>
      <c r="Z641" s="539"/>
      <c r="AA641" s="539">
        <v>0</v>
      </c>
      <c r="AB641" s="539"/>
      <c r="AC641" s="539"/>
      <c r="AD641" s="539">
        <v>0</v>
      </c>
      <c r="AE641" s="539"/>
      <c r="AF641" s="539"/>
      <c r="AG641" s="539">
        <v>0</v>
      </c>
      <c r="AH641" s="539"/>
      <c r="AI641" s="539"/>
      <c r="AJ641" s="539">
        <v>0</v>
      </c>
      <c r="AK641" s="539"/>
      <c r="AL641" s="539"/>
      <c r="AM641" s="539"/>
      <c r="AN641" s="539"/>
      <c r="AO641" s="539"/>
      <c r="AP641" s="539"/>
      <c r="AQ641" s="539"/>
      <c r="AR641" s="539"/>
      <c r="AS641" s="539">
        <f>20913120</f>
        <v>20913120</v>
      </c>
      <c r="AT641" s="540"/>
      <c r="AU641" s="540"/>
      <c r="AV641" s="539">
        <v>0</v>
      </c>
      <c r="AW641" s="539"/>
      <c r="AX641" s="539"/>
      <c r="AY641" s="539"/>
      <c r="AZ641" s="539"/>
      <c r="BA641" s="539"/>
      <c r="BB641" s="539"/>
      <c r="BC641" s="539"/>
      <c r="BD641" s="539"/>
      <c r="BE641" s="539">
        <v>0</v>
      </c>
      <c r="BF641" s="539"/>
      <c r="BG641" s="539"/>
      <c r="BH641" s="539">
        <v>0</v>
      </c>
      <c r="BI641" s="539"/>
      <c r="BJ641" s="539"/>
      <c r="BK641" s="540">
        <v>0</v>
      </c>
      <c r="BL641" s="540"/>
      <c r="BM641" s="540"/>
      <c r="BN641" s="553"/>
      <c r="BO641" s="553"/>
      <c r="BP641" s="553"/>
      <c r="BQ641" s="539">
        <v>0</v>
      </c>
      <c r="BR641" s="541"/>
      <c r="BS641" s="541"/>
      <c r="BT641" s="541"/>
      <c r="BU641" s="541"/>
      <c r="BV641" s="541"/>
      <c r="BW641" s="541"/>
      <c r="BX641" s="541"/>
      <c r="BY641" s="541"/>
      <c r="BZ641" s="539">
        <f t="shared" ref="BZ641" si="586">R641+U641+X641+AA641+AD641+AG641+AJ641+AM641+AP641+AS641+AV641+AY641+BB641+BE641+BH641+BK641+BN641+BQ641+BT641+BW641</f>
        <v>20913120</v>
      </c>
      <c r="CA641" s="539">
        <f t="shared" ref="CA641" si="587">S641+V641+Y641+AB641+AE641+AH641+AK641+AN641+AQ641+AT641+AW641+AZ641+BC641+BF641+BI641+BL641+BO641+BR641+BU641+BX641</f>
        <v>0</v>
      </c>
      <c r="CB641" s="539">
        <f t="shared" ref="CB641" si="588">T641+W641+Z641+AC641+AF641+AI641+AL641+AO641+AR641+AU641+AX641+BA641+BD641+BG641+BJ641+BM641+BP641+BS641+BV641+BY641</f>
        <v>0</v>
      </c>
    </row>
    <row r="642" spans="1:80" s="459" customFormat="1" ht="15.75" x14ac:dyDescent="0.2">
      <c r="A642" s="256"/>
      <c r="B642" s="54"/>
      <c r="C642" s="510"/>
      <c r="D642" s="209"/>
      <c r="E642" s="259"/>
      <c r="F642" s="259"/>
      <c r="G642" s="77"/>
      <c r="H642" s="78"/>
      <c r="I642" s="77"/>
      <c r="J642" s="165"/>
      <c r="K642" s="165"/>
      <c r="L642" s="165"/>
      <c r="M642" s="165"/>
      <c r="N642" s="165"/>
      <c r="O642" s="78"/>
      <c r="P642" s="77"/>
      <c r="Q642" s="78"/>
      <c r="R642" s="548">
        <f t="shared" ref="R642:BY642" si="589">SUM(R641)</f>
        <v>0</v>
      </c>
      <c r="S642" s="548">
        <f t="shared" si="589"/>
        <v>0</v>
      </c>
      <c r="T642" s="548">
        <f t="shared" si="589"/>
        <v>0</v>
      </c>
      <c r="U642" s="548">
        <f t="shared" si="589"/>
        <v>0</v>
      </c>
      <c r="V642" s="548">
        <f t="shared" si="589"/>
        <v>0</v>
      </c>
      <c r="W642" s="548">
        <f t="shared" si="589"/>
        <v>0</v>
      </c>
      <c r="X642" s="548">
        <f t="shared" si="589"/>
        <v>0</v>
      </c>
      <c r="Y642" s="548">
        <f t="shared" si="589"/>
        <v>0</v>
      </c>
      <c r="Z642" s="548">
        <f t="shared" si="589"/>
        <v>0</v>
      </c>
      <c r="AA642" s="548">
        <f t="shared" si="589"/>
        <v>0</v>
      </c>
      <c r="AB642" s="548">
        <f t="shared" si="589"/>
        <v>0</v>
      </c>
      <c r="AC642" s="548">
        <f t="shared" si="589"/>
        <v>0</v>
      </c>
      <c r="AD642" s="548">
        <f t="shared" si="589"/>
        <v>0</v>
      </c>
      <c r="AE642" s="548">
        <f t="shared" si="589"/>
        <v>0</v>
      </c>
      <c r="AF642" s="548">
        <f t="shared" si="589"/>
        <v>0</v>
      </c>
      <c r="AG642" s="548">
        <f t="shared" si="589"/>
        <v>0</v>
      </c>
      <c r="AH642" s="548">
        <f t="shared" si="589"/>
        <v>0</v>
      </c>
      <c r="AI642" s="548">
        <f t="shared" si="589"/>
        <v>0</v>
      </c>
      <c r="AJ642" s="548">
        <f t="shared" si="589"/>
        <v>0</v>
      </c>
      <c r="AK642" s="548">
        <f t="shared" si="589"/>
        <v>0</v>
      </c>
      <c r="AL642" s="548">
        <f t="shared" si="589"/>
        <v>0</v>
      </c>
      <c r="AM642" s="548">
        <f t="shared" si="589"/>
        <v>0</v>
      </c>
      <c r="AN642" s="548">
        <f t="shared" si="589"/>
        <v>0</v>
      </c>
      <c r="AO642" s="548">
        <f t="shared" si="589"/>
        <v>0</v>
      </c>
      <c r="AP642" s="548">
        <f t="shared" si="589"/>
        <v>0</v>
      </c>
      <c r="AQ642" s="548">
        <f t="shared" si="589"/>
        <v>0</v>
      </c>
      <c r="AR642" s="548">
        <f t="shared" si="589"/>
        <v>0</v>
      </c>
      <c r="AS642" s="548">
        <f t="shared" si="589"/>
        <v>20913120</v>
      </c>
      <c r="AT642" s="548">
        <f t="shared" si="589"/>
        <v>0</v>
      </c>
      <c r="AU642" s="548">
        <f t="shared" si="589"/>
        <v>0</v>
      </c>
      <c r="AV642" s="548">
        <f t="shared" si="589"/>
        <v>0</v>
      </c>
      <c r="AW642" s="548">
        <f t="shared" si="589"/>
        <v>0</v>
      </c>
      <c r="AX642" s="548">
        <f t="shared" si="589"/>
        <v>0</v>
      </c>
      <c r="AY642" s="548">
        <f t="shared" si="589"/>
        <v>0</v>
      </c>
      <c r="AZ642" s="548">
        <f t="shared" si="589"/>
        <v>0</v>
      </c>
      <c r="BA642" s="548">
        <f t="shared" si="589"/>
        <v>0</v>
      </c>
      <c r="BB642" s="548">
        <f t="shared" si="589"/>
        <v>0</v>
      </c>
      <c r="BC642" s="548">
        <f t="shared" si="589"/>
        <v>0</v>
      </c>
      <c r="BD642" s="548">
        <f t="shared" si="589"/>
        <v>0</v>
      </c>
      <c r="BE642" s="548">
        <f t="shared" si="589"/>
        <v>0</v>
      </c>
      <c r="BF642" s="548">
        <f t="shared" si="589"/>
        <v>0</v>
      </c>
      <c r="BG642" s="548">
        <f t="shared" si="589"/>
        <v>0</v>
      </c>
      <c r="BH642" s="548">
        <f t="shared" si="589"/>
        <v>0</v>
      </c>
      <c r="BI642" s="548">
        <f t="shared" si="589"/>
        <v>0</v>
      </c>
      <c r="BJ642" s="548">
        <f t="shared" si="589"/>
        <v>0</v>
      </c>
      <c r="BK642" s="548">
        <f t="shared" si="589"/>
        <v>0</v>
      </c>
      <c r="BL642" s="548">
        <f t="shared" si="589"/>
        <v>0</v>
      </c>
      <c r="BM642" s="548">
        <f t="shared" si="589"/>
        <v>0</v>
      </c>
      <c r="BN642" s="548">
        <f t="shared" si="589"/>
        <v>0</v>
      </c>
      <c r="BO642" s="548">
        <f t="shared" si="589"/>
        <v>0</v>
      </c>
      <c r="BP642" s="548">
        <f t="shared" si="589"/>
        <v>0</v>
      </c>
      <c r="BQ642" s="548">
        <f t="shared" si="589"/>
        <v>0</v>
      </c>
      <c r="BR642" s="548">
        <f t="shared" si="589"/>
        <v>0</v>
      </c>
      <c r="BS642" s="548">
        <f t="shared" si="589"/>
        <v>0</v>
      </c>
      <c r="BT642" s="548">
        <f t="shared" si="589"/>
        <v>0</v>
      </c>
      <c r="BU642" s="548">
        <f t="shared" si="589"/>
        <v>0</v>
      </c>
      <c r="BV642" s="548">
        <f t="shared" si="589"/>
        <v>0</v>
      </c>
      <c r="BW642" s="548">
        <f t="shared" si="589"/>
        <v>0</v>
      </c>
      <c r="BX642" s="548">
        <f t="shared" si="589"/>
        <v>0</v>
      </c>
      <c r="BY642" s="548">
        <f t="shared" si="589"/>
        <v>0</v>
      </c>
      <c r="BZ642" s="548">
        <f t="shared" ref="BZ642" si="590">SUM(BZ641)</f>
        <v>20913120</v>
      </c>
      <c r="CA642" s="548">
        <f t="shared" ref="CA642:CB642" si="591">SUM(CA641)</f>
        <v>0</v>
      </c>
      <c r="CB642" s="548">
        <f t="shared" si="591"/>
        <v>0</v>
      </c>
    </row>
    <row r="643" spans="1:80" s="459" customFormat="1" ht="15.75" x14ac:dyDescent="0.2">
      <c r="A643" s="54"/>
      <c r="B643" s="370"/>
      <c r="C643" s="82"/>
      <c r="D643" s="81"/>
      <c r="E643" s="82"/>
      <c r="F643" s="82"/>
      <c r="G643" s="81"/>
      <c r="H643" s="82"/>
      <c r="I643" s="81"/>
      <c r="J643" s="179"/>
      <c r="K643" s="179"/>
      <c r="L643" s="179"/>
      <c r="M643" s="179"/>
      <c r="N643" s="179"/>
      <c r="O643" s="82"/>
      <c r="P643" s="81"/>
      <c r="Q643" s="82"/>
      <c r="R643" s="554">
        <f t="shared" ref="R643:BY643" si="592">R642+R638+R634</f>
        <v>0</v>
      </c>
      <c r="S643" s="554">
        <f t="shared" si="592"/>
        <v>0</v>
      </c>
      <c r="T643" s="554">
        <f t="shared" si="592"/>
        <v>0</v>
      </c>
      <c r="U643" s="554">
        <f t="shared" si="592"/>
        <v>0</v>
      </c>
      <c r="V643" s="554">
        <f t="shared" si="592"/>
        <v>0</v>
      </c>
      <c r="W643" s="554">
        <f t="shared" si="592"/>
        <v>0</v>
      </c>
      <c r="X643" s="554">
        <f t="shared" si="592"/>
        <v>0</v>
      </c>
      <c r="Y643" s="554">
        <f t="shared" si="592"/>
        <v>0</v>
      </c>
      <c r="Z643" s="554">
        <f t="shared" si="592"/>
        <v>0</v>
      </c>
      <c r="AA643" s="554">
        <f t="shared" si="592"/>
        <v>0</v>
      </c>
      <c r="AB643" s="554">
        <f t="shared" si="592"/>
        <v>0</v>
      </c>
      <c r="AC643" s="554">
        <f t="shared" si="592"/>
        <v>0</v>
      </c>
      <c r="AD643" s="554">
        <f t="shared" si="592"/>
        <v>0</v>
      </c>
      <c r="AE643" s="554">
        <f t="shared" si="592"/>
        <v>0</v>
      </c>
      <c r="AF643" s="554">
        <f t="shared" si="592"/>
        <v>0</v>
      </c>
      <c r="AG643" s="554">
        <f t="shared" si="592"/>
        <v>0</v>
      </c>
      <c r="AH643" s="554">
        <f t="shared" si="592"/>
        <v>0</v>
      </c>
      <c r="AI643" s="554">
        <f t="shared" si="592"/>
        <v>0</v>
      </c>
      <c r="AJ643" s="554">
        <f t="shared" si="592"/>
        <v>0</v>
      </c>
      <c r="AK643" s="554">
        <f t="shared" si="592"/>
        <v>0</v>
      </c>
      <c r="AL643" s="554">
        <f t="shared" si="592"/>
        <v>0</v>
      </c>
      <c r="AM643" s="554">
        <f t="shared" si="592"/>
        <v>0</v>
      </c>
      <c r="AN643" s="554">
        <f t="shared" si="592"/>
        <v>0</v>
      </c>
      <c r="AO643" s="554">
        <f t="shared" si="592"/>
        <v>0</v>
      </c>
      <c r="AP643" s="554">
        <f t="shared" si="592"/>
        <v>0</v>
      </c>
      <c r="AQ643" s="554">
        <f t="shared" si="592"/>
        <v>0</v>
      </c>
      <c r="AR643" s="554">
        <f t="shared" si="592"/>
        <v>0</v>
      </c>
      <c r="AS643" s="554">
        <f t="shared" si="592"/>
        <v>13278599303</v>
      </c>
      <c r="AT643" s="554">
        <f t="shared" si="592"/>
        <v>7957688369</v>
      </c>
      <c r="AU643" s="554">
        <f t="shared" si="592"/>
        <v>0</v>
      </c>
      <c r="AV643" s="554">
        <f t="shared" si="592"/>
        <v>7953000000</v>
      </c>
      <c r="AW643" s="554">
        <f t="shared" si="592"/>
        <v>7953000000</v>
      </c>
      <c r="AX643" s="554">
        <f t="shared" si="592"/>
        <v>1325890696</v>
      </c>
      <c r="AY643" s="554">
        <f t="shared" si="592"/>
        <v>0</v>
      </c>
      <c r="AZ643" s="554">
        <f t="shared" si="592"/>
        <v>0</v>
      </c>
      <c r="BA643" s="554">
        <f t="shared" si="592"/>
        <v>0</v>
      </c>
      <c r="BB643" s="554">
        <f t="shared" si="592"/>
        <v>0</v>
      </c>
      <c r="BC643" s="554">
        <f t="shared" si="592"/>
        <v>0</v>
      </c>
      <c r="BD643" s="554">
        <f t="shared" si="592"/>
        <v>0</v>
      </c>
      <c r="BE643" s="554">
        <f t="shared" si="592"/>
        <v>0</v>
      </c>
      <c r="BF643" s="554">
        <f t="shared" si="592"/>
        <v>0</v>
      </c>
      <c r="BG643" s="554">
        <f t="shared" si="592"/>
        <v>0</v>
      </c>
      <c r="BH643" s="554">
        <f t="shared" si="592"/>
        <v>0</v>
      </c>
      <c r="BI643" s="554">
        <f t="shared" si="592"/>
        <v>0</v>
      </c>
      <c r="BJ643" s="554">
        <f t="shared" si="592"/>
        <v>0</v>
      </c>
      <c r="BK643" s="554">
        <f t="shared" si="592"/>
        <v>0</v>
      </c>
      <c r="BL643" s="554">
        <f t="shared" si="592"/>
        <v>0</v>
      </c>
      <c r="BM643" s="554">
        <f t="shared" si="592"/>
        <v>0</v>
      </c>
      <c r="BN643" s="554">
        <f t="shared" si="592"/>
        <v>0</v>
      </c>
      <c r="BO643" s="554">
        <f t="shared" si="592"/>
        <v>0</v>
      </c>
      <c r="BP643" s="554">
        <f t="shared" si="592"/>
        <v>0</v>
      </c>
      <c r="BQ643" s="554">
        <f t="shared" si="592"/>
        <v>0</v>
      </c>
      <c r="BR643" s="554">
        <f t="shared" si="592"/>
        <v>0</v>
      </c>
      <c r="BS643" s="554">
        <f t="shared" si="592"/>
        <v>0</v>
      </c>
      <c r="BT643" s="554">
        <f t="shared" si="592"/>
        <v>0</v>
      </c>
      <c r="BU643" s="554">
        <f t="shared" si="592"/>
        <v>0</v>
      </c>
      <c r="BV643" s="554">
        <f t="shared" si="592"/>
        <v>0</v>
      </c>
      <c r="BW643" s="554">
        <f t="shared" si="592"/>
        <v>9668755704</v>
      </c>
      <c r="BX643" s="554">
        <f t="shared" si="592"/>
        <v>0</v>
      </c>
      <c r="BY643" s="554">
        <f t="shared" si="592"/>
        <v>0</v>
      </c>
      <c r="BZ643" s="554">
        <f t="shared" ref="BZ643" si="593">BZ642+BZ638+BZ634</f>
        <v>30900355007</v>
      </c>
      <c r="CA643" s="554">
        <f t="shared" ref="CA643:CB643" si="594">CA642+CA638+CA634</f>
        <v>15910688369</v>
      </c>
      <c r="CB643" s="554">
        <f t="shared" si="594"/>
        <v>1325890696</v>
      </c>
    </row>
    <row r="644" spans="1:80" s="11" customFormat="1" ht="15.75" x14ac:dyDescent="0.2">
      <c r="A644" s="54"/>
      <c r="B644" s="91"/>
      <c r="C644" s="92"/>
      <c r="D644" s="91"/>
      <c r="E644" s="92"/>
      <c r="F644" s="92"/>
      <c r="G644" s="91"/>
      <c r="H644" s="92"/>
      <c r="I644" s="91"/>
      <c r="J644" s="92"/>
      <c r="K644" s="184"/>
      <c r="L644" s="334"/>
      <c r="M644" s="334"/>
      <c r="N644" s="125"/>
      <c r="O644" s="499"/>
      <c r="P644" s="124"/>
      <c r="Q644" s="92"/>
      <c r="R644" s="543"/>
      <c r="S644" s="543"/>
      <c r="T644" s="543"/>
      <c r="U644" s="543"/>
      <c r="V644" s="543"/>
      <c r="W644" s="543"/>
      <c r="X644" s="543"/>
      <c r="Y644" s="543"/>
      <c r="Z644" s="543"/>
      <c r="AA644" s="543"/>
      <c r="AB644" s="543"/>
      <c r="AC644" s="543"/>
      <c r="AD644" s="543"/>
      <c r="AE644" s="543"/>
      <c r="AF644" s="543"/>
      <c r="AG644" s="543"/>
      <c r="AH644" s="543"/>
      <c r="AI644" s="543"/>
      <c r="AJ644" s="543"/>
      <c r="AK644" s="543"/>
      <c r="AL644" s="543"/>
      <c r="AM644" s="543"/>
      <c r="AN644" s="543"/>
      <c r="AO644" s="543"/>
      <c r="AP644" s="543"/>
      <c r="AQ644" s="543"/>
      <c r="AR644" s="543"/>
      <c r="AS644" s="543"/>
      <c r="AT644" s="543"/>
      <c r="AU644" s="543"/>
      <c r="AV644" s="543"/>
      <c r="AW644" s="543"/>
      <c r="AX644" s="543"/>
      <c r="AY644" s="543"/>
      <c r="AZ644" s="543"/>
      <c r="BA644" s="543"/>
      <c r="BB644" s="543"/>
      <c r="BC644" s="543"/>
      <c r="BD644" s="543"/>
      <c r="BE644" s="543"/>
      <c r="BF644" s="543"/>
      <c r="BG644" s="543"/>
      <c r="BH644" s="543"/>
      <c r="BI644" s="543"/>
      <c r="BJ644" s="543"/>
      <c r="BK644" s="545"/>
      <c r="BL644" s="545"/>
      <c r="BM644" s="545"/>
      <c r="BN644" s="543"/>
      <c r="BO644" s="543"/>
      <c r="BP644" s="543"/>
      <c r="BQ644" s="543"/>
      <c r="BR644" s="543"/>
      <c r="BS644" s="543"/>
      <c r="BT644" s="543"/>
      <c r="BU644" s="543"/>
      <c r="BV644" s="543"/>
      <c r="BW644" s="543"/>
      <c r="BX644" s="543"/>
      <c r="BY644" s="543"/>
      <c r="BZ644" s="547"/>
      <c r="CA644" s="547"/>
      <c r="CB644" s="547"/>
    </row>
    <row r="645" spans="1:80" s="11" customFormat="1" ht="15.75" x14ac:dyDescent="0.2">
      <c r="A645" s="54"/>
      <c r="B645" s="416">
        <v>14</v>
      </c>
      <c r="C645" s="49" t="s">
        <v>777</v>
      </c>
      <c r="D645" s="50"/>
      <c r="E645" s="50"/>
      <c r="F645" s="50"/>
      <c r="G645" s="50"/>
      <c r="H645" s="51"/>
      <c r="I645" s="50"/>
      <c r="J645" s="50"/>
      <c r="K645" s="153"/>
      <c r="L645" s="153"/>
      <c r="M645" s="153"/>
      <c r="N645" s="50"/>
      <c r="O645" s="51"/>
      <c r="P645" s="50"/>
      <c r="Q645" s="50"/>
      <c r="R645" s="550"/>
      <c r="S645" s="550"/>
      <c r="T645" s="550"/>
      <c r="U645" s="550"/>
      <c r="V645" s="550"/>
      <c r="W645" s="550"/>
      <c r="X645" s="550"/>
      <c r="Y645" s="550"/>
      <c r="Z645" s="550"/>
      <c r="AA645" s="550"/>
      <c r="AB645" s="550"/>
      <c r="AC645" s="550"/>
      <c r="AD645" s="550"/>
      <c r="AE645" s="550"/>
      <c r="AF645" s="550"/>
      <c r="AG645" s="550"/>
      <c r="AH645" s="550"/>
      <c r="AI645" s="550"/>
      <c r="AJ645" s="550"/>
      <c r="AK645" s="550"/>
      <c r="AL645" s="550"/>
      <c r="AM645" s="550"/>
      <c r="AN645" s="550"/>
      <c r="AO645" s="550"/>
      <c r="AP645" s="550"/>
      <c r="AQ645" s="550"/>
      <c r="AR645" s="550"/>
      <c r="AS645" s="550"/>
      <c r="AT645" s="550"/>
      <c r="AU645" s="550"/>
      <c r="AV645" s="550"/>
      <c r="AW645" s="550"/>
      <c r="AX645" s="550"/>
      <c r="AY645" s="550"/>
      <c r="AZ645" s="550"/>
      <c r="BA645" s="550"/>
      <c r="BB645" s="550"/>
      <c r="BC645" s="550"/>
      <c r="BD645" s="550"/>
      <c r="BE645" s="550"/>
      <c r="BF645" s="550"/>
      <c r="BG645" s="550"/>
      <c r="BH645" s="550"/>
      <c r="BI645" s="550"/>
      <c r="BJ645" s="550"/>
      <c r="BK645" s="551"/>
      <c r="BL645" s="551"/>
      <c r="BM645" s="551"/>
      <c r="BN645" s="550"/>
      <c r="BO645" s="550"/>
      <c r="BP645" s="550"/>
      <c r="BQ645" s="550"/>
      <c r="BR645" s="550"/>
      <c r="BS645" s="550"/>
      <c r="BT645" s="550"/>
      <c r="BU645" s="550"/>
      <c r="BV645" s="550"/>
      <c r="BW645" s="550"/>
      <c r="BX645" s="550"/>
      <c r="BY645" s="550"/>
      <c r="BZ645" s="555"/>
      <c r="CA645" s="555"/>
      <c r="CB645" s="555"/>
    </row>
    <row r="646" spans="1:80" s="11" customFormat="1" ht="15.75" x14ac:dyDescent="0.2">
      <c r="A646" s="256"/>
      <c r="B646" s="54"/>
      <c r="C646" s="508"/>
      <c r="D646" s="516"/>
      <c r="E646" s="508"/>
      <c r="F646" s="508"/>
      <c r="G646" s="274">
        <v>50</v>
      </c>
      <c r="H646" s="99" t="s">
        <v>778</v>
      </c>
      <c r="I646" s="99"/>
      <c r="J646" s="99"/>
      <c r="K646" s="415"/>
      <c r="L646" s="415"/>
      <c r="M646" s="415"/>
      <c r="N646" s="99"/>
      <c r="O646" s="212"/>
      <c r="P646" s="99"/>
      <c r="Q646" s="99"/>
      <c r="R646" s="336"/>
      <c r="S646" s="336"/>
      <c r="T646" s="336"/>
      <c r="U646" s="336"/>
      <c r="V646" s="336"/>
      <c r="W646" s="336"/>
      <c r="X646" s="336"/>
      <c r="Y646" s="336"/>
      <c r="Z646" s="336"/>
      <c r="AA646" s="336"/>
      <c r="AB646" s="336"/>
      <c r="AC646" s="336"/>
      <c r="AD646" s="336"/>
      <c r="AE646" s="336"/>
      <c r="AF646" s="336"/>
      <c r="AG646" s="336"/>
      <c r="AH646" s="336"/>
      <c r="AI646" s="336"/>
      <c r="AJ646" s="336"/>
      <c r="AK646" s="336"/>
      <c r="AL646" s="336"/>
      <c r="AM646" s="336"/>
      <c r="AN646" s="336"/>
      <c r="AO646" s="336"/>
      <c r="AP646" s="336"/>
      <c r="AQ646" s="336"/>
      <c r="AR646" s="336"/>
      <c r="AS646" s="336"/>
      <c r="AT646" s="336"/>
      <c r="AU646" s="336"/>
      <c r="AV646" s="336"/>
      <c r="AW646" s="336"/>
      <c r="AX646" s="336"/>
      <c r="AY646" s="336"/>
      <c r="AZ646" s="336"/>
      <c r="BA646" s="336"/>
      <c r="BB646" s="336"/>
      <c r="BC646" s="336"/>
      <c r="BD646" s="336"/>
      <c r="BE646" s="336"/>
      <c r="BF646" s="336"/>
      <c r="BG646" s="336"/>
      <c r="BH646" s="336"/>
      <c r="BI646" s="336"/>
      <c r="BJ646" s="336"/>
      <c r="BK646" s="552"/>
      <c r="BL646" s="552"/>
      <c r="BM646" s="552"/>
      <c r="BN646" s="336"/>
      <c r="BO646" s="336"/>
      <c r="BP646" s="336"/>
      <c r="BQ646" s="336"/>
      <c r="BR646" s="336"/>
      <c r="BS646" s="336"/>
      <c r="BT646" s="336"/>
      <c r="BU646" s="336"/>
      <c r="BV646" s="336"/>
      <c r="BW646" s="336"/>
      <c r="BX646" s="336"/>
      <c r="BY646" s="336"/>
      <c r="BZ646" s="338"/>
      <c r="CA646" s="338"/>
      <c r="CB646" s="338"/>
    </row>
    <row r="647" spans="1:80" s="11" customFormat="1" ht="106.5" customHeight="1" x14ac:dyDescent="0.2">
      <c r="A647" s="256"/>
      <c r="B647" s="70"/>
      <c r="C647" s="857">
        <v>27</v>
      </c>
      <c r="D647" s="854" t="s">
        <v>769</v>
      </c>
      <c r="E647" s="883">
        <v>0.89949999999999997</v>
      </c>
      <c r="F647" s="885">
        <v>0.92</v>
      </c>
      <c r="G647" s="856"/>
      <c r="H647" s="57">
        <v>166</v>
      </c>
      <c r="I647" s="56" t="s">
        <v>779</v>
      </c>
      <c r="J647" s="132">
        <v>1</v>
      </c>
      <c r="K647" s="132">
        <v>1</v>
      </c>
      <c r="L647" s="132">
        <v>1</v>
      </c>
      <c r="M647" s="850">
        <v>2017003630111</v>
      </c>
      <c r="N647" s="879" t="s">
        <v>660</v>
      </c>
      <c r="O647" s="856" t="s">
        <v>780</v>
      </c>
      <c r="P647" s="853" t="s">
        <v>781</v>
      </c>
      <c r="Q647" s="57" t="s">
        <v>51</v>
      </c>
      <c r="R647" s="539">
        <v>0</v>
      </c>
      <c r="S647" s="539"/>
      <c r="T647" s="539"/>
      <c r="U647" s="539">
        <v>0</v>
      </c>
      <c r="V647" s="539"/>
      <c r="W647" s="539"/>
      <c r="X647" s="539">
        <v>0</v>
      </c>
      <c r="Y647" s="539"/>
      <c r="Z647" s="539"/>
      <c r="AA647" s="539">
        <v>0</v>
      </c>
      <c r="AB647" s="539"/>
      <c r="AC647" s="539"/>
      <c r="AD647" s="539">
        <v>0</v>
      </c>
      <c r="AE647" s="539"/>
      <c r="AF647" s="539"/>
      <c r="AG647" s="539">
        <v>0</v>
      </c>
      <c r="AH647" s="539"/>
      <c r="AI647" s="539"/>
      <c r="AJ647" s="539">
        <v>0</v>
      </c>
      <c r="AK647" s="539"/>
      <c r="AL647" s="539"/>
      <c r="AM647" s="539"/>
      <c r="AN647" s="539"/>
      <c r="AO647" s="539"/>
      <c r="AP647" s="539"/>
      <c r="AQ647" s="539"/>
      <c r="AR647" s="539"/>
      <c r="AS647" s="539">
        <v>0</v>
      </c>
      <c r="AT647" s="539"/>
      <c r="AU647" s="539"/>
      <c r="AV647" s="539">
        <v>0</v>
      </c>
      <c r="AW647" s="539"/>
      <c r="AX647" s="539"/>
      <c r="AY647" s="539"/>
      <c r="AZ647" s="539"/>
      <c r="BA647" s="539"/>
      <c r="BB647" s="539"/>
      <c r="BC647" s="539"/>
      <c r="BD647" s="539"/>
      <c r="BE647" s="539">
        <v>0</v>
      </c>
      <c r="BF647" s="539"/>
      <c r="BG647" s="539"/>
      <c r="BH647" s="539">
        <v>0</v>
      </c>
      <c r="BI647" s="539"/>
      <c r="BJ647" s="539"/>
      <c r="BK647" s="540">
        <v>0</v>
      </c>
      <c r="BL647" s="540"/>
      <c r="BM647" s="540"/>
      <c r="BN647" s="553"/>
      <c r="BO647" s="553"/>
      <c r="BP647" s="553"/>
      <c r="BQ647" s="539">
        <v>0</v>
      </c>
      <c r="BR647" s="541"/>
      <c r="BS647" s="541"/>
      <c r="BT647" s="541"/>
      <c r="BU647" s="541"/>
      <c r="BV647" s="541"/>
      <c r="BW647" s="541">
        <v>0</v>
      </c>
      <c r="BX647" s="541"/>
      <c r="BY647" s="541"/>
      <c r="BZ647" s="539">
        <f t="shared" ref="BZ647:BZ649" si="595">R647+U647+X647+AA647+AD647+AG647+AJ647+AM647+AP647+AS647+AV647+AY647+BB647+BE647+BH647+BK647+BN647+BQ647+BT647+BW647</f>
        <v>0</v>
      </c>
      <c r="CA647" s="539">
        <f t="shared" ref="CA647:CA649" si="596">S647+V647+Y647+AB647+AE647+AH647+AK647+AN647+AQ647+AT647+AW647+AZ647+BC647+BF647+BI647+BL647+BO647+BR647+BU647+BX647</f>
        <v>0</v>
      </c>
      <c r="CB647" s="539">
        <f t="shared" ref="CB647:CB649" si="597">T647+W647+Z647+AC647+AF647+AI647+AL647+AO647+AR647+AU647+AX647+BA647+BD647+BG647+BJ647+BM647+BP647+BS647+BV647+BY647</f>
        <v>0</v>
      </c>
    </row>
    <row r="648" spans="1:80" s="11" customFormat="1" ht="72.75" customHeight="1" x14ac:dyDescent="0.2">
      <c r="A648" s="256"/>
      <c r="B648" s="70"/>
      <c r="C648" s="857"/>
      <c r="D648" s="854"/>
      <c r="E648" s="883"/>
      <c r="F648" s="885"/>
      <c r="G648" s="857"/>
      <c r="H648" s="57">
        <v>167</v>
      </c>
      <c r="I648" s="56" t="s">
        <v>782</v>
      </c>
      <c r="J648" s="132">
        <v>15</v>
      </c>
      <c r="K648" s="132">
        <v>15</v>
      </c>
      <c r="L648" s="132">
        <v>15</v>
      </c>
      <c r="M648" s="851"/>
      <c r="N648" s="880"/>
      <c r="O648" s="857"/>
      <c r="P648" s="854"/>
      <c r="Q648" s="57" t="s">
        <v>51</v>
      </c>
      <c r="R648" s="539">
        <v>0</v>
      </c>
      <c r="S648" s="539"/>
      <c r="T648" s="539"/>
      <c r="U648" s="539">
        <v>0</v>
      </c>
      <c r="V648" s="539"/>
      <c r="W648" s="539"/>
      <c r="X648" s="539">
        <v>0</v>
      </c>
      <c r="Y648" s="539"/>
      <c r="Z648" s="539"/>
      <c r="AA648" s="539">
        <v>0</v>
      </c>
      <c r="AB648" s="539"/>
      <c r="AC648" s="539"/>
      <c r="AD648" s="539">
        <v>0</v>
      </c>
      <c r="AE648" s="539"/>
      <c r="AF648" s="539"/>
      <c r="AG648" s="539">
        <v>0</v>
      </c>
      <c r="AH648" s="539"/>
      <c r="AI648" s="539"/>
      <c r="AJ648" s="539"/>
      <c r="AK648" s="539"/>
      <c r="AL648" s="539"/>
      <c r="AM648" s="568"/>
      <c r="AN648" s="568"/>
      <c r="AO648" s="568"/>
      <c r="AP648" s="539">
        <f>8058147089+544912319</f>
        <v>8603059408</v>
      </c>
      <c r="AQ648" s="539">
        <f>[6]Salud!$P$106+[6]Salud!$P$108</f>
        <v>4773326700</v>
      </c>
      <c r="AR648" s="539"/>
      <c r="AS648" s="539">
        <f>3104580734+636624237</f>
        <v>3741204971</v>
      </c>
      <c r="AT648" s="539">
        <v>38713368</v>
      </c>
      <c r="AU648" s="539">
        <v>38713368</v>
      </c>
      <c r="AV648" s="539">
        <v>500</v>
      </c>
      <c r="AW648" s="539"/>
      <c r="AX648" s="539"/>
      <c r="AY648" s="539"/>
      <c r="AZ648" s="539"/>
      <c r="BA648" s="539"/>
      <c r="BB648" s="539"/>
      <c r="BC648" s="539"/>
      <c r="BD648" s="539"/>
      <c r="BE648" s="539">
        <v>0</v>
      </c>
      <c r="BF648" s="539"/>
      <c r="BG648" s="539"/>
      <c r="BH648" s="539">
        <v>0</v>
      </c>
      <c r="BI648" s="539"/>
      <c r="BJ648" s="539"/>
      <c r="BK648" s="540">
        <v>0</v>
      </c>
      <c r="BL648" s="540"/>
      <c r="BM648" s="540"/>
      <c r="BN648" s="553"/>
      <c r="BO648" s="553"/>
      <c r="BP648" s="553"/>
      <c r="BQ648" s="539">
        <v>0</v>
      </c>
      <c r="BR648" s="541"/>
      <c r="BS648" s="541"/>
      <c r="BT648" s="541"/>
      <c r="BU648" s="541"/>
      <c r="BV648" s="541"/>
      <c r="BW648" s="541">
        <f>1065586500+68256639+5900697+290400000+382475991+129917139</f>
        <v>1942536966</v>
      </c>
      <c r="BX648" s="541">
        <v>950000000</v>
      </c>
      <c r="BY648" s="541"/>
      <c r="BZ648" s="539">
        <f t="shared" si="595"/>
        <v>14286801845</v>
      </c>
      <c r="CA648" s="539">
        <f t="shared" si="596"/>
        <v>5762040068</v>
      </c>
      <c r="CB648" s="539">
        <f t="shared" si="597"/>
        <v>38713368</v>
      </c>
    </row>
    <row r="649" spans="1:80" s="11" customFormat="1" ht="87.75" customHeight="1" x14ac:dyDescent="0.2">
      <c r="A649" s="256"/>
      <c r="B649" s="70"/>
      <c r="C649" s="857"/>
      <c r="D649" s="854"/>
      <c r="E649" s="883"/>
      <c r="F649" s="885"/>
      <c r="G649" s="858"/>
      <c r="H649" s="57">
        <v>168</v>
      </c>
      <c r="I649" s="56" t="s">
        <v>783</v>
      </c>
      <c r="J649" s="132">
        <v>7</v>
      </c>
      <c r="K649" s="132">
        <v>14</v>
      </c>
      <c r="L649" s="132">
        <v>14</v>
      </c>
      <c r="M649" s="852"/>
      <c r="N649" s="881"/>
      <c r="O649" s="858"/>
      <c r="P649" s="855"/>
      <c r="Q649" s="57" t="s">
        <v>51</v>
      </c>
      <c r="R649" s="539">
        <v>0</v>
      </c>
      <c r="S649" s="539"/>
      <c r="T649" s="539"/>
      <c r="U649" s="539">
        <v>0</v>
      </c>
      <c r="V649" s="539"/>
      <c r="W649" s="539"/>
      <c r="X649" s="539">
        <v>0</v>
      </c>
      <c r="Y649" s="539"/>
      <c r="Z649" s="539"/>
      <c r="AA649" s="539">
        <v>0</v>
      </c>
      <c r="AB649" s="539"/>
      <c r="AC649" s="539"/>
      <c r="AD649" s="539">
        <v>0</v>
      </c>
      <c r="AE649" s="539"/>
      <c r="AF649" s="539"/>
      <c r="AG649" s="539">
        <v>0</v>
      </c>
      <c r="AH649" s="539"/>
      <c r="AI649" s="539"/>
      <c r="AJ649" s="539">
        <v>0</v>
      </c>
      <c r="AK649" s="539"/>
      <c r="AL649" s="539"/>
      <c r="AM649" s="539"/>
      <c r="AN649" s="539"/>
      <c r="AO649" s="539"/>
      <c r="AP649" s="539"/>
      <c r="AQ649" s="539"/>
      <c r="AR649" s="539"/>
      <c r="AS649" s="539"/>
      <c r="AT649" s="539"/>
      <c r="AU649" s="539"/>
      <c r="AV649" s="539">
        <v>0</v>
      </c>
      <c r="AW649" s="539"/>
      <c r="AX649" s="539"/>
      <c r="AY649" s="539"/>
      <c r="AZ649" s="539"/>
      <c r="BA649" s="539"/>
      <c r="BB649" s="539"/>
      <c r="BC649" s="539"/>
      <c r="BD649" s="539"/>
      <c r="BE649" s="539">
        <v>0</v>
      </c>
      <c r="BF649" s="539"/>
      <c r="BG649" s="539"/>
      <c r="BH649" s="539">
        <v>0</v>
      </c>
      <c r="BI649" s="539"/>
      <c r="BJ649" s="539"/>
      <c r="BK649" s="540">
        <v>0</v>
      </c>
      <c r="BL649" s="540"/>
      <c r="BM649" s="540"/>
      <c r="BN649" s="553"/>
      <c r="BO649" s="553"/>
      <c r="BP649" s="553"/>
      <c r="BQ649" s="539">
        <v>0</v>
      </c>
      <c r="BR649" s="541"/>
      <c r="BS649" s="541"/>
      <c r="BT649" s="541"/>
      <c r="BU649" s="541"/>
      <c r="BV649" s="541"/>
      <c r="BW649" s="541">
        <v>0</v>
      </c>
      <c r="BX649" s="541"/>
      <c r="BY649" s="541"/>
      <c r="BZ649" s="539">
        <f t="shared" si="595"/>
        <v>0</v>
      </c>
      <c r="CA649" s="539">
        <f t="shared" si="596"/>
        <v>0</v>
      </c>
      <c r="CB649" s="539">
        <f t="shared" si="597"/>
        <v>0</v>
      </c>
    </row>
    <row r="650" spans="1:80" s="459" customFormat="1" ht="15.75" x14ac:dyDescent="0.2">
      <c r="A650" s="256"/>
      <c r="B650" s="70"/>
      <c r="C650" s="510"/>
      <c r="D650" s="209"/>
      <c r="E650" s="259"/>
      <c r="F650" s="259"/>
      <c r="G650" s="77"/>
      <c r="H650" s="78"/>
      <c r="I650" s="77"/>
      <c r="J650" s="165"/>
      <c r="K650" s="165"/>
      <c r="L650" s="165"/>
      <c r="M650" s="165"/>
      <c r="N650" s="165"/>
      <c r="O650" s="78"/>
      <c r="P650" s="77"/>
      <c r="Q650" s="78"/>
      <c r="R650" s="548">
        <f t="shared" ref="R650:BY650" si="598">SUM(R647:R649)</f>
        <v>0</v>
      </c>
      <c r="S650" s="548">
        <f t="shared" si="598"/>
        <v>0</v>
      </c>
      <c r="T650" s="548">
        <f t="shared" si="598"/>
        <v>0</v>
      </c>
      <c r="U650" s="548">
        <f t="shared" si="598"/>
        <v>0</v>
      </c>
      <c r="V650" s="548">
        <f t="shared" si="598"/>
        <v>0</v>
      </c>
      <c r="W650" s="548">
        <f t="shared" si="598"/>
        <v>0</v>
      </c>
      <c r="X650" s="548">
        <f t="shared" si="598"/>
        <v>0</v>
      </c>
      <c r="Y650" s="548">
        <f t="shared" si="598"/>
        <v>0</v>
      </c>
      <c r="Z650" s="548">
        <f t="shared" si="598"/>
        <v>0</v>
      </c>
      <c r="AA650" s="548">
        <f t="shared" si="598"/>
        <v>0</v>
      </c>
      <c r="AB650" s="548">
        <f t="shared" si="598"/>
        <v>0</v>
      </c>
      <c r="AC650" s="548">
        <f t="shared" si="598"/>
        <v>0</v>
      </c>
      <c r="AD650" s="548">
        <f t="shared" si="598"/>
        <v>0</v>
      </c>
      <c r="AE650" s="548">
        <f t="shared" si="598"/>
        <v>0</v>
      </c>
      <c r="AF650" s="548">
        <f t="shared" si="598"/>
        <v>0</v>
      </c>
      <c r="AG650" s="548">
        <f t="shared" si="598"/>
        <v>0</v>
      </c>
      <c r="AH650" s="548">
        <f t="shared" si="598"/>
        <v>0</v>
      </c>
      <c r="AI650" s="548">
        <f t="shared" si="598"/>
        <v>0</v>
      </c>
      <c r="AJ650" s="548">
        <f t="shared" si="598"/>
        <v>0</v>
      </c>
      <c r="AK650" s="548">
        <f t="shared" si="598"/>
        <v>0</v>
      </c>
      <c r="AL650" s="548">
        <f t="shared" si="598"/>
        <v>0</v>
      </c>
      <c r="AM650" s="548">
        <f t="shared" si="598"/>
        <v>0</v>
      </c>
      <c r="AN650" s="548">
        <f t="shared" si="598"/>
        <v>0</v>
      </c>
      <c r="AO650" s="548">
        <f t="shared" si="598"/>
        <v>0</v>
      </c>
      <c r="AP650" s="548">
        <f t="shared" si="598"/>
        <v>8603059408</v>
      </c>
      <c r="AQ650" s="548">
        <f t="shared" si="598"/>
        <v>4773326700</v>
      </c>
      <c r="AR650" s="548">
        <f t="shared" si="598"/>
        <v>0</v>
      </c>
      <c r="AS650" s="548">
        <f t="shared" si="598"/>
        <v>3741204971</v>
      </c>
      <c r="AT650" s="548">
        <f t="shared" si="598"/>
        <v>38713368</v>
      </c>
      <c r="AU650" s="548">
        <f t="shared" si="598"/>
        <v>38713368</v>
      </c>
      <c r="AV650" s="548">
        <f t="shared" si="598"/>
        <v>500</v>
      </c>
      <c r="AW650" s="548">
        <f t="shared" si="598"/>
        <v>0</v>
      </c>
      <c r="AX650" s="548">
        <f t="shared" si="598"/>
        <v>0</v>
      </c>
      <c r="AY650" s="548">
        <f t="shared" si="598"/>
        <v>0</v>
      </c>
      <c r="AZ650" s="548">
        <f t="shared" si="598"/>
        <v>0</v>
      </c>
      <c r="BA650" s="548">
        <f t="shared" si="598"/>
        <v>0</v>
      </c>
      <c r="BB650" s="548">
        <f t="shared" si="598"/>
        <v>0</v>
      </c>
      <c r="BC650" s="548">
        <f t="shared" si="598"/>
        <v>0</v>
      </c>
      <c r="BD650" s="548">
        <f t="shared" si="598"/>
        <v>0</v>
      </c>
      <c r="BE650" s="548">
        <f t="shared" si="598"/>
        <v>0</v>
      </c>
      <c r="BF650" s="548">
        <f t="shared" si="598"/>
        <v>0</v>
      </c>
      <c r="BG650" s="548">
        <f t="shared" si="598"/>
        <v>0</v>
      </c>
      <c r="BH650" s="548">
        <f t="shared" si="598"/>
        <v>0</v>
      </c>
      <c r="BI650" s="548">
        <f t="shared" si="598"/>
        <v>0</v>
      </c>
      <c r="BJ650" s="548">
        <f t="shared" si="598"/>
        <v>0</v>
      </c>
      <c r="BK650" s="548">
        <f t="shared" si="598"/>
        <v>0</v>
      </c>
      <c r="BL650" s="548">
        <f t="shared" si="598"/>
        <v>0</v>
      </c>
      <c r="BM650" s="548">
        <f t="shared" si="598"/>
        <v>0</v>
      </c>
      <c r="BN650" s="548">
        <f t="shared" si="598"/>
        <v>0</v>
      </c>
      <c r="BO650" s="548">
        <f t="shared" si="598"/>
        <v>0</v>
      </c>
      <c r="BP650" s="548">
        <f t="shared" si="598"/>
        <v>0</v>
      </c>
      <c r="BQ650" s="548">
        <f t="shared" si="598"/>
        <v>0</v>
      </c>
      <c r="BR650" s="548">
        <f t="shared" si="598"/>
        <v>0</v>
      </c>
      <c r="BS650" s="548">
        <f t="shared" si="598"/>
        <v>0</v>
      </c>
      <c r="BT650" s="548">
        <f t="shared" si="598"/>
        <v>0</v>
      </c>
      <c r="BU650" s="548">
        <f t="shared" si="598"/>
        <v>0</v>
      </c>
      <c r="BV650" s="548">
        <f t="shared" si="598"/>
        <v>0</v>
      </c>
      <c r="BW650" s="548">
        <f t="shared" si="598"/>
        <v>1942536966</v>
      </c>
      <c r="BX650" s="548">
        <f t="shared" si="598"/>
        <v>950000000</v>
      </c>
      <c r="BY650" s="548">
        <f t="shared" si="598"/>
        <v>0</v>
      </c>
      <c r="BZ650" s="548">
        <f>SUM(BZ647:BZ649)</f>
        <v>14286801845</v>
      </c>
      <c r="CA650" s="548">
        <f t="shared" ref="CA650:CB650" si="599">SUM(CA647:CA649)</f>
        <v>5762040068</v>
      </c>
      <c r="CB650" s="548">
        <f t="shared" si="599"/>
        <v>38713368</v>
      </c>
    </row>
    <row r="651" spans="1:80" s="459" customFormat="1" ht="15.75" x14ac:dyDescent="0.2">
      <c r="A651" s="256"/>
      <c r="B651" s="70"/>
      <c r="C651" s="92"/>
      <c r="D651" s="91"/>
      <c r="E651" s="92"/>
      <c r="F651" s="92"/>
      <c r="G651" s="91"/>
      <c r="H651" s="92"/>
      <c r="I651" s="91"/>
      <c r="J651" s="92"/>
      <c r="K651" s="184"/>
      <c r="L651" s="334"/>
      <c r="M651" s="334"/>
      <c r="N651" s="125"/>
      <c r="O651" s="499"/>
      <c r="P651" s="124"/>
      <c r="Q651" s="92"/>
      <c r="R651" s="543"/>
      <c r="S651" s="543"/>
      <c r="T651" s="543"/>
      <c r="U651" s="544"/>
      <c r="V651" s="544"/>
      <c r="W651" s="544"/>
      <c r="X651" s="543"/>
      <c r="Y651" s="543"/>
      <c r="Z651" s="543"/>
      <c r="AA651" s="543"/>
      <c r="AB651" s="543"/>
      <c r="AC651" s="543"/>
      <c r="AD651" s="543"/>
      <c r="AE651" s="543"/>
      <c r="AF651" s="543"/>
      <c r="AG651" s="543"/>
      <c r="AH651" s="543"/>
      <c r="AI651" s="543"/>
      <c r="AJ651" s="543"/>
      <c r="AK651" s="543"/>
      <c r="AL651" s="543"/>
      <c r="AM651" s="543"/>
      <c r="AN651" s="543"/>
      <c r="AO651" s="543"/>
      <c r="AP651" s="543"/>
      <c r="AQ651" s="543"/>
      <c r="AR651" s="543"/>
      <c r="AS651" s="543"/>
      <c r="AT651" s="543"/>
      <c r="AU651" s="543"/>
      <c r="AV651" s="543"/>
      <c r="AW651" s="543"/>
      <c r="AX651" s="543"/>
      <c r="AY651" s="543"/>
      <c r="AZ651" s="543"/>
      <c r="BA651" s="543"/>
      <c r="BB651" s="543"/>
      <c r="BC651" s="543"/>
      <c r="BD651" s="543"/>
      <c r="BE651" s="543"/>
      <c r="BF651" s="543"/>
      <c r="BG651" s="543"/>
      <c r="BH651" s="543"/>
      <c r="BI651" s="543"/>
      <c r="BJ651" s="543"/>
      <c r="BK651" s="545"/>
      <c r="BL651" s="545"/>
      <c r="BM651" s="545"/>
      <c r="BN651" s="546"/>
      <c r="BO651" s="546"/>
      <c r="BP651" s="546"/>
      <c r="BQ651" s="543"/>
      <c r="BR651" s="543"/>
      <c r="BS651" s="543"/>
      <c r="BT651" s="543"/>
      <c r="BU651" s="543"/>
      <c r="BV651" s="543"/>
      <c r="BW651" s="544"/>
      <c r="BX651" s="544"/>
      <c r="BY651" s="544"/>
      <c r="BZ651" s="539" t="s">
        <v>62</v>
      </c>
      <c r="CA651" s="539" t="s">
        <v>62</v>
      </c>
      <c r="CB651" s="539" t="s">
        <v>62</v>
      </c>
    </row>
    <row r="652" spans="1:80" s="459" customFormat="1" ht="15.75" x14ac:dyDescent="0.2">
      <c r="A652" s="256"/>
      <c r="B652" s="70"/>
      <c r="C652" s="508"/>
      <c r="D652" s="229"/>
      <c r="E652" s="230"/>
      <c r="F652" s="230"/>
      <c r="G652" s="274">
        <v>51</v>
      </c>
      <c r="H652" s="99" t="s">
        <v>784</v>
      </c>
      <c r="I652" s="99"/>
      <c r="J652" s="99"/>
      <c r="K652" s="415"/>
      <c r="L652" s="415"/>
      <c r="M652" s="415"/>
      <c r="N652" s="99"/>
      <c r="O652" s="212"/>
      <c r="P652" s="99"/>
      <c r="Q652" s="99"/>
      <c r="R652" s="336"/>
      <c r="S652" s="336"/>
      <c r="T652" s="336"/>
      <c r="U652" s="336"/>
      <c r="V652" s="336"/>
      <c r="W652" s="336"/>
      <c r="X652" s="336"/>
      <c r="Y652" s="336"/>
      <c r="Z652" s="336"/>
      <c r="AA652" s="336"/>
      <c r="AB652" s="336"/>
      <c r="AC652" s="336"/>
      <c r="AD652" s="336"/>
      <c r="AE652" s="336"/>
      <c r="AF652" s="336"/>
      <c r="AG652" s="336"/>
      <c r="AH652" s="336"/>
      <c r="AI652" s="336"/>
      <c r="AJ652" s="336"/>
      <c r="AK652" s="336"/>
      <c r="AL652" s="336"/>
      <c r="AM652" s="336"/>
      <c r="AN652" s="336"/>
      <c r="AO652" s="336"/>
      <c r="AP652" s="336"/>
      <c r="AQ652" s="336"/>
      <c r="AR652" s="336"/>
      <c r="AS652" s="336"/>
      <c r="AT652" s="336"/>
      <c r="AU652" s="336"/>
      <c r="AV652" s="336"/>
      <c r="AW652" s="336"/>
      <c r="AX652" s="336"/>
      <c r="AY652" s="336"/>
      <c r="AZ652" s="336"/>
      <c r="BA652" s="336"/>
      <c r="BB652" s="336"/>
      <c r="BC652" s="336"/>
      <c r="BD652" s="336"/>
      <c r="BE652" s="336"/>
      <c r="BF652" s="336"/>
      <c r="BG652" s="336"/>
      <c r="BH652" s="336"/>
      <c r="BI652" s="336"/>
      <c r="BJ652" s="336"/>
      <c r="BK652" s="552"/>
      <c r="BL652" s="552"/>
      <c r="BM652" s="552"/>
      <c r="BN652" s="336"/>
      <c r="BO652" s="336"/>
      <c r="BP652" s="336"/>
      <c r="BQ652" s="336"/>
      <c r="BR652" s="336"/>
      <c r="BS652" s="336"/>
      <c r="BT652" s="336"/>
      <c r="BU652" s="336"/>
      <c r="BV652" s="336"/>
      <c r="BW652" s="336"/>
      <c r="BX652" s="336"/>
      <c r="BY652" s="336"/>
      <c r="BZ652" s="658"/>
      <c r="CA652" s="658"/>
      <c r="CB652" s="658"/>
    </row>
    <row r="653" spans="1:80" s="11" customFormat="1" ht="108" customHeight="1" x14ac:dyDescent="0.2">
      <c r="A653" s="256"/>
      <c r="B653" s="70"/>
      <c r="C653" s="509" t="s">
        <v>694</v>
      </c>
      <c r="D653" s="517" t="s">
        <v>785</v>
      </c>
      <c r="E653" s="523">
        <v>0.6</v>
      </c>
      <c r="F653" s="523">
        <v>1</v>
      </c>
      <c r="G653" s="56"/>
      <c r="H653" s="57">
        <v>169</v>
      </c>
      <c r="I653" s="56" t="s">
        <v>786</v>
      </c>
      <c r="J653" s="132">
        <v>8</v>
      </c>
      <c r="K653" s="132">
        <v>12</v>
      </c>
      <c r="L653" s="132">
        <v>12</v>
      </c>
      <c r="M653" s="61">
        <v>2017003630109</v>
      </c>
      <c r="N653" s="132" t="s">
        <v>660</v>
      </c>
      <c r="O653" s="498" t="s">
        <v>787</v>
      </c>
      <c r="P653" s="56" t="s">
        <v>788</v>
      </c>
      <c r="Q653" s="57" t="s">
        <v>51</v>
      </c>
      <c r="R653" s="539">
        <v>0</v>
      </c>
      <c r="S653" s="539"/>
      <c r="T653" s="539"/>
      <c r="U653" s="539">
        <v>0</v>
      </c>
      <c r="V653" s="539"/>
      <c r="W653" s="539"/>
      <c r="X653" s="539">
        <v>0</v>
      </c>
      <c r="Y653" s="539"/>
      <c r="Z653" s="539"/>
      <c r="AA653" s="539">
        <v>0</v>
      </c>
      <c r="AB653" s="539"/>
      <c r="AC653" s="539"/>
      <c r="AD653" s="539">
        <v>0</v>
      </c>
      <c r="AE653" s="539"/>
      <c r="AF653" s="539"/>
      <c r="AG653" s="539">
        <v>0</v>
      </c>
      <c r="AH653" s="539"/>
      <c r="AI653" s="539"/>
      <c r="AJ653" s="539">
        <v>0</v>
      </c>
      <c r="AK653" s="539"/>
      <c r="AL653" s="539"/>
      <c r="AM653" s="539"/>
      <c r="AN653" s="539"/>
      <c r="AO653" s="539"/>
      <c r="AP653" s="539"/>
      <c r="AQ653" s="539"/>
      <c r="AR653" s="539"/>
      <c r="AS653" s="568"/>
      <c r="AT653" s="540"/>
      <c r="AU653" s="540"/>
      <c r="AV653" s="539">
        <v>0</v>
      </c>
      <c r="AW653" s="539"/>
      <c r="AX653" s="539"/>
      <c r="AY653" s="539"/>
      <c r="AZ653" s="539"/>
      <c r="BA653" s="539"/>
      <c r="BB653" s="539"/>
      <c r="BC653" s="539"/>
      <c r="BD653" s="539"/>
      <c r="BE653" s="539">
        <v>0</v>
      </c>
      <c r="BF653" s="539"/>
      <c r="BG653" s="539"/>
      <c r="BH653" s="539">
        <v>0</v>
      </c>
      <c r="BI653" s="539"/>
      <c r="BJ653" s="539"/>
      <c r="BK653" s="539">
        <v>44149920</v>
      </c>
      <c r="BL653" s="539">
        <v>31680000</v>
      </c>
      <c r="BM653" s="539">
        <v>10560000</v>
      </c>
      <c r="BN653" s="553"/>
      <c r="BO653" s="553"/>
      <c r="BP653" s="553"/>
      <c r="BQ653" s="539">
        <v>0</v>
      </c>
      <c r="BR653" s="541"/>
      <c r="BS653" s="541"/>
      <c r="BT653" s="541"/>
      <c r="BU653" s="541"/>
      <c r="BV653" s="541"/>
      <c r="BW653" s="541"/>
      <c r="BX653" s="541"/>
      <c r="BY653" s="541"/>
      <c r="BZ653" s="539">
        <f t="shared" ref="BZ653" si="600">R653+U653+X653+AA653+AD653+AG653+AJ653+AM653+AP653+AS653+AV653+AY653+BB653+BE653+BH653+BK653+BN653+BQ653+BT653+BW653</f>
        <v>44149920</v>
      </c>
      <c r="CA653" s="539">
        <f t="shared" ref="CA653" si="601">S653+V653+Y653+AB653+AE653+AH653+AK653+AN653+AQ653+AT653+AW653+AZ653+BC653+BF653+BI653+BL653+BO653+BR653+BU653+BX653</f>
        <v>31680000</v>
      </c>
      <c r="CB653" s="539">
        <f t="shared" ref="CB653" si="602">T653+W653+Z653+AC653+AF653+AI653+AL653+AO653+AR653+AU653+AX653+BA653+BD653+BG653+BJ653+BM653+BP653+BS653+BV653+BY653</f>
        <v>10560000</v>
      </c>
    </row>
    <row r="654" spans="1:80" s="459" customFormat="1" ht="15.75" x14ac:dyDescent="0.2">
      <c r="A654" s="256"/>
      <c r="B654" s="70"/>
      <c r="C654" s="510"/>
      <c r="D654" s="209"/>
      <c r="E654" s="259"/>
      <c r="F654" s="259"/>
      <c r="G654" s="77"/>
      <c r="H654" s="78"/>
      <c r="I654" s="77"/>
      <c r="J654" s="165"/>
      <c r="K654" s="165"/>
      <c r="L654" s="165"/>
      <c r="M654" s="165"/>
      <c r="N654" s="165"/>
      <c r="O654" s="78"/>
      <c r="P654" s="77"/>
      <c r="Q654" s="78"/>
      <c r="R654" s="548">
        <f t="shared" ref="R654:BZ654" si="603">R653</f>
        <v>0</v>
      </c>
      <c r="S654" s="548">
        <f t="shared" si="603"/>
        <v>0</v>
      </c>
      <c r="T654" s="548">
        <f t="shared" si="603"/>
        <v>0</v>
      </c>
      <c r="U654" s="548">
        <f t="shared" si="603"/>
        <v>0</v>
      </c>
      <c r="V654" s="548">
        <f t="shared" si="603"/>
        <v>0</v>
      </c>
      <c r="W654" s="548">
        <f t="shared" si="603"/>
        <v>0</v>
      </c>
      <c r="X654" s="548">
        <f t="shared" si="603"/>
        <v>0</v>
      </c>
      <c r="Y654" s="548">
        <f t="shared" si="603"/>
        <v>0</v>
      </c>
      <c r="Z654" s="548">
        <f t="shared" si="603"/>
        <v>0</v>
      </c>
      <c r="AA654" s="548">
        <f t="shared" si="603"/>
        <v>0</v>
      </c>
      <c r="AB654" s="548">
        <f t="shared" si="603"/>
        <v>0</v>
      </c>
      <c r="AC654" s="548">
        <f t="shared" si="603"/>
        <v>0</v>
      </c>
      <c r="AD654" s="548">
        <f t="shared" si="603"/>
        <v>0</v>
      </c>
      <c r="AE654" s="548">
        <f t="shared" si="603"/>
        <v>0</v>
      </c>
      <c r="AF654" s="548">
        <f t="shared" si="603"/>
        <v>0</v>
      </c>
      <c r="AG654" s="548">
        <f t="shared" si="603"/>
        <v>0</v>
      </c>
      <c r="AH654" s="548">
        <f t="shared" si="603"/>
        <v>0</v>
      </c>
      <c r="AI654" s="548">
        <f t="shared" si="603"/>
        <v>0</v>
      </c>
      <c r="AJ654" s="548">
        <f t="shared" si="603"/>
        <v>0</v>
      </c>
      <c r="AK654" s="548">
        <f t="shared" si="603"/>
        <v>0</v>
      </c>
      <c r="AL654" s="548">
        <f t="shared" si="603"/>
        <v>0</v>
      </c>
      <c r="AM654" s="548">
        <f t="shared" si="603"/>
        <v>0</v>
      </c>
      <c r="AN654" s="548">
        <f t="shared" si="603"/>
        <v>0</v>
      </c>
      <c r="AO654" s="548">
        <f t="shared" si="603"/>
        <v>0</v>
      </c>
      <c r="AP654" s="548">
        <f t="shared" si="603"/>
        <v>0</v>
      </c>
      <c r="AQ654" s="548">
        <f t="shared" si="603"/>
        <v>0</v>
      </c>
      <c r="AR654" s="548">
        <f t="shared" si="603"/>
        <v>0</v>
      </c>
      <c r="AS654" s="548">
        <f t="shared" si="603"/>
        <v>0</v>
      </c>
      <c r="AT654" s="548">
        <f t="shared" si="603"/>
        <v>0</v>
      </c>
      <c r="AU654" s="548">
        <f t="shared" si="603"/>
        <v>0</v>
      </c>
      <c r="AV654" s="548">
        <f t="shared" si="603"/>
        <v>0</v>
      </c>
      <c r="AW654" s="548">
        <f t="shared" si="603"/>
        <v>0</v>
      </c>
      <c r="AX654" s="548">
        <f t="shared" si="603"/>
        <v>0</v>
      </c>
      <c r="AY654" s="548">
        <f t="shared" si="603"/>
        <v>0</v>
      </c>
      <c r="AZ654" s="548">
        <f t="shared" si="603"/>
        <v>0</v>
      </c>
      <c r="BA654" s="548">
        <f t="shared" si="603"/>
        <v>0</v>
      </c>
      <c r="BB654" s="548">
        <f t="shared" si="603"/>
        <v>0</v>
      </c>
      <c r="BC654" s="548">
        <f t="shared" si="603"/>
        <v>0</v>
      </c>
      <c r="BD654" s="548">
        <f t="shared" si="603"/>
        <v>0</v>
      </c>
      <c r="BE654" s="548">
        <f t="shared" si="603"/>
        <v>0</v>
      </c>
      <c r="BF654" s="548">
        <f t="shared" si="603"/>
        <v>0</v>
      </c>
      <c r="BG654" s="548">
        <f t="shared" si="603"/>
        <v>0</v>
      </c>
      <c r="BH654" s="548">
        <f t="shared" si="603"/>
        <v>0</v>
      </c>
      <c r="BI654" s="548">
        <f t="shared" si="603"/>
        <v>0</v>
      </c>
      <c r="BJ654" s="548">
        <f t="shared" si="603"/>
        <v>0</v>
      </c>
      <c r="BK654" s="548">
        <f t="shared" si="603"/>
        <v>44149920</v>
      </c>
      <c r="BL654" s="548">
        <f t="shared" si="603"/>
        <v>31680000</v>
      </c>
      <c r="BM654" s="548">
        <f t="shared" si="603"/>
        <v>10560000</v>
      </c>
      <c r="BN654" s="548">
        <f t="shared" si="603"/>
        <v>0</v>
      </c>
      <c r="BO654" s="548">
        <f t="shared" si="603"/>
        <v>0</v>
      </c>
      <c r="BP654" s="548">
        <f t="shared" si="603"/>
        <v>0</v>
      </c>
      <c r="BQ654" s="548">
        <f t="shared" si="603"/>
        <v>0</v>
      </c>
      <c r="BR654" s="548">
        <f t="shared" si="603"/>
        <v>0</v>
      </c>
      <c r="BS654" s="548">
        <f t="shared" si="603"/>
        <v>0</v>
      </c>
      <c r="BT654" s="548">
        <f t="shared" si="603"/>
        <v>0</v>
      </c>
      <c r="BU654" s="548">
        <f t="shared" si="603"/>
        <v>0</v>
      </c>
      <c r="BV654" s="548">
        <f t="shared" si="603"/>
        <v>0</v>
      </c>
      <c r="BW654" s="548">
        <f t="shared" si="603"/>
        <v>0</v>
      </c>
      <c r="BX654" s="548">
        <f t="shared" si="603"/>
        <v>0</v>
      </c>
      <c r="BY654" s="548">
        <f t="shared" si="603"/>
        <v>0</v>
      </c>
      <c r="BZ654" s="548">
        <f t="shared" si="603"/>
        <v>44149920</v>
      </c>
      <c r="CA654" s="548">
        <f t="shared" ref="CA654:CB654" si="604">CA653</f>
        <v>31680000</v>
      </c>
      <c r="CB654" s="548">
        <f t="shared" si="604"/>
        <v>10560000</v>
      </c>
    </row>
    <row r="655" spans="1:80" s="459" customFormat="1" ht="15.75" x14ac:dyDescent="0.2">
      <c r="A655" s="256"/>
      <c r="B655" s="70"/>
      <c r="C655" s="92"/>
      <c r="D655" s="91"/>
      <c r="E655" s="92"/>
      <c r="F655" s="92"/>
      <c r="G655" s="91"/>
      <c r="H655" s="92"/>
      <c r="I655" s="91"/>
      <c r="J655" s="92"/>
      <c r="K655" s="184"/>
      <c r="L655" s="334"/>
      <c r="M655" s="334"/>
      <c r="N655" s="125"/>
      <c r="O655" s="499"/>
      <c r="P655" s="124"/>
      <c r="Q655" s="92"/>
      <c r="R655" s="543"/>
      <c r="S655" s="543"/>
      <c r="T655" s="543"/>
      <c r="U655" s="543"/>
      <c r="V655" s="543"/>
      <c r="W655" s="543"/>
      <c r="X655" s="543"/>
      <c r="Y655" s="543"/>
      <c r="Z655" s="543"/>
      <c r="AA655" s="543"/>
      <c r="AB655" s="543"/>
      <c r="AC655" s="543"/>
      <c r="AD655" s="543"/>
      <c r="AE655" s="543"/>
      <c r="AF655" s="543"/>
      <c r="AG655" s="543"/>
      <c r="AH655" s="543"/>
      <c r="AI655" s="543"/>
      <c r="AJ655" s="543"/>
      <c r="AK655" s="543"/>
      <c r="AL655" s="543"/>
      <c r="AM655" s="543"/>
      <c r="AN655" s="543"/>
      <c r="AO655" s="543"/>
      <c r="AP655" s="543"/>
      <c r="AQ655" s="543"/>
      <c r="AR655" s="543"/>
      <c r="AS655" s="543"/>
      <c r="AT655" s="543"/>
      <c r="AU655" s="543"/>
      <c r="AV655" s="543"/>
      <c r="AW655" s="543"/>
      <c r="AX655" s="543"/>
      <c r="AY655" s="543"/>
      <c r="AZ655" s="543"/>
      <c r="BA655" s="543"/>
      <c r="BB655" s="543"/>
      <c r="BC655" s="543"/>
      <c r="BD655" s="543"/>
      <c r="BE655" s="543"/>
      <c r="BF655" s="543"/>
      <c r="BG655" s="543"/>
      <c r="BH655" s="543"/>
      <c r="BI655" s="543"/>
      <c r="BJ655" s="543"/>
      <c r="BK655" s="545"/>
      <c r="BL655" s="545"/>
      <c r="BM655" s="545"/>
      <c r="BN655" s="546"/>
      <c r="BO655" s="546"/>
      <c r="BP655" s="546"/>
      <c r="BQ655" s="543"/>
      <c r="BR655" s="543"/>
      <c r="BS655" s="543"/>
      <c r="BT655" s="543"/>
      <c r="BU655" s="543"/>
      <c r="BV655" s="543"/>
      <c r="BW655" s="543"/>
      <c r="BX655" s="543"/>
      <c r="BY655" s="543"/>
      <c r="BZ655" s="539"/>
      <c r="CA655" s="539"/>
      <c r="CB655" s="539"/>
    </row>
    <row r="656" spans="1:80" s="459" customFormat="1" ht="15.75" x14ac:dyDescent="0.2">
      <c r="A656" s="256"/>
      <c r="B656" s="70"/>
      <c r="C656" s="508"/>
      <c r="D656" s="229"/>
      <c r="E656" s="230"/>
      <c r="F656" s="230"/>
      <c r="G656" s="274">
        <v>52</v>
      </c>
      <c r="H656" s="99" t="s">
        <v>789</v>
      </c>
      <c r="I656" s="99"/>
      <c r="J656" s="99"/>
      <c r="K656" s="415"/>
      <c r="L656" s="415"/>
      <c r="M656" s="415"/>
      <c r="N656" s="99"/>
      <c r="O656" s="212"/>
      <c r="P656" s="99"/>
      <c r="Q656" s="99"/>
      <c r="R656" s="336"/>
      <c r="S656" s="336"/>
      <c r="T656" s="336"/>
      <c r="U656" s="336"/>
      <c r="V656" s="336"/>
      <c r="W656" s="336"/>
      <c r="X656" s="336"/>
      <c r="Y656" s="336"/>
      <c r="Z656" s="336"/>
      <c r="AA656" s="336"/>
      <c r="AB656" s="336"/>
      <c r="AC656" s="336"/>
      <c r="AD656" s="336"/>
      <c r="AE656" s="336"/>
      <c r="AF656" s="336"/>
      <c r="AG656" s="336"/>
      <c r="AH656" s="336"/>
      <c r="AI656" s="336"/>
      <c r="AJ656" s="336"/>
      <c r="AK656" s="336"/>
      <c r="AL656" s="336"/>
      <c r="AM656" s="336"/>
      <c r="AN656" s="336"/>
      <c r="AO656" s="336"/>
      <c r="AP656" s="336"/>
      <c r="AQ656" s="336"/>
      <c r="AR656" s="336"/>
      <c r="AS656" s="336"/>
      <c r="AT656" s="336"/>
      <c r="AU656" s="336"/>
      <c r="AV656" s="336"/>
      <c r="AW656" s="336"/>
      <c r="AX656" s="336"/>
      <c r="AY656" s="336"/>
      <c r="AZ656" s="336"/>
      <c r="BA656" s="336"/>
      <c r="BB656" s="336"/>
      <c r="BC656" s="336"/>
      <c r="BD656" s="336"/>
      <c r="BE656" s="336"/>
      <c r="BF656" s="336"/>
      <c r="BG656" s="336"/>
      <c r="BH656" s="336"/>
      <c r="BI656" s="336"/>
      <c r="BJ656" s="336"/>
      <c r="BK656" s="552"/>
      <c r="BL656" s="552"/>
      <c r="BM656" s="552"/>
      <c r="BN656" s="336"/>
      <c r="BO656" s="336"/>
      <c r="BP656" s="336"/>
      <c r="BQ656" s="336"/>
      <c r="BR656" s="336"/>
      <c r="BS656" s="336"/>
      <c r="BT656" s="336"/>
      <c r="BU656" s="336"/>
      <c r="BV656" s="336"/>
      <c r="BW656" s="336"/>
      <c r="BX656" s="336"/>
      <c r="BY656" s="336"/>
      <c r="BZ656" s="658"/>
      <c r="CA656" s="658"/>
      <c r="CB656" s="658"/>
    </row>
    <row r="657" spans="1:80" s="11" customFormat="1" ht="69.75" customHeight="1" x14ac:dyDescent="0.2">
      <c r="A657" s="256"/>
      <c r="B657" s="70"/>
      <c r="C657" s="857">
        <v>28</v>
      </c>
      <c r="D657" s="854" t="s">
        <v>790</v>
      </c>
      <c r="E657" s="885">
        <v>0.5</v>
      </c>
      <c r="F657" s="885">
        <v>1</v>
      </c>
      <c r="G657" s="58"/>
      <c r="H657" s="57">
        <v>170</v>
      </c>
      <c r="I657" s="56" t="s">
        <v>791</v>
      </c>
      <c r="J657" s="418">
        <v>14</v>
      </c>
      <c r="K657" s="418">
        <v>14</v>
      </c>
      <c r="L657" s="418">
        <v>8</v>
      </c>
      <c r="M657" s="850">
        <v>2017003630105</v>
      </c>
      <c r="N657" s="922" t="s">
        <v>660</v>
      </c>
      <c r="O657" s="856" t="s">
        <v>792</v>
      </c>
      <c r="P657" s="853" t="s">
        <v>793</v>
      </c>
      <c r="Q657" s="57" t="s">
        <v>51</v>
      </c>
      <c r="R657" s="539">
        <v>0</v>
      </c>
      <c r="S657" s="539"/>
      <c r="T657" s="539"/>
      <c r="U657" s="539">
        <v>0</v>
      </c>
      <c r="V657" s="539"/>
      <c r="W657" s="539"/>
      <c r="X657" s="539">
        <v>0</v>
      </c>
      <c r="Y657" s="539"/>
      <c r="Z657" s="539"/>
      <c r="AA657" s="539">
        <v>0</v>
      </c>
      <c r="AB657" s="539"/>
      <c r="AC657" s="539"/>
      <c r="AD657" s="539">
        <v>0</v>
      </c>
      <c r="AE657" s="539"/>
      <c r="AF657" s="539"/>
      <c r="AG657" s="539">
        <v>0</v>
      </c>
      <c r="AH657" s="539"/>
      <c r="AI657" s="539"/>
      <c r="AJ657" s="539">
        <v>0</v>
      </c>
      <c r="AK657" s="539"/>
      <c r="AL657" s="539"/>
      <c r="AM657" s="539"/>
      <c r="AN657" s="539"/>
      <c r="AO657" s="539"/>
      <c r="AP657" s="539"/>
      <c r="AQ657" s="539"/>
      <c r="AR657" s="539"/>
      <c r="AS657" s="539"/>
      <c r="AT657" s="63"/>
      <c r="AU657" s="63"/>
      <c r="AV657" s="539">
        <v>0</v>
      </c>
      <c r="AW657" s="539"/>
      <c r="AX657" s="539"/>
      <c r="AY657" s="539">
        <v>0</v>
      </c>
      <c r="AZ657" s="539"/>
      <c r="BA657" s="539"/>
      <c r="BB657" s="539">
        <v>0</v>
      </c>
      <c r="BC657" s="539"/>
      <c r="BD657" s="539"/>
      <c r="BE657" s="539">
        <v>0</v>
      </c>
      <c r="BF657" s="539"/>
      <c r="BG657" s="539"/>
      <c r="BH657" s="539">
        <v>0</v>
      </c>
      <c r="BI657" s="539"/>
      <c r="BJ657" s="539"/>
      <c r="BK657" s="540">
        <v>138195556</v>
      </c>
      <c r="BL657" s="540">
        <v>5000000</v>
      </c>
      <c r="BM657" s="540"/>
      <c r="BN657" s="553"/>
      <c r="BO657" s="553"/>
      <c r="BP657" s="553"/>
      <c r="BQ657" s="539">
        <v>0</v>
      </c>
      <c r="BR657" s="541"/>
      <c r="BS657" s="541"/>
      <c r="BT657" s="541"/>
      <c r="BU657" s="541"/>
      <c r="BV657" s="541"/>
      <c r="BW657" s="541"/>
      <c r="BX657" s="541"/>
      <c r="BY657" s="541"/>
      <c r="BZ657" s="539">
        <f t="shared" ref="BZ657:BZ659" si="605">R657+U657+X657+AA657+AD657+AG657+AJ657+AM657+AP657+AS657+AV657+AY657+BB657+BE657+BH657+BK657+BN657+BQ657+BT657+BW657</f>
        <v>138195556</v>
      </c>
      <c r="CA657" s="539">
        <f t="shared" ref="CA657:CA659" si="606">S657+V657+Y657+AB657+AE657+AH657+AK657+AN657+AQ657+AT657+AW657+AZ657+BC657+BF657+BI657+BL657+BO657+BR657+BU657+BX657</f>
        <v>5000000</v>
      </c>
      <c r="CB657" s="539">
        <f t="shared" ref="CB657:CB659" si="607">T657+W657+Z657+AC657+AF657+AI657+AL657+AO657+AR657+AU657+AX657+BA657+BD657+BG657+BJ657+BM657+BP657+BS657+BV657+BY657</f>
        <v>0</v>
      </c>
    </row>
    <row r="658" spans="1:80" s="11" customFormat="1" ht="58.5" customHeight="1" x14ac:dyDescent="0.2">
      <c r="A658" s="256"/>
      <c r="B658" s="70"/>
      <c r="C658" s="858"/>
      <c r="D658" s="855"/>
      <c r="E658" s="928"/>
      <c r="F658" s="928"/>
      <c r="G658" s="64"/>
      <c r="H658" s="57">
        <v>171</v>
      </c>
      <c r="I658" s="56" t="s">
        <v>794</v>
      </c>
      <c r="J658" s="418">
        <v>1</v>
      </c>
      <c r="K658" s="418">
        <v>1</v>
      </c>
      <c r="L658" s="418">
        <v>1</v>
      </c>
      <c r="M658" s="852"/>
      <c r="N658" s="924"/>
      <c r="O658" s="858"/>
      <c r="P658" s="855"/>
      <c r="Q658" s="57" t="s">
        <v>51</v>
      </c>
      <c r="R658" s="539">
        <v>0</v>
      </c>
      <c r="S658" s="539"/>
      <c r="T658" s="539"/>
      <c r="U658" s="539">
        <v>0</v>
      </c>
      <c r="V658" s="539"/>
      <c r="W658" s="539"/>
      <c r="X658" s="539">
        <v>0</v>
      </c>
      <c r="Y658" s="539"/>
      <c r="Z658" s="539"/>
      <c r="AA658" s="539">
        <v>0</v>
      </c>
      <c r="AB658" s="539"/>
      <c r="AC658" s="539"/>
      <c r="AD658" s="539">
        <v>0</v>
      </c>
      <c r="AE658" s="539"/>
      <c r="AF658" s="539"/>
      <c r="AG658" s="539">
        <v>0</v>
      </c>
      <c r="AH658" s="539"/>
      <c r="AI658" s="539"/>
      <c r="AJ658" s="539">
        <v>0</v>
      </c>
      <c r="AK658" s="539"/>
      <c r="AL658" s="539"/>
      <c r="AM658" s="539"/>
      <c r="AN658" s="539"/>
      <c r="AO658" s="539"/>
      <c r="AP658" s="539"/>
      <c r="AQ658" s="539"/>
      <c r="AR658" s="539"/>
      <c r="AS658" s="539"/>
      <c r="AT658" s="63"/>
      <c r="AU658" s="63"/>
      <c r="AV658" s="539">
        <v>0</v>
      </c>
      <c r="AW658" s="539"/>
      <c r="AX658" s="539"/>
      <c r="AY658" s="539">
        <v>0</v>
      </c>
      <c r="AZ658" s="539"/>
      <c r="BA658" s="539"/>
      <c r="BB658" s="539">
        <v>0</v>
      </c>
      <c r="BC658" s="539"/>
      <c r="BD658" s="539"/>
      <c r="BE658" s="539">
        <v>0</v>
      </c>
      <c r="BF658" s="539"/>
      <c r="BG658" s="539"/>
      <c r="BH658" s="539">
        <v>0</v>
      </c>
      <c r="BI658" s="539"/>
      <c r="BJ658" s="539"/>
      <c r="BK658" s="540">
        <v>0</v>
      </c>
      <c r="BL658" s="540"/>
      <c r="BM658" s="540"/>
      <c r="BN658" s="553"/>
      <c r="BO658" s="553"/>
      <c r="BP658" s="553"/>
      <c r="BQ658" s="539">
        <v>0</v>
      </c>
      <c r="BR658" s="541"/>
      <c r="BS658" s="541"/>
      <c r="BT658" s="541"/>
      <c r="BU658" s="541"/>
      <c r="BV658" s="541"/>
      <c r="BW658" s="541"/>
      <c r="BX658" s="541"/>
      <c r="BY658" s="541"/>
      <c r="BZ658" s="539">
        <f t="shared" si="605"/>
        <v>0</v>
      </c>
      <c r="CA658" s="539">
        <f t="shared" si="606"/>
        <v>0</v>
      </c>
      <c r="CB658" s="539">
        <f t="shared" si="607"/>
        <v>0</v>
      </c>
    </row>
    <row r="659" spans="1:80" s="11" customFormat="1" ht="86.25" customHeight="1" x14ac:dyDescent="0.2">
      <c r="A659" s="256"/>
      <c r="B659" s="70"/>
      <c r="C659" s="508">
        <v>28</v>
      </c>
      <c r="D659" s="516" t="s">
        <v>790</v>
      </c>
      <c r="E659" s="522">
        <v>0.5</v>
      </c>
      <c r="F659" s="522">
        <v>1</v>
      </c>
      <c r="G659" s="139"/>
      <c r="H659" s="57">
        <v>172</v>
      </c>
      <c r="I659" s="56" t="s">
        <v>795</v>
      </c>
      <c r="J659" s="132">
        <v>12</v>
      </c>
      <c r="K659" s="132">
        <v>12</v>
      </c>
      <c r="L659" s="132">
        <v>12</v>
      </c>
      <c r="M659" s="61">
        <v>2017003630101</v>
      </c>
      <c r="N659" s="132" t="s">
        <v>660</v>
      </c>
      <c r="O659" s="498" t="s">
        <v>796</v>
      </c>
      <c r="P659" s="56" t="s">
        <v>797</v>
      </c>
      <c r="Q659" s="57" t="s">
        <v>51</v>
      </c>
      <c r="R659" s="539">
        <v>0</v>
      </c>
      <c r="S659" s="539"/>
      <c r="T659" s="539"/>
      <c r="U659" s="539">
        <v>0</v>
      </c>
      <c r="V659" s="539"/>
      <c r="W659" s="539"/>
      <c r="X659" s="539">
        <v>0</v>
      </c>
      <c r="Y659" s="539"/>
      <c r="Z659" s="539"/>
      <c r="AA659" s="539">
        <v>0</v>
      </c>
      <c r="AB659" s="539"/>
      <c r="AC659" s="539"/>
      <c r="AD659" s="539">
        <v>0</v>
      </c>
      <c r="AE659" s="539"/>
      <c r="AF659" s="539"/>
      <c r="AG659" s="539">
        <v>0</v>
      </c>
      <c r="AH659" s="539"/>
      <c r="AI659" s="539"/>
      <c r="AJ659" s="539">
        <v>0</v>
      </c>
      <c r="AK659" s="539"/>
      <c r="AL659" s="539"/>
      <c r="AM659" s="539"/>
      <c r="AN659" s="539"/>
      <c r="AO659" s="539"/>
      <c r="AP659" s="539"/>
      <c r="AQ659" s="539"/>
      <c r="AR659" s="539"/>
      <c r="AS659" s="539">
        <v>50000000</v>
      </c>
      <c r="AT659" s="598"/>
      <c r="AU659" s="598"/>
      <c r="AV659" s="539">
        <v>0</v>
      </c>
      <c r="AW659" s="539"/>
      <c r="AX659" s="539"/>
      <c r="AY659" s="539">
        <v>0</v>
      </c>
      <c r="AZ659" s="539"/>
      <c r="BA659" s="539"/>
      <c r="BB659" s="539">
        <v>0</v>
      </c>
      <c r="BC659" s="539"/>
      <c r="BD659" s="539"/>
      <c r="BE659" s="539">
        <v>0</v>
      </c>
      <c r="BF659" s="539"/>
      <c r="BG659" s="539"/>
      <c r="BH659" s="539">
        <v>0</v>
      </c>
      <c r="BI659" s="539"/>
      <c r="BJ659" s="539"/>
      <c r="BK659" s="540">
        <f>249000000+6004444+100000000</f>
        <v>355004444</v>
      </c>
      <c r="BL659" s="540">
        <v>138480000</v>
      </c>
      <c r="BM659" s="540">
        <v>17640000</v>
      </c>
      <c r="BN659" s="553"/>
      <c r="BO659" s="553"/>
      <c r="BP659" s="553"/>
      <c r="BQ659" s="539">
        <v>0</v>
      </c>
      <c r="BR659" s="541"/>
      <c r="BS659" s="541"/>
      <c r="BT659" s="541"/>
      <c r="BU659" s="541"/>
      <c r="BV659" s="541"/>
      <c r="BW659" s="541"/>
      <c r="BX659" s="541"/>
      <c r="BY659" s="541"/>
      <c r="BZ659" s="539">
        <f t="shared" si="605"/>
        <v>405004444</v>
      </c>
      <c r="CA659" s="539">
        <f t="shared" si="606"/>
        <v>138480000</v>
      </c>
      <c r="CB659" s="539">
        <f t="shared" si="607"/>
        <v>17640000</v>
      </c>
    </row>
    <row r="660" spans="1:80" s="459" customFormat="1" ht="15.75" x14ac:dyDescent="0.2">
      <c r="A660" s="256"/>
      <c r="B660" s="70"/>
      <c r="C660" s="510"/>
      <c r="D660" s="209"/>
      <c r="E660" s="259"/>
      <c r="F660" s="259"/>
      <c r="G660" s="77"/>
      <c r="H660" s="78"/>
      <c r="I660" s="77"/>
      <c r="J660" s="165"/>
      <c r="K660" s="315"/>
      <c r="L660" s="315"/>
      <c r="M660" s="315"/>
      <c r="N660" s="165"/>
      <c r="O660" s="78"/>
      <c r="P660" s="77"/>
      <c r="Q660" s="78"/>
      <c r="R660" s="548">
        <f t="shared" ref="R660:BZ660" si="608">SUM(R657:R659)</f>
        <v>0</v>
      </c>
      <c r="S660" s="548">
        <f t="shared" si="608"/>
        <v>0</v>
      </c>
      <c r="T660" s="548">
        <f t="shared" si="608"/>
        <v>0</v>
      </c>
      <c r="U660" s="548">
        <f t="shared" si="608"/>
        <v>0</v>
      </c>
      <c r="V660" s="548">
        <f t="shared" si="608"/>
        <v>0</v>
      </c>
      <c r="W660" s="548">
        <f t="shared" si="608"/>
        <v>0</v>
      </c>
      <c r="X660" s="548">
        <f t="shared" si="608"/>
        <v>0</v>
      </c>
      <c r="Y660" s="548">
        <f t="shared" si="608"/>
        <v>0</v>
      </c>
      <c r="Z660" s="548">
        <f t="shared" si="608"/>
        <v>0</v>
      </c>
      <c r="AA660" s="548">
        <f t="shared" si="608"/>
        <v>0</v>
      </c>
      <c r="AB660" s="548">
        <f t="shared" si="608"/>
        <v>0</v>
      </c>
      <c r="AC660" s="548">
        <f t="shared" si="608"/>
        <v>0</v>
      </c>
      <c r="AD660" s="548">
        <f t="shared" si="608"/>
        <v>0</v>
      </c>
      <c r="AE660" s="548">
        <f t="shared" si="608"/>
        <v>0</v>
      </c>
      <c r="AF660" s="548">
        <f t="shared" si="608"/>
        <v>0</v>
      </c>
      <c r="AG660" s="548">
        <f t="shared" si="608"/>
        <v>0</v>
      </c>
      <c r="AH660" s="548">
        <f t="shared" si="608"/>
        <v>0</v>
      </c>
      <c r="AI660" s="548">
        <f t="shared" si="608"/>
        <v>0</v>
      </c>
      <c r="AJ660" s="548">
        <f t="shared" si="608"/>
        <v>0</v>
      </c>
      <c r="AK660" s="548">
        <f t="shared" si="608"/>
        <v>0</v>
      </c>
      <c r="AL660" s="548">
        <f t="shared" si="608"/>
        <v>0</v>
      </c>
      <c r="AM660" s="548">
        <f t="shared" si="608"/>
        <v>0</v>
      </c>
      <c r="AN660" s="548">
        <f t="shared" si="608"/>
        <v>0</v>
      </c>
      <c r="AO660" s="548">
        <f t="shared" si="608"/>
        <v>0</v>
      </c>
      <c r="AP660" s="548">
        <f t="shared" si="608"/>
        <v>0</v>
      </c>
      <c r="AQ660" s="548">
        <f t="shared" si="608"/>
        <v>0</v>
      </c>
      <c r="AR660" s="548">
        <f t="shared" si="608"/>
        <v>0</v>
      </c>
      <c r="AS660" s="548">
        <f t="shared" si="608"/>
        <v>50000000</v>
      </c>
      <c r="AT660" s="548">
        <f t="shared" si="608"/>
        <v>0</v>
      </c>
      <c r="AU660" s="548">
        <f t="shared" si="608"/>
        <v>0</v>
      </c>
      <c r="AV660" s="548">
        <f t="shared" si="608"/>
        <v>0</v>
      </c>
      <c r="AW660" s="548">
        <f t="shared" si="608"/>
        <v>0</v>
      </c>
      <c r="AX660" s="548">
        <f t="shared" si="608"/>
        <v>0</v>
      </c>
      <c r="AY660" s="548">
        <f t="shared" si="608"/>
        <v>0</v>
      </c>
      <c r="AZ660" s="548">
        <f t="shared" si="608"/>
        <v>0</v>
      </c>
      <c r="BA660" s="548">
        <f t="shared" si="608"/>
        <v>0</v>
      </c>
      <c r="BB660" s="548">
        <f t="shared" si="608"/>
        <v>0</v>
      </c>
      <c r="BC660" s="548">
        <f t="shared" si="608"/>
        <v>0</v>
      </c>
      <c r="BD660" s="548">
        <f t="shared" si="608"/>
        <v>0</v>
      </c>
      <c r="BE660" s="548">
        <f t="shared" si="608"/>
        <v>0</v>
      </c>
      <c r="BF660" s="548">
        <f t="shared" si="608"/>
        <v>0</v>
      </c>
      <c r="BG660" s="548">
        <f t="shared" si="608"/>
        <v>0</v>
      </c>
      <c r="BH660" s="548">
        <f t="shared" si="608"/>
        <v>0</v>
      </c>
      <c r="BI660" s="548">
        <f t="shared" si="608"/>
        <v>0</v>
      </c>
      <c r="BJ660" s="548">
        <f t="shared" si="608"/>
        <v>0</v>
      </c>
      <c r="BK660" s="548">
        <f t="shared" si="608"/>
        <v>493200000</v>
      </c>
      <c r="BL660" s="548">
        <f t="shared" si="608"/>
        <v>143480000</v>
      </c>
      <c r="BM660" s="548">
        <f t="shared" si="608"/>
        <v>17640000</v>
      </c>
      <c r="BN660" s="548">
        <f t="shared" si="608"/>
        <v>0</v>
      </c>
      <c r="BO660" s="548">
        <f t="shared" si="608"/>
        <v>0</v>
      </c>
      <c r="BP660" s="548">
        <f t="shared" si="608"/>
        <v>0</v>
      </c>
      <c r="BQ660" s="548">
        <f t="shared" si="608"/>
        <v>0</v>
      </c>
      <c r="BR660" s="548">
        <f t="shared" si="608"/>
        <v>0</v>
      </c>
      <c r="BS660" s="548">
        <f t="shared" si="608"/>
        <v>0</v>
      </c>
      <c r="BT660" s="548">
        <f t="shared" si="608"/>
        <v>0</v>
      </c>
      <c r="BU660" s="548">
        <f t="shared" si="608"/>
        <v>0</v>
      </c>
      <c r="BV660" s="548">
        <f t="shared" si="608"/>
        <v>0</v>
      </c>
      <c r="BW660" s="548">
        <f t="shared" si="608"/>
        <v>0</v>
      </c>
      <c r="BX660" s="548">
        <f t="shared" si="608"/>
        <v>0</v>
      </c>
      <c r="BY660" s="548">
        <f t="shared" si="608"/>
        <v>0</v>
      </c>
      <c r="BZ660" s="548">
        <f t="shared" si="608"/>
        <v>543200000</v>
      </c>
      <c r="CA660" s="548">
        <f t="shared" ref="CA660:CB660" si="609">SUM(CA657:CA659)</f>
        <v>143480000</v>
      </c>
      <c r="CB660" s="548">
        <f t="shared" si="609"/>
        <v>17640000</v>
      </c>
    </row>
    <row r="661" spans="1:80" s="459" customFormat="1" ht="15.75" x14ac:dyDescent="0.2">
      <c r="A661" s="256"/>
      <c r="B661" s="70"/>
      <c r="C661" s="92"/>
      <c r="D661" s="91"/>
      <c r="E661" s="92"/>
      <c r="F661" s="92"/>
      <c r="G661" s="91"/>
      <c r="H661" s="92"/>
      <c r="I661" s="91"/>
      <c r="J661" s="92"/>
      <c r="K661" s="318"/>
      <c r="L661" s="414"/>
      <c r="M661" s="414"/>
      <c r="N661" s="125"/>
      <c r="O661" s="499"/>
      <c r="P661" s="124"/>
      <c r="Q661" s="92"/>
      <c r="R661" s="543"/>
      <c r="S661" s="543"/>
      <c r="T661" s="543"/>
      <c r="U661" s="543"/>
      <c r="V661" s="543"/>
      <c r="W661" s="543"/>
      <c r="X661" s="543"/>
      <c r="Y661" s="543"/>
      <c r="Z661" s="543"/>
      <c r="AA661" s="543"/>
      <c r="AB661" s="543"/>
      <c r="AC661" s="543"/>
      <c r="AD661" s="543"/>
      <c r="AE661" s="543"/>
      <c r="AF661" s="543"/>
      <c r="AG661" s="543"/>
      <c r="AH661" s="543"/>
      <c r="AI661" s="543"/>
      <c r="AJ661" s="543"/>
      <c r="AK661" s="543"/>
      <c r="AL661" s="543"/>
      <c r="AM661" s="543"/>
      <c r="AN661" s="543"/>
      <c r="AO661" s="543"/>
      <c r="AP661" s="543"/>
      <c r="AQ661" s="543"/>
      <c r="AR661" s="543"/>
      <c r="AS661" s="543"/>
      <c r="AT661" s="543"/>
      <c r="AU661" s="543"/>
      <c r="AV661" s="543"/>
      <c r="AW661" s="543"/>
      <c r="AX661" s="543"/>
      <c r="AY661" s="543"/>
      <c r="AZ661" s="543"/>
      <c r="BA661" s="543"/>
      <c r="BB661" s="543"/>
      <c r="BC661" s="543"/>
      <c r="BD661" s="543"/>
      <c r="BE661" s="543"/>
      <c r="BF661" s="543"/>
      <c r="BG661" s="543"/>
      <c r="BH661" s="543"/>
      <c r="BI661" s="543"/>
      <c r="BJ661" s="543"/>
      <c r="BK661" s="545"/>
      <c r="BL661" s="545"/>
      <c r="BM661" s="545"/>
      <c r="BN661" s="546"/>
      <c r="BO661" s="546"/>
      <c r="BP661" s="546"/>
      <c r="BQ661" s="543"/>
      <c r="BR661" s="543"/>
      <c r="BS661" s="543"/>
      <c r="BT661" s="543"/>
      <c r="BU661" s="543"/>
      <c r="BV661" s="543"/>
      <c r="BW661" s="543"/>
      <c r="BX661" s="543"/>
      <c r="BY661" s="543"/>
      <c r="BZ661" s="547"/>
      <c r="CA661" s="547"/>
      <c r="CB661" s="547"/>
    </row>
    <row r="662" spans="1:80" s="459" customFormat="1" ht="15.75" x14ac:dyDescent="0.2">
      <c r="A662" s="256"/>
      <c r="B662" s="70"/>
      <c r="C662" s="508"/>
      <c r="D662" s="229"/>
      <c r="E662" s="230"/>
      <c r="F662" s="230"/>
      <c r="G662" s="274">
        <v>53</v>
      </c>
      <c r="H662" s="100" t="s">
        <v>798</v>
      </c>
      <c r="I662" s="100"/>
      <c r="J662" s="100"/>
      <c r="K662" s="114"/>
      <c r="L662" s="114"/>
      <c r="M662" s="114"/>
      <c r="N662" s="100"/>
      <c r="O662" s="212"/>
      <c r="P662" s="100"/>
      <c r="Q662" s="100"/>
      <c r="R662" s="336"/>
      <c r="S662" s="336"/>
      <c r="T662" s="336"/>
      <c r="U662" s="336"/>
      <c r="V662" s="336"/>
      <c r="W662" s="336"/>
      <c r="X662" s="336"/>
      <c r="Y662" s="336"/>
      <c r="Z662" s="336"/>
      <c r="AA662" s="336"/>
      <c r="AB662" s="336"/>
      <c r="AC662" s="336"/>
      <c r="AD662" s="336"/>
      <c r="AE662" s="336"/>
      <c r="AF662" s="336"/>
      <c r="AG662" s="336"/>
      <c r="AH662" s="336"/>
      <c r="AI662" s="336"/>
      <c r="AJ662" s="336"/>
      <c r="AK662" s="336"/>
      <c r="AL662" s="336"/>
      <c r="AM662" s="336"/>
      <c r="AN662" s="336"/>
      <c r="AO662" s="336"/>
      <c r="AP662" s="336"/>
      <c r="AQ662" s="336"/>
      <c r="AR662" s="336"/>
      <c r="AS662" s="336"/>
      <c r="AT662" s="336"/>
      <c r="AU662" s="336"/>
      <c r="AV662" s="336"/>
      <c r="AW662" s="336"/>
      <c r="AX662" s="336"/>
      <c r="AY662" s="336"/>
      <c r="AZ662" s="336"/>
      <c r="BA662" s="336"/>
      <c r="BB662" s="336"/>
      <c r="BC662" s="336"/>
      <c r="BD662" s="336"/>
      <c r="BE662" s="336"/>
      <c r="BF662" s="336"/>
      <c r="BG662" s="336"/>
      <c r="BH662" s="336"/>
      <c r="BI662" s="336"/>
      <c r="BJ662" s="336"/>
      <c r="BK662" s="552"/>
      <c r="BL662" s="552"/>
      <c r="BM662" s="552"/>
      <c r="BN662" s="336"/>
      <c r="BO662" s="336"/>
      <c r="BP662" s="336"/>
      <c r="BQ662" s="336"/>
      <c r="BR662" s="336"/>
      <c r="BS662" s="336"/>
      <c r="BT662" s="336"/>
      <c r="BU662" s="336"/>
      <c r="BV662" s="336"/>
      <c r="BW662" s="336"/>
      <c r="BX662" s="336"/>
      <c r="BY662" s="336"/>
      <c r="BZ662" s="338"/>
      <c r="CA662" s="338"/>
      <c r="CB662" s="338"/>
    </row>
    <row r="663" spans="1:80" s="11" customFormat="1" ht="115.5" customHeight="1" x14ac:dyDescent="0.2">
      <c r="A663" s="256"/>
      <c r="B663" s="70"/>
      <c r="C663" s="857">
        <v>28</v>
      </c>
      <c r="D663" s="854" t="s">
        <v>790</v>
      </c>
      <c r="E663" s="885">
        <v>0.5</v>
      </c>
      <c r="F663" s="885">
        <v>1</v>
      </c>
      <c r="G663" s="856"/>
      <c r="H663" s="57">
        <v>173</v>
      </c>
      <c r="I663" s="56" t="s">
        <v>799</v>
      </c>
      <c r="J663" s="418" t="s">
        <v>42</v>
      </c>
      <c r="K663" s="418">
        <v>7</v>
      </c>
      <c r="L663" s="418">
        <v>3</v>
      </c>
      <c r="M663" s="850">
        <v>2017003630104</v>
      </c>
      <c r="N663" s="922" t="s">
        <v>660</v>
      </c>
      <c r="O663" s="856" t="s">
        <v>800</v>
      </c>
      <c r="P663" s="853" t="s">
        <v>801</v>
      </c>
      <c r="Q663" s="57" t="s">
        <v>51</v>
      </c>
      <c r="R663" s="539">
        <v>0</v>
      </c>
      <c r="S663" s="539"/>
      <c r="T663" s="539"/>
      <c r="U663" s="539">
        <v>0</v>
      </c>
      <c r="V663" s="539"/>
      <c r="W663" s="539"/>
      <c r="X663" s="539">
        <v>0</v>
      </c>
      <c r="Y663" s="539"/>
      <c r="Z663" s="539"/>
      <c r="AA663" s="539">
        <v>0</v>
      </c>
      <c r="AB663" s="539"/>
      <c r="AC663" s="539"/>
      <c r="AD663" s="539">
        <v>0</v>
      </c>
      <c r="AE663" s="539"/>
      <c r="AF663" s="539"/>
      <c r="AG663" s="539">
        <v>0</v>
      </c>
      <c r="AH663" s="539"/>
      <c r="AI663" s="539"/>
      <c r="AJ663" s="539">
        <v>0</v>
      </c>
      <c r="AK663" s="539"/>
      <c r="AL663" s="539"/>
      <c r="AM663" s="539"/>
      <c r="AN663" s="539"/>
      <c r="AO663" s="539"/>
      <c r="AP663" s="539"/>
      <c r="AQ663" s="539"/>
      <c r="AR663" s="539"/>
      <c r="AS663" s="568"/>
      <c r="AT663" s="540"/>
      <c r="AU663" s="540"/>
      <c r="AV663" s="539">
        <v>0</v>
      </c>
      <c r="AW663" s="539"/>
      <c r="AX663" s="539"/>
      <c r="AY663" s="539"/>
      <c r="AZ663" s="539"/>
      <c r="BA663" s="539"/>
      <c r="BB663" s="539"/>
      <c r="BC663" s="539"/>
      <c r="BD663" s="539"/>
      <c r="BE663" s="539">
        <v>0</v>
      </c>
      <c r="BF663" s="539"/>
      <c r="BG663" s="539"/>
      <c r="BH663" s="539">
        <v>0</v>
      </c>
      <c r="BI663" s="539"/>
      <c r="BJ663" s="539"/>
      <c r="BK663" s="539">
        <v>35436120</v>
      </c>
      <c r="BL663" s="539">
        <v>35300000</v>
      </c>
      <c r="BM663" s="539">
        <v>12600000</v>
      </c>
      <c r="BN663" s="553"/>
      <c r="BO663" s="553"/>
      <c r="BP663" s="553"/>
      <c r="BQ663" s="539">
        <v>0</v>
      </c>
      <c r="BR663" s="541"/>
      <c r="BS663" s="541"/>
      <c r="BT663" s="541"/>
      <c r="BU663" s="541"/>
      <c r="BV663" s="541"/>
      <c r="BW663" s="541"/>
      <c r="BX663" s="541"/>
      <c r="BY663" s="541"/>
      <c r="BZ663" s="539">
        <f t="shared" ref="BZ663:BZ664" si="610">R663+U663+X663+AA663+AD663+AG663+AJ663+AM663+AP663+AS663+AV663+AY663+BB663+BE663+BH663+BK663+BN663+BQ663+BT663+BW663</f>
        <v>35436120</v>
      </c>
      <c r="CA663" s="539">
        <f t="shared" ref="CA663:CA664" si="611">S663+V663+Y663+AB663+AE663+AH663+AK663+AN663+AQ663+AT663+AW663+AZ663+BC663+BF663+BI663+BL663+BO663+BR663+BU663+BX663</f>
        <v>35300000</v>
      </c>
      <c r="CB663" s="539">
        <f t="shared" ref="CB663:CB664" si="612">T663+W663+Z663+AC663+AF663+AI663+AL663+AO663+AR663+AU663+AX663+BA663+BD663+BG663+BJ663+BM663+BP663+BS663+BV663+BY663</f>
        <v>12600000</v>
      </c>
    </row>
    <row r="664" spans="1:80" s="11" customFormat="1" ht="68.25" customHeight="1" x14ac:dyDescent="0.2">
      <c r="A664" s="256"/>
      <c r="B664" s="70"/>
      <c r="C664" s="857"/>
      <c r="D664" s="854"/>
      <c r="E664" s="885"/>
      <c r="F664" s="885"/>
      <c r="G664" s="858"/>
      <c r="H664" s="57">
        <v>174</v>
      </c>
      <c r="I664" s="56" t="s">
        <v>802</v>
      </c>
      <c r="J664" s="57">
        <v>100</v>
      </c>
      <c r="K664" s="132">
        <v>150</v>
      </c>
      <c r="L664" s="30">
        <v>34</v>
      </c>
      <c r="M664" s="852"/>
      <c r="N664" s="924"/>
      <c r="O664" s="858"/>
      <c r="P664" s="855"/>
      <c r="Q664" s="57" t="s">
        <v>51</v>
      </c>
      <c r="R664" s="539">
        <v>0</v>
      </c>
      <c r="S664" s="539"/>
      <c r="T664" s="539"/>
      <c r="U664" s="539">
        <v>0</v>
      </c>
      <c r="V664" s="539"/>
      <c r="W664" s="539"/>
      <c r="X664" s="539">
        <v>0</v>
      </c>
      <c r="Y664" s="539"/>
      <c r="Z664" s="539"/>
      <c r="AA664" s="539">
        <v>0</v>
      </c>
      <c r="AB664" s="539"/>
      <c r="AC664" s="539"/>
      <c r="AD664" s="539">
        <v>0</v>
      </c>
      <c r="AE664" s="539"/>
      <c r="AF664" s="539"/>
      <c r="AG664" s="539">
        <v>0</v>
      </c>
      <c r="AH664" s="539"/>
      <c r="AI664" s="539"/>
      <c r="AJ664" s="539">
        <v>0</v>
      </c>
      <c r="AK664" s="539"/>
      <c r="AL664" s="539"/>
      <c r="AM664" s="539"/>
      <c r="AN664" s="539"/>
      <c r="AO664" s="539"/>
      <c r="AP664" s="539"/>
      <c r="AQ664" s="539"/>
      <c r="AR664" s="539"/>
      <c r="AS664" s="539">
        <v>0</v>
      </c>
      <c r="AT664" s="539"/>
      <c r="AU664" s="539"/>
      <c r="AV664" s="539">
        <v>0</v>
      </c>
      <c r="AW664" s="539"/>
      <c r="AX664" s="539"/>
      <c r="AY664" s="539"/>
      <c r="AZ664" s="539"/>
      <c r="BA664" s="539"/>
      <c r="BB664" s="539"/>
      <c r="BC664" s="539"/>
      <c r="BD664" s="539"/>
      <c r="BE664" s="539">
        <v>0</v>
      </c>
      <c r="BF664" s="539"/>
      <c r="BG664" s="539"/>
      <c r="BH664" s="539">
        <v>0</v>
      </c>
      <c r="BI664" s="539"/>
      <c r="BJ664" s="539"/>
      <c r="BK664" s="540">
        <v>0</v>
      </c>
      <c r="BL664" s="540"/>
      <c r="BM664" s="540"/>
      <c r="BN664" s="553"/>
      <c r="BO664" s="553"/>
      <c r="BP664" s="553"/>
      <c r="BQ664" s="539">
        <v>0</v>
      </c>
      <c r="BR664" s="541"/>
      <c r="BS664" s="541"/>
      <c r="BT664" s="541"/>
      <c r="BU664" s="541"/>
      <c r="BV664" s="541"/>
      <c r="BW664" s="541"/>
      <c r="BX664" s="541"/>
      <c r="BY664" s="541"/>
      <c r="BZ664" s="539">
        <f t="shared" si="610"/>
        <v>0</v>
      </c>
      <c r="CA664" s="539">
        <f t="shared" si="611"/>
        <v>0</v>
      </c>
      <c r="CB664" s="539">
        <f t="shared" si="612"/>
        <v>0</v>
      </c>
    </row>
    <row r="665" spans="1:80" s="459" customFormat="1" ht="15.75" x14ac:dyDescent="0.2">
      <c r="A665" s="256"/>
      <c r="B665" s="70"/>
      <c r="C665" s="510"/>
      <c r="D665" s="209"/>
      <c r="E665" s="259"/>
      <c r="F665" s="259"/>
      <c r="G665" s="77"/>
      <c r="H665" s="78"/>
      <c r="I665" s="77"/>
      <c r="J665" s="78"/>
      <c r="K665" s="165"/>
      <c r="L665" s="165"/>
      <c r="M665" s="165"/>
      <c r="N665" s="78"/>
      <c r="O665" s="78"/>
      <c r="P665" s="77"/>
      <c r="Q665" s="78"/>
      <c r="R665" s="548">
        <f t="shared" ref="R665:BZ665" si="613">SUM(R663:R664)</f>
        <v>0</v>
      </c>
      <c r="S665" s="548">
        <f t="shared" si="613"/>
        <v>0</v>
      </c>
      <c r="T665" s="548">
        <f t="shared" si="613"/>
        <v>0</v>
      </c>
      <c r="U665" s="548">
        <f t="shared" si="613"/>
        <v>0</v>
      </c>
      <c r="V665" s="548">
        <f t="shared" si="613"/>
        <v>0</v>
      </c>
      <c r="W665" s="548">
        <f t="shared" si="613"/>
        <v>0</v>
      </c>
      <c r="X665" s="548">
        <f t="shared" si="613"/>
        <v>0</v>
      </c>
      <c r="Y665" s="548">
        <f t="shared" si="613"/>
        <v>0</v>
      </c>
      <c r="Z665" s="548">
        <f t="shared" si="613"/>
        <v>0</v>
      </c>
      <c r="AA665" s="548">
        <f t="shared" si="613"/>
        <v>0</v>
      </c>
      <c r="AB665" s="548">
        <f t="shared" si="613"/>
        <v>0</v>
      </c>
      <c r="AC665" s="548">
        <f t="shared" si="613"/>
        <v>0</v>
      </c>
      <c r="AD665" s="548">
        <f t="shared" si="613"/>
        <v>0</v>
      </c>
      <c r="AE665" s="548">
        <f t="shared" si="613"/>
        <v>0</v>
      </c>
      <c r="AF665" s="548">
        <f t="shared" si="613"/>
        <v>0</v>
      </c>
      <c r="AG665" s="548">
        <f t="shared" si="613"/>
        <v>0</v>
      </c>
      <c r="AH665" s="548">
        <f t="shared" si="613"/>
        <v>0</v>
      </c>
      <c r="AI665" s="548">
        <f t="shared" si="613"/>
        <v>0</v>
      </c>
      <c r="AJ665" s="548">
        <f t="shared" si="613"/>
        <v>0</v>
      </c>
      <c r="AK665" s="548">
        <f t="shared" si="613"/>
        <v>0</v>
      </c>
      <c r="AL665" s="548">
        <f t="shared" si="613"/>
        <v>0</v>
      </c>
      <c r="AM665" s="548">
        <f t="shared" si="613"/>
        <v>0</v>
      </c>
      <c r="AN665" s="548">
        <f t="shared" si="613"/>
        <v>0</v>
      </c>
      <c r="AO665" s="548">
        <f t="shared" si="613"/>
        <v>0</v>
      </c>
      <c r="AP665" s="548">
        <f t="shared" si="613"/>
        <v>0</v>
      </c>
      <c r="AQ665" s="548">
        <f t="shared" si="613"/>
        <v>0</v>
      </c>
      <c r="AR665" s="548">
        <f t="shared" si="613"/>
        <v>0</v>
      </c>
      <c r="AS665" s="548">
        <f t="shared" si="613"/>
        <v>0</v>
      </c>
      <c r="AT665" s="548">
        <f t="shared" si="613"/>
        <v>0</v>
      </c>
      <c r="AU665" s="548">
        <f t="shared" si="613"/>
        <v>0</v>
      </c>
      <c r="AV665" s="548">
        <f t="shared" si="613"/>
        <v>0</v>
      </c>
      <c r="AW665" s="548">
        <f t="shared" si="613"/>
        <v>0</v>
      </c>
      <c r="AX665" s="548">
        <f t="shared" si="613"/>
        <v>0</v>
      </c>
      <c r="AY665" s="548">
        <f t="shared" si="613"/>
        <v>0</v>
      </c>
      <c r="AZ665" s="548">
        <f t="shared" si="613"/>
        <v>0</v>
      </c>
      <c r="BA665" s="548">
        <f t="shared" si="613"/>
        <v>0</v>
      </c>
      <c r="BB665" s="548">
        <f t="shared" si="613"/>
        <v>0</v>
      </c>
      <c r="BC665" s="548">
        <f t="shared" si="613"/>
        <v>0</v>
      </c>
      <c r="BD665" s="548">
        <f t="shared" si="613"/>
        <v>0</v>
      </c>
      <c r="BE665" s="548">
        <f t="shared" si="613"/>
        <v>0</v>
      </c>
      <c r="BF665" s="548">
        <f t="shared" si="613"/>
        <v>0</v>
      </c>
      <c r="BG665" s="548">
        <f t="shared" si="613"/>
        <v>0</v>
      </c>
      <c r="BH665" s="548">
        <f t="shared" si="613"/>
        <v>0</v>
      </c>
      <c r="BI665" s="548">
        <f t="shared" si="613"/>
        <v>0</v>
      </c>
      <c r="BJ665" s="548">
        <f t="shared" si="613"/>
        <v>0</v>
      </c>
      <c r="BK665" s="548">
        <f t="shared" si="613"/>
        <v>35436120</v>
      </c>
      <c r="BL665" s="548">
        <f t="shared" si="613"/>
        <v>35300000</v>
      </c>
      <c r="BM665" s="548">
        <f t="shared" si="613"/>
        <v>12600000</v>
      </c>
      <c r="BN665" s="548">
        <f t="shared" si="613"/>
        <v>0</v>
      </c>
      <c r="BO665" s="548">
        <f t="shared" si="613"/>
        <v>0</v>
      </c>
      <c r="BP665" s="548">
        <f t="shared" si="613"/>
        <v>0</v>
      </c>
      <c r="BQ665" s="548">
        <f t="shared" si="613"/>
        <v>0</v>
      </c>
      <c r="BR665" s="548">
        <f t="shared" si="613"/>
        <v>0</v>
      </c>
      <c r="BS665" s="548">
        <f t="shared" si="613"/>
        <v>0</v>
      </c>
      <c r="BT665" s="548">
        <f t="shared" si="613"/>
        <v>0</v>
      </c>
      <c r="BU665" s="548">
        <f t="shared" si="613"/>
        <v>0</v>
      </c>
      <c r="BV665" s="548">
        <f t="shared" si="613"/>
        <v>0</v>
      </c>
      <c r="BW665" s="548">
        <f t="shared" si="613"/>
        <v>0</v>
      </c>
      <c r="BX665" s="548">
        <f t="shared" si="613"/>
        <v>0</v>
      </c>
      <c r="BY665" s="548">
        <f t="shared" si="613"/>
        <v>0</v>
      </c>
      <c r="BZ665" s="548">
        <f t="shared" si="613"/>
        <v>35436120</v>
      </c>
      <c r="CA665" s="548">
        <f t="shared" ref="CA665:CB665" si="614">SUM(CA663:CA664)</f>
        <v>35300000</v>
      </c>
      <c r="CB665" s="548">
        <f t="shared" si="614"/>
        <v>12600000</v>
      </c>
    </row>
    <row r="666" spans="1:80" s="459" customFormat="1" ht="15.75" x14ac:dyDescent="0.2">
      <c r="A666" s="256"/>
      <c r="B666" s="70"/>
      <c r="C666" s="92"/>
      <c r="D666" s="91"/>
      <c r="E666" s="92"/>
      <c r="F666" s="92"/>
      <c r="G666" s="91"/>
      <c r="H666" s="92"/>
      <c r="I666" s="91"/>
      <c r="J666" s="92"/>
      <c r="K666" s="184"/>
      <c r="L666" s="334"/>
      <c r="M666" s="334"/>
      <c r="N666" s="125"/>
      <c r="O666" s="499"/>
      <c r="P666" s="124"/>
      <c r="Q666" s="92"/>
      <c r="R666" s="543"/>
      <c r="S666" s="543"/>
      <c r="T666" s="543"/>
      <c r="U666" s="543"/>
      <c r="V666" s="543"/>
      <c r="W666" s="543"/>
      <c r="X666" s="543"/>
      <c r="Y666" s="543"/>
      <c r="Z666" s="543"/>
      <c r="AA666" s="543"/>
      <c r="AB666" s="543"/>
      <c r="AC666" s="543"/>
      <c r="AD666" s="543"/>
      <c r="AE666" s="543"/>
      <c r="AF666" s="543"/>
      <c r="AG666" s="543"/>
      <c r="AH666" s="543"/>
      <c r="AI666" s="543"/>
      <c r="AJ666" s="543"/>
      <c r="AK666" s="543"/>
      <c r="AL666" s="543"/>
      <c r="AM666" s="543"/>
      <c r="AN666" s="543"/>
      <c r="AO666" s="543"/>
      <c r="AP666" s="543"/>
      <c r="AQ666" s="543"/>
      <c r="AR666" s="543"/>
      <c r="AS666" s="543"/>
      <c r="AT666" s="543"/>
      <c r="AU666" s="543"/>
      <c r="AV666" s="543"/>
      <c r="AW666" s="543"/>
      <c r="AX666" s="543"/>
      <c r="AY666" s="543"/>
      <c r="AZ666" s="543"/>
      <c r="BA666" s="543"/>
      <c r="BB666" s="543"/>
      <c r="BC666" s="543"/>
      <c r="BD666" s="543"/>
      <c r="BE666" s="543"/>
      <c r="BF666" s="543"/>
      <c r="BG666" s="543"/>
      <c r="BH666" s="543"/>
      <c r="BI666" s="543"/>
      <c r="BJ666" s="543"/>
      <c r="BK666" s="545"/>
      <c r="BL666" s="545"/>
      <c r="BM666" s="545"/>
      <c r="BN666" s="546"/>
      <c r="BO666" s="546"/>
      <c r="BP666" s="546"/>
      <c r="BQ666" s="543"/>
      <c r="BR666" s="543"/>
      <c r="BS666" s="543"/>
      <c r="BT666" s="543"/>
      <c r="BU666" s="543"/>
      <c r="BV666" s="543"/>
      <c r="BW666" s="543"/>
      <c r="BX666" s="543"/>
      <c r="BY666" s="543"/>
      <c r="BZ666" s="547"/>
      <c r="CA666" s="547"/>
      <c r="CB666" s="547"/>
    </row>
    <row r="667" spans="1:80" s="459" customFormat="1" ht="15.75" x14ac:dyDescent="0.2">
      <c r="A667" s="256"/>
      <c r="B667" s="70"/>
      <c r="C667" s="508"/>
      <c r="D667" s="229"/>
      <c r="E667" s="230"/>
      <c r="F667" s="230"/>
      <c r="G667" s="274">
        <v>54</v>
      </c>
      <c r="H667" s="100" t="s">
        <v>803</v>
      </c>
      <c r="I667" s="100"/>
      <c r="J667" s="100"/>
      <c r="K667" s="155"/>
      <c r="L667" s="155"/>
      <c r="M667" s="155"/>
      <c r="N667" s="100"/>
      <c r="O667" s="212"/>
      <c r="P667" s="100"/>
      <c r="Q667" s="100"/>
      <c r="R667" s="336"/>
      <c r="S667" s="336"/>
      <c r="T667" s="336"/>
      <c r="U667" s="336"/>
      <c r="V667" s="336"/>
      <c r="W667" s="336"/>
      <c r="X667" s="336"/>
      <c r="Y667" s="336"/>
      <c r="Z667" s="336"/>
      <c r="AA667" s="336"/>
      <c r="AB667" s="336"/>
      <c r="AC667" s="336"/>
      <c r="AD667" s="336"/>
      <c r="AE667" s="336"/>
      <c r="AF667" s="336"/>
      <c r="AG667" s="336"/>
      <c r="AH667" s="336"/>
      <c r="AI667" s="336"/>
      <c r="AJ667" s="336"/>
      <c r="AK667" s="336"/>
      <c r="AL667" s="336"/>
      <c r="AM667" s="336"/>
      <c r="AN667" s="336"/>
      <c r="AO667" s="336"/>
      <c r="AP667" s="336"/>
      <c r="AQ667" s="336"/>
      <c r="AR667" s="336"/>
      <c r="AS667" s="336"/>
      <c r="AT667" s="336"/>
      <c r="AU667" s="336"/>
      <c r="AV667" s="336"/>
      <c r="AW667" s="336"/>
      <c r="AX667" s="336"/>
      <c r="AY667" s="336"/>
      <c r="AZ667" s="336"/>
      <c r="BA667" s="336"/>
      <c r="BB667" s="336"/>
      <c r="BC667" s="336"/>
      <c r="BD667" s="336"/>
      <c r="BE667" s="336"/>
      <c r="BF667" s="336"/>
      <c r="BG667" s="336"/>
      <c r="BH667" s="336"/>
      <c r="BI667" s="336"/>
      <c r="BJ667" s="336"/>
      <c r="BK667" s="552"/>
      <c r="BL667" s="552"/>
      <c r="BM667" s="552"/>
      <c r="BN667" s="336"/>
      <c r="BO667" s="336"/>
      <c r="BP667" s="336"/>
      <c r="BQ667" s="336"/>
      <c r="BR667" s="336"/>
      <c r="BS667" s="336"/>
      <c r="BT667" s="336"/>
      <c r="BU667" s="336"/>
      <c r="BV667" s="336"/>
      <c r="BW667" s="336"/>
      <c r="BX667" s="336"/>
      <c r="BY667" s="336"/>
      <c r="BZ667" s="338"/>
      <c r="CA667" s="338"/>
      <c r="CB667" s="338"/>
    </row>
    <row r="668" spans="1:80" s="11" customFormat="1" ht="71.25" customHeight="1" x14ac:dyDescent="0.2">
      <c r="A668" s="256"/>
      <c r="B668" s="70"/>
      <c r="C668" s="857">
        <v>28</v>
      </c>
      <c r="D668" s="854" t="s">
        <v>790</v>
      </c>
      <c r="E668" s="885">
        <v>0.5</v>
      </c>
      <c r="F668" s="885">
        <v>1</v>
      </c>
      <c r="G668" s="856"/>
      <c r="H668" s="57">
        <v>175</v>
      </c>
      <c r="I668" s="56" t="s">
        <v>804</v>
      </c>
      <c r="J668" s="57">
        <v>10</v>
      </c>
      <c r="K668" s="132">
        <v>14</v>
      </c>
      <c r="L668" s="132">
        <v>14</v>
      </c>
      <c r="M668" s="850">
        <v>2017003630108</v>
      </c>
      <c r="N668" s="856" t="s">
        <v>660</v>
      </c>
      <c r="O668" s="856" t="s">
        <v>805</v>
      </c>
      <c r="P668" s="853" t="s">
        <v>806</v>
      </c>
      <c r="Q668" s="57" t="s">
        <v>51</v>
      </c>
      <c r="R668" s="539">
        <v>0</v>
      </c>
      <c r="S668" s="539"/>
      <c r="T668" s="539"/>
      <c r="U668" s="539">
        <v>0</v>
      </c>
      <c r="V668" s="539"/>
      <c r="W668" s="539"/>
      <c r="X668" s="539">
        <v>0</v>
      </c>
      <c r="Y668" s="539"/>
      <c r="Z668" s="539"/>
      <c r="AA668" s="539">
        <v>0</v>
      </c>
      <c r="AB668" s="539"/>
      <c r="AC668" s="539"/>
      <c r="AD668" s="539">
        <v>0</v>
      </c>
      <c r="AE668" s="539"/>
      <c r="AF668" s="539"/>
      <c r="AG668" s="539">
        <v>0</v>
      </c>
      <c r="AH668" s="539"/>
      <c r="AI668" s="539"/>
      <c r="AJ668" s="539">
        <v>0</v>
      </c>
      <c r="AK668" s="539"/>
      <c r="AL668" s="539"/>
      <c r="AM668" s="539"/>
      <c r="AN668" s="539"/>
      <c r="AO668" s="539"/>
      <c r="AP668" s="539"/>
      <c r="AQ668" s="539"/>
      <c r="AR668" s="570"/>
      <c r="AS668" s="632"/>
      <c r="AT668" s="540"/>
      <c r="AU668" s="540"/>
      <c r="AV668" s="539">
        <v>0</v>
      </c>
      <c r="AW668" s="539"/>
      <c r="AX668" s="539"/>
      <c r="AY668" s="539">
        <v>0</v>
      </c>
      <c r="AZ668" s="539"/>
      <c r="BA668" s="539"/>
      <c r="BB668" s="539">
        <v>0</v>
      </c>
      <c r="BC668" s="539"/>
      <c r="BD668" s="539"/>
      <c r="BE668" s="539">
        <v>0</v>
      </c>
      <c r="BF668" s="539"/>
      <c r="BG668" s="539"/>
      <c r="BH668" s="539">
        <v>0</v>
      </c>
      <c r="BI668" s="539"/>
      <c r="BJ668" s="539"/>
      <c r="BK668" s="539">
        <f>23817720+150000000</f>
        <v>173817720</v>
      </c>
      <c r="BL668" s="539">
        <v>15840000</v>
      </c>
      <c r="BM668" s="539">
        <v>5280000</v>
      </c>
      <c r="BN668" s="553"/>
      <c r="BO668" s="553"/>
      <c r="BP668" s="553"/>
      <c r="BQ668" s="539">
        <v>0</v>
      </c>
      <c r="BR668" s="541"/>
      <c r="BS668" s="541"/>
      <c r="BT668" s="541"/>
      <c r="BU668" s="541"/>
      <c r="BV668" s="541"/>
      <c r="BW668" s="541"/>
      <c r="BX668" s="541"/>
      <c r="BY668" s="541"/>
      <c r="BZ668" s="539">
        <f t="shared" ref="BZ668:BZ669" si="615">R668+U668+X668+AA668+AD668+AG668+AJ668+AM668+AP668+AS668+AV668+AY668+BB668+BE668+BH668+BK668+BN668+BQ668+BT668+BW668</f>
        <v>173817720</v>
      </c>
      <c r="CA668" s="539">
        <f t="shared" ref="CA668:CA669" si="616">S668+V668+Y668+AB668+AE668+AH668+AK668+AN668+AQ668+AT668+AW668+AZ668+BC668+BF668+BI668+BL668+BO668+BR668+BU668+BX668</f>
        <v>15840000</v>
      </c>
      <c r="CB668" s="539">
        <f t="shared" ref="CB668:CB669" si="617">T668+W668+Z668+AC668+AF668+AI668+AL668+AO668+AR668+AU668+AX668+BA668+BD668+BG668+BJ668+BM668+BP668+BS668+BV668+BY668</f>
        <v>5280000</v>
      </c>
    </row>
    <row r="669" spans="1:80" s="11" customFormat="1" ht="68.25" customHeight="1" x14ac:dyDescent="0.2">
      <c r="A669" s="256"/>
      <c r="B669" s="70"/>
      <c r="C669" s="857"/>
      <c r="D669" s="854"/>
      <c r="E669" s="885"/>
      <c r="F669" s="885"/>
      <c r="G669" s="858"/>
      <c r="H669" s="57">
        <v>176</v>
      </c>
      <c r="I669" s="56" t="s">
        <v>807</v>
      </c>
      <c r="J669" s="57">
        <v>2</v>
      </c>
      <c r="K669" s="132">
        <v>2</v>
      </c>
      <c r="L669" s="30">
        <v>2</v>
      </c>
      <c r="M669" s="852"/>
      <c r="N669" s="858"/>
      <c r="O669" s="858"/>
      <c r="P669" s="855"/>
      <c r="Q669" s="57" t="s">
        <v>51</v>
      </c>
      <c r="R669" s="539">
        <v>0</v>
      </c>
      <c r="S669" s="539"/>
      <c r="T669" s="539"/>
      <c r="U669" s="539">
        <v>0</v>
      </c>
      <c r="V669" s="539"/>
      <c r="W669" s="539"/>
      <c r="X669" s="539">
        <v>0</v>
      </c>
      <c r="Y669" s="539"/>
      <c r="Z669" s="539"/>
      <c r="AA669" s="539">
        <v>0</v>
      </c>
      <c r="AB669" s="539"/>
      <c r="AC669" s="539"/>
      <c r="AD669" s="539">
        <v>0</v>
      </c>
      <c r="AE669" s="539"/>
      <c r="AF669" s="539"/>
      <c r="AG669" s="539">
        <v>0</v>
      </c>
      <c r="AH669" s="539"/>
      <c r="AI669" s="539"/>
      <c r="AJ669" s="539">
        <v>0</v>
      </c>
      <c r="AK669" s="539"/>
      <c r="AL669" s="539"/>
      <c r="AM669" s="539"/>
      <c r="AN669" s="539"/>
      <c r="AO669" s="539"/>
      <c r="AP669" s="539"/>
      <c r="AQ669" s="539"/>
      <c r="AR669" s="539"/>
      <c r="AS669" s="539"/>
      <c r="AT669" s="539"/>
      <c r="AU669" s="539"/>
      <c r="AV669" s="539">
        <v>0</v>
      </c>
      <c r="AW669" s="539"/>
      <c r="AX669" s="539"/>
      <c r="AY669" s="539">
        <v>0</v>
      </c>
      <c r="AZ669" s="539"/>
      <c r="BA669" s="539"/>
      <c r="BB669" s="539">
        <v>0</v>
      </c>
      <c r="BC669" s="539"/>
      <c r="BD669" s="539"/>
      <c r="BE669" s="539">
        <v>0</v>
      </c>
      <c r="BF669" s="539"/>
      <c r="BG669" s="539"/>
      <c r="BH669" s="539">
        <v>0</v>
      </c>
      <c r="BI669" s="539"/>
      <c r="BJ669" s="539"/>
      <c r="BK669" s="540"/>
      <c r="BL669" s="540"/>
      <c r="BM669" s="540"/>
      <c r="BN669" s="553"/>
      <c r="BO669" s="553"/>
      <c r="BP669" s="553"/>
      <c r="BQ669" s="539">
        <v>0</v>
      </c>
      <c r="BR669" s="541"/>
      <c r="BS669" s="541"/>
      <c r="BT669" s="541"/>
      <c r="BU669" s="541"/>
      <c r="BV669" s="541"/>
      <c r="BW669" s="541"/>
      <c r="BX669" s="541"/>
      <c r="BY669" s="541"/>
      <c r="BZ669" s="539">
        <f t="shared" si="615"/>
        <v>0</v>
      </c>
      <c r="CA669" s="539">
        <f t="shared" si="616"/>
        <v>0</v>
      </c>
      <c r="CB669" s="539">
        <f t="shared" si="617"/>
        <v>0</v>
      </c>
    </row>
    <row r="670" spans="1:80" s="459" customFormat="1" ht="15.75" x14ac:dyDescent="0.2">
      <c r="A670" s="256"/>
      <c r="B670" s="70"/>
      <c r="C670" s="510"/>
      <c r="D670" s="209"/>
      <c r="E670" s="259"/>
      <c r="F670" s="259"/>
      <c r="G670" s="77"/>
      <c r="H670" s="78"/>
      <c r="I670" s="77"/>
      <c r="J670" s="78"/>
      <c r="K670" s="165"/>
      <c r="L670" s="165"/>
      <c r="M670" s="165"/>
      <c r="N670" s="78"/>
      <c r="O670" s="78"/>
      <c r="P670" s="77"/>
      <c r="Q670" s="78"/>
      <c r="R670" s="548">
        <f t="shared" ref="R670:BY670" si="618">SUM(R668:R669)</f>
        <v>0</v>
      </c>
      <c r="S670" s="548">
        <f t="shared" si="618"/>
        <v>0</v>
      </c>
      <c r="T670" s="548">
        <f t="shared" si="618"/>
        <v>0</v>
      </c>
      <c r="U670" s="548">
        <f t="shared" si="618"/>
        <v>0</v>
      </c>
      <c r="V670" s="548">
        <f t="shared" si="618"/>
        <v>0</v>
      </c>
      <c r="W670" s="548">
        <f t="shared" si="618"/>
        <v>0</v>
      </c>
      <c r="X670" s="548">
        <f t="shared" si="618"/>
        <v>0</v>
      </c>
      <c r="Y670" s="548">
        <f t="shared" si="618"/>
        <v>0</v>
      </c>
      <c r="Z670" s="548">
        <f t="shared" si="618"/>
        <v>0</v>
      </c>
      <c r="AA670" s="548">
        <f t="shared" si="618"/>
        <v>0</v>
      </c>
      <c r="AB670" s="548">
        <f t="shared" si="618"/>
        <v>0</v>
      </c>
      <c r="AC670" s="548">
        <f t="shared" si="618"/>
        <v>0</v>
      </c>
      <c r="AD670" s="548">
        <f t="shared" si="618"/>
        <v>0</v>
      </c>
      <c r="AE670" s="548">
        <f t="shared" si="618"/>
        <v>0</v>
      </c>
      <c r="AF670" s="548">
        <f t="shared" si="618"/>
        <v>0</v>
      </c>
      <c r="AG670" s="548">
        <f t="shared" si="618"/>
        <v>0</v>
      </c>
      <c r="AH670" s="548">
        <f t="shared" si="618"/>
        <v>0</v>
      </c>
      <c r="AI670" s="548">
        <f t="shared" si="618"/>
        <v>0</v>
      </c>
      <c r="AJ670" s="548">
        <f t="shared" si="618"/>
        <v>0</v>
      </c>
      <c r="AK670" s="548">
        <f t="shared" si="618"/>
        <v>0</v>
      </c>
      <c r="AL670" s="548">
        <f t="shared" si="618"/>
        <v>0</v>
      </c>
      <c r="AM670" s="548">
        <f t="shared" si="618"/>
        <v>0</v>
      </c>
      <c r="AN670" s="548">
        <f t="shared" si="618"/>
        <v>0</v>
      </c>
      <c r="AO670" s="548">
        <f t="shared" si="618"/>
        <v>0</v>
      </c>
      <c r="AP670" s="548">
        <f t="shared" si="618"/>
        <v>0</v>
      </c>
      <c r="AQ670" s="548">
        <f t="shared" si="618"/>
        <v>0</v>
      </c>
      <c r="AR670" s="548">
        <f t="shared" si="618"/>
        <v>0</v>
      </c>
      <c r="AS670" s="548">
        <f t="shared" si="618"/>
        <v>0</v>
      </c>
      <c r="AT670" s="548">
        <f t="shared" si="618"/>
        <v>0</v>
      </c>
      <c r="AU670" s="548">
        <f t="shared" si="618"/>
        <v>0</v>
      </c>
      <c r="AV670" s="548">
        <f t="shared" si="618"/>
        <v>0</v>
      </c>
      <c r="AW670" s="548">
        <f t="shared" si="618"/>
        <v>0</v>
      </c>
      <c r="AX670" s="548">
        <f t="shared" si="618"/>
        <v>0</v>
      </c>
      <c r="AY670" s="548">
        <f t="shared" si="618"/>
        <v>0</v>
      </c>
      <c r="AZ670" s="548">
        <f t="shared" si="618"/>
        <v>0</v>
      </c>
      <c r="BA670" s="548">
        <f t="shared" si="618"/>
        <v>0</v>
      </c>
      <c r="BB670" s="548">
        <f t="shared" si="618"/>
        <v>0</v>
      </c>
      <c r="BC670" s="548">
        <f t="shared" si="618"/>
        <v>0</v>
      </c>
      <c r="BD670" s="548">
        <f t="shared" si="618"/>
        <v>0</v>
      </c>
      <c r="BE670" s="548">
        <f t="shared" si="618"/>
        <v>0</v>
      </c>
      <c r="BF670" s="548">
        <f t="shared" si="618"/>
        <v>0</v>
      </c>
      <c r="BG670" s="548">
        <f t="shared" si="618"/>
        <v>0</v>
      </c>
      <c r="BH670" s="548">
        <f t="shared" si="618"/>
        <v>0</v>
      </c>
      <c r="BI670" s="548">
        <f t="shared" si="618"/>
        <v>0</v>
      </c>
      <c r="BJ670" s="548">
        <f t="shared" si="618"/>
        <v>0</v>
      </c>
      <c r="BK670" s="548">
        <f t="shared" si="618"/>
        <v>173817720</v>
      </c>
      <c r="BL670" s="548">
        <f t="shared" si="618"/>
        <v>15840000</v>
      </c>
      <c r="BM670" s="548">
        <f t="shared" si="618"/>
        <v>5280000</v>
      </c>
      <c r="BN670" s="548">
        <f t="shared" si="618"/>
        <v>0</v>
      </c>
      <c r="BO670" s="548">
        <f t="shared" si="618"/>
        <v>0</v>
      </c>
      <c r="BP670" s="548">
        <f t="shared" si="618"/>
        <v>0</v>
      </c>
      <c r="BQ670" s="548">
        <f t="shared" si="618"/>
        <v>0</v>
      </c>
      <c r="BR670" s="548">
        <f t="shared" si="618"/>
        <v>0</v>
      </c>
      <c r="BS670" s="548">
        <f t="shared" si="618"/>
        <v>0</v>
      </c>
      <c r="BT670" s="548">
        <f t="shared" si="618"/>
        <v>0</v>
      </c>
      <c r="BU670" s="548">
        <f t="shared" si="618"/>
        <v>0</v>
      </c>
      <c r="BV670" s="548">
        <f t="shared" si="618"/>
        <v>0</v>
      </c>
      <c r="BW670" s="548">
        <f t="shared" si="618"/>
        <v>0</v>
      </c>
      <c r="BX670" s="548">
        <f t="shared" si="618"/>
        <v>0</v>
      </c>
      <c r="BY670" s="548">
        <f t="shared" si="618"/>
        <v>0</v>
      </c>
      <c r="BZ670" s="548">
        <f t="shared" ref="BZ670" si="619">SUM(BZ668:BZ669)</f>
        <v>173817720</v>
      </c>
      <c r="CA670" s="548">
        <f t="shared" ref="CA670:CB670" si="620">SUM(CA668:CA669)</f>
        <v>15840000</v>
      </c>
      <c r="CB670" s="548">
        <f t="shared" si="620"/>
        <v>5280000</v>
      </c>
    </row>
    <row r="671" spans="1:80" s="11" customFormat="1" ht="15.75" x14ac:dyDescent="0.2">
      <c r="A671" s="54"/>
      <c r="B671" s="370"/>
      <c r="C671" s="82"/>
      <c r="D671" s="81"/>
      <c r="E671" s="82"/>
      <c r="F671" s="82"/>
      <c r="G671" s="81"/>
      <c r="H671" s="82"/>
      <c r="I671" s="81"/>
      <c r="J671" s="82"/>
      <c r="K671" s="179"/>
      <c r="L671" s="179"/>
      <c r="M671" s="179"/>
      <c r="N671" s="82"/>
      <c r="O671" s="82"/>
      <c r="P671" s="81"/>
      <c r="Q671" s="82"/>
      <c r="R671" s="554">
        <f t="shared" ref="R671:BY671" si="621">R670+R665+R660+R654+R650</f>
        <v>0</v>
      </c>
      <c r="S671" s="554">
        <f t="shared" si="621"/>
        <v>0</v>
      </c>
      <c r="T671" s="554">
        <f t="shared" si="621"/>
        <v>0</v>
      </c>
      <c r="U671" s="554">
        <f t="shared" si="621"/>
        <v>0</v>
      </c>
      <c r="V671" s="554">
        <f t="shared" si="621"/>
        <v>0</v>
      </c>
      <c r="W671" s="554">
        <f t="shared" si="621"/>
        <v>0</v>
      </c>
      <c r="X671" s="554">
        <f t="shared" si="621"/>
        <v>0</v>
      </c>
      <c r="Y671" s="554">
        <f t="shared" si="621"/>
        <v>0</v>
      </c>
      <c r="Z671" s="554">
        <f t="shared" si="621"/>
        <v>0</v>
      </c>
      <c r="AA671" s="554">
        <f t="shared" si="621"/>
        <v>0</v>
      </c>
      <c r="AB671" s="554">
        <f t="shared" si="621"/>
        <v>0</v>
      </c>
      <c r="AC671" s="554">
        <f t="shared" si="621"/>
        <v>0</v>
      </c>
      <c r="AD671" s="554">
        <f t="shared" si="621"/>
        <v>0</v>
      </c>
      <c r="AE671" s="554">
        <f t="shared" si="621"/>
        <v>0</v>
      </c>
      <c r="AF671" s="554">
        <f t="shared" si="621"/>
        <v>0</v>
      </c>
      <c r="AG671" s="554">
        <f t="shared" si="621"/>
        <v>0</v>
      </c>
      <c r="AH671" s="554">
        <f t="shared" si="621"/>
        <v>0</v>
      </c>
      <c r="AI671" s="554">
        <f t="shared" si="621"/>
        <v>0</v>
      </c>
      <c r="AJ671" s="554">
        <f t="shared" si="621"/>
        <v>0</v>
      </c>
      <c r="AK671" s="554">
        <f t="shared" si="621"/>
        <v>0</v>
      </c>
      <c r="AL671" s="554">
        <f t="shared" si="621"/>
        <v>0</v>
      </c>
      <c r="AM671" s="554">
        <f t="shared" si="621"/>
        <v>0</v>
      </c>
      <c r="AN671" s="554">
        <f t="shared" si="621"/>
        <v>0</v>
      </c>
      <c r="AO671" s="554">
        <f t="shared" si="621"/>
        <v>0</v>
      </c>
      <c r="AP671" s="554">
        <f t="shared" si="621"/>
        <v>8603059408</v>
      </c>
      <c r="AQ671" s="554">
        <f t="shared" si="621"/>
        <v>4773326700</v>
      </c>
      <c r="AR671" s="554">
        <f t="shared" si="621"/>
        <v>0</v>
      </c>
      <c r="AS671" s="554">
        <f t="shared" si="621"/>
        <v>3791204971</v>
      </c>
      <c r="AT671" s="554">
        <f t="shared" si="621"/>
        <v>38713368</v>
      </c>
      <c r="AU671" s="554">
        <f t="shared" si="621"/>
        <v>38713368</v>
      </c>
      <c r="AV671" s="554">
        <f t="shared" si="621"/>
        <v>500</v>
      </c>
      <c r="AW671" s="554">
        <f t="shared" si="621"/>
        <v>0</v>
      </c>
      <c r="AX671" s="554">
        <f t="shared" si="621"/>
        <v>0</v>
      </c>
      <c r="AY671" s="554">
        <f t="shared" si="621"/>
        <v>0</v>
      </c>
      <c r="AZ671" s="554">
        <f t="shared" si="621"/>
        <v>0</v>
      </c>
      <c r="BA671" s="554">
        <f t="shared" si="621"/>
        <v>0</v>
      </c>
      <c r="BB671" s="554">
        <f t="shared" si="621"/>
        <v>0</v>
      </c>
      <c r="BC671" s="554">
        <f t="shared" si="621"/>
        <v>0</v>
      </c>
      <c r="BD671" s="554">
        <f t="shared" si="621"/>
        <v>0</v>
      </c>
      <c r="BE671" s="554">
        <f t="shared" si="621"/>
        <v>0</v>
      </c>
      <c r="BF671" s="554">
        <f t="shared" si="621"/>
        <v>0</v>
      </c>
      <c r="BG671" s="554">
        <f t="shared" si="621"/>
        <v>0</v>
      </c>
      <c r="BH671" s="554">
        <f t="shared" si="621"/>
        <v>0</v>
      </c>
      <c r="BI671" s="554">
        <f t="shared" si="621"/>
        <v>0</v>
      </c>
      <c r="BJ671" s="554">
        <f t="shared" si="621"/>
        <v>0</v>
      </c>
      <c r="BK671" s="554">
        <f t="shared" si="621"/>
        <v>746603760</v>
      </c>
      <c r="BL671" s="554">
        <f t="shared" si="621"/>
        <v>226300000</v>
      </c>
      <c r="BM671" s="554">
        <f t="shared" si="621"/>
        <v>46080000</v>
      </c>
      <c r="BN671" s="554">
        <f t="shared" si="621"/>
        <v>0</v>
      </c>
      <c r="BO671" s="554">
        <f t="shared" si="621"/>
        <v>0</v>
      </c>
      <c r="BP671" s="554">
        <f t="shared" si="621"/>
        <v>0</v>
      </c>
      <c r="BQ671" s="554">
        <f t="shared" si="621"/>
        <v>0</v>
      </c>
      <c r="BR671" s="554">
        <f t="shared" si="621"/>
        <v>0</v>
      </c>
      <c r="BS671" s="554">
        <f t="shared" si="621"/>
        <v>0</v>
      </c>
      <c r="BT671" s="554">
        <f t="shared" si="621"/>
        <v>0</v>
      </c>
      <c r="BU671" s="554">
        <f t="shared" si="621"/>
        <v>0</v>
      </c>
      <c r="BV671" s="554">
        <f t="shared" si="621"/>
        <v>0</v>
      </c>
      <c r="BW671" s="554">
        <f t="shared" si="621"/>
        <v>1942536966</v>
      </c>
      <c r="BX671" s="554">
        <f t="shared" si="621"/>
        <v>950000000</v>
      </c>
      <c r="BY671" s="554">
        <f t="shared" si="621"/>
        <v>0</v>
      </c>
      <c r="BZ671" s="554">
        <f t="shared" ref="BZ671" si="622">BZ670+BZ665+BZ660+BZ654+BZ650</f>
        <v>15083405605</v>
      </c>
      <c r="CA671" s="554">
        <f t="shared" ref="CA671:CB671" si="623">CA670+CA665+CA660+CA654+CA650</f>
        <v>5988340068</v>
      </c>
      <c r="CB671" s="554">
        <f t="shared" si="623"/>
        <v>84793368</v>
      </c>
    </row>
    <row r="672" spans="1:80" s="11" customFormat="1" ht="15.75" x14ac:dyDescent="0.2">
      <c r="A672" s="54"/>
      <c r="B672" s="91"/>
      <c r="C672" s="92"/>
      <c r="D672" s="91"/>
      <c r="E672" s="92"/>
      <c r="F672" s="92"/>
      <c r="G672" s="91"/>
      <c r="H672" s="92"/>
      <c r="I672" s="91"/>
      <c r="J672" s="92"/>
      <c r="K672" s="184"/>
      <c r="L672" s="334"/>
      <c r="M672" s="334"/>
      <c r="N672" s="125"/>
      <c r="O672" s="499"/>
      <c r="P672" s="124"/>
      <c r="Q672" s="92"/>
      <c r="R672" s="543"/>
      <c r="S672" s="543"/>
      <c r="T672" s="543"/>
      <c r="U672" s="543"/>
      <c r="V672" s="543"/>
      <c r="W672" s="543"/>
      <c r="X672" s="543"/>
      <c r="Y672" s="543"/>
      <c r="Z672" s="543"/>
      <c r="AA672" s="543"/>
      <c r="AB672" s="543"/>
      <c r="AC672" s="543"/>
      <c r="AD672" s="543"/>
      <c r="AE672" s="543"/>
      <c r="AF672" s="543"/>
      <c r="AG672" s="543"/>
      <c r="AH672" s="543"/>
      <c r="AI672" s="543"/>
      <c r="AJ672" s="543"/>
      <c r="AK672" s="543"/>
      <c r="AL672" s="543"/>
      <c r="AM672" s="543"/>
      <c r="AN672" s="543"/>
      <c r="AO672" s="543"/>
      <c r="AP672" s="543"/>
      <c r="AQ672" s="543"/>
      <c r="AR672" s="543"/>
      <c r="AS672" s="543"/>
      <c r="AT672" s="543"/>
      <c r="AU672" s="543"/>
      <c r="AV672" s="543"/>
      <c r="AW672" s="543"/>
      <c r="AX672" s="543"/>
      <c r="AY672" s="543"/>
      <c r="AZ672" s="543"/>
      <c r="BA672" s="543"/>
      <c r="BB672" s="543"/>
      <c r="BC672" s="543"/>
      <c r="BD672" s="543"/>
      <c r="BE672" s="543"/>
      <c r="BF672" s="543"/>
      <c r="BG672" s="543"/>
      <c r="BH672" s="543"/>
      <c r="BI672" s="543"/>
      <c r="BJ672" s="543"/>
      <c r="BK672" s="545"/>
      <c r="BL672" s="545"/>
      <c r="BM672" s="545"/>
      <c r="BN672" s="543"/>
      <c r="BO672" s="543"/>
      <c r="BP672" s="543"/>
      <c r="BQ672" s="543"/>
      <c r="BR672" s="543"/>
      <c r="BS672" s="543"/>
      <c r="BT672" s="543"/>
      <c r="BU672" s="543"/>
      <c r="BV672" s="543"/>
      <c r="BW672" s="544"/>
      <c r="BX672" s="544"/>
      <c r="BY672" s="544"/>
      <c r="BZ672" s="539"/>
      <c r="CA672" s="539"/>
      <c r="CB672" s="539"/>
    </row>
    <row r="673" spans="1:151" s="11" customFormat="1" ht="15.75" x14ac:dyDescent="0.2">
      <c r="A673" s="54"/>
      <c r="B673" s="416">
        <v>15</v>
      </c>
      <c r="C673" s="51" t="s">
        <v>808</v>
      </c>
      <c r="D673" s="50"/>
      <c r="E673" s="50"/>
      <c r="F673" s="50"/>
      <c r="G673" s="50"/>
      <c r="H673" s="51"/>
      <c r="I673" s="50"/>
      <c r="J673" s="50"/>
      <c r="K673" s="153"/>
      <c r="L673" s="153"/>
      <c r="M673" s="153"/>
      <c r="N673" s="50"/>
      <c r="O673" s="51"/>
      <c r="P673" s="50"/>
      <c r="Q673" s="50"/>
      <c r="R673" s="550"/>
      <c r="S673" s="550"/>
      <c r="T673" s="550"/>
      <c r="U673" s="550"/>
      <c r="V673" s="550"/>
      <c r="W673" s="550"/>
      <c r="X673" s="550"/>
      <c r="Y673" s="550"/>
      <c r="Z673" s="550"/>
      <c r="AA673" s="550"/>
      <c r="AB673" s="550"/>
      <c r="AC673" s="550"/>
      <c r="AD673" s="550"/>
      <c r="AE673" s="550"/>
      <c r="AF673" s="550"/>
      <c r="AG673" s="550"/>
      <c r="AH673" s="550"/>
      <c r="AI673" s="550"/>
      <c r="AJ673" s="550"/>
      <c r="AK673" s="550"/>
      <c r="AL673" s="550"/>
      <c r="AM673" s="550"/>
      <c r="AN673" s="550"/>
      <c r="AO673" s="550"/>
      <c r="AP673" s="550"/>
      <c r="AQ673" s="550"/>
      <c r="AR673" s="550"/>
      <c r="AS673" s="550"/>
      <c r="AT673" s="550"/>
      <c r="AU673" s="550"/>
      <c r="AV673" s="550"/>
      <c r="AW673" s="550"/>
      <c r="AX673" s="550"/>
      <c r="AY673" s="550"/>
      <c r="AZ673" s="550"/>
      <c r="BA673" s="550"/>
      <c r="BB673" s="550"/>
      <c r="BC673" s="550"/>
      <c r="BD673" s="550"/>
      <c r="BE673" s="550"/>
      <c r="BF673" s="550"/>
      <c r="BG673" s="550"/>
      <c r="BH673" s="550"/>
      <c r="BI673" s="550"/>
      <c r="BJ673" s="550"/>
      <c r="BK673" s="551"/>
      <c r="BL673" s="551"/>
      <c r="BM673" s="551"/>
      <c r="BN673" s="550"/>
      <c r="BO673" s="550"/>
      <c r="BP673" s="550"/>
      <c r="BQ673" s="550"/>
      <c r="BR673" s="550"/>
      <c r="BS673" s="550"/>
      <c r="BT673" s="550"/>
      <c r="BU673" s="550"/>
      <c r="BV673" s="550"/>
      <c r="BW673" s="550"/>
      <c r="BX673" s="550"/>
      <c r="BY673" s="550"/>
      <c r="BZ673" s="659"/>
      <c r="CA673" s="659"/>
      <c r="CB673" s="659"/>
    </row>
    <row r="674" spans="1:151" s="11" customFormat="1" ht="15.75" x14ac:dyDescent="0.2">
      <c r="A674" s="256"/>
      <c r="B674" s="54"/>
      <c r="C674" s="508"/>
      <c r="D674" s="516"/>
      <c r="E674" s="508"/>
      <c r="F674" s="508"/>
      <c r="G674" s="274">
        <v>55</v>
      </c>
      <c r="H674" s="100" t="s">
        <v>809</v>
      </c>
      <c r="I674" s="100"/>
      <c r="J674" s="100"/>
      <c r="K674" s="155"/>
      <c r="L674" s="155"/>
      <c r="M674" s="155"/>
      <c r="N674" s="100"/>
      <c r="O674" s="212"/>
      <c r="P674" s="100"/>
      <c r="Q674" s="100"/>
      <c r="R674" s="336"/>
      <c r="S674" s="336"/>
      <c r="T674" s="336"/>
      <c r="U674" s="336"/>
      <c r="V674" s="336"/>
      <c r="W674" s="336"/>
      <c r="X674" s="336"/>
      <c r="Y674" s="336"/>
      <c r="Z674" s="336"/>
      <c r="AA674" s="336"/>
      <c r="AB674" s="336"/>
      <c r="AC674" s="336"/>
      <c r="AD674" s="336"/>
      <c r="AE674" s="336"/>
      <c r="AF674" s="336"/>
      <c r="AG674" s="336"/>
      <c r="AH674" s="336"/>
      <c r="AI674" s="336"/>
      <c r="AJ674" s="336"/>
      <c r="AK674" s="336"/>
      <c r="AL674" s="336"/>
      <c r="AM674" s="336"/>
      <c r="AN674" s="336"/>
      <c r="AO674" s="336"/>
      <c r="AP674" s="336"/>
      <c r="AQ674" s="336"/>
      <c r="AR674" s="336"/>
      <c r="AS674" s="336"/>
      <c r="AT674" s="336"/>
      <c r="AU674" s="336"/>
      <c r="AV674" s="336"/>
      <c r="AW674" s="336"/>
      <c r="AX674" s="336"/>
      <c r="AY674" s="336"/>
      <c r="AZ674" s="336"/>
      <c r="BA674" s="336"/>
      <c r="BB674" s="336"/>
      <c r="BC674" s="336"/>
      <c r="BD674" s="336"/>
      <c r="BE674" s="336"/>
      <c r="BF674" s="336"/>
      <c r="BG674" s="336"/>
      <c r="BH674" s="336"/>
      <c r="BI674" s="336"/>
      <c r="BJ674" s="336"/>
      <c r="BK674" s="552"/>
      <c r="BL674" s="552"/>
      <c r="BM674" s="552"/>
      <c r="BN674" s="336"/>
      <c r="BO674" s="336"/>
      <c r="BP674" s="336"/>
      <c r="BQ674" s="336"/>
      <c r="BR674" s="336"/>
      <c r="BS674" s="336"/>
      <c r="BT674" s="336"/>
      <c r="BU674" s="336"/>
      <c r="BV674" s="336"/>
      <c r="BW674" s="336"/>
      <c r="BX674" s="336"/>
      <c r="BY674" s="336"/>
      <c r="BZ674" s="658"/>
      <c r="CA674" s="658"/>
      <c r="CB674" s="658"/>
    </row>
    <row r="675" spans="1:151" s="11" customFormat="1" ht="74.25" customHeight="1" x14ac:dyDescent="0.2">
      <c r="A675" s="256"/>
      <c r="B675" s="70"/>
      <c r="C675" s="510" t="s">
        <v>694</v>
      </c>
      <c r="D675" s="518" t="s">
        <v>810</v>
      </c>
      <c r="E675" s="512">
        <v>2</v>
      </c>
      <c r="F675" s="512">
        <v>2</v>
      </c>
      <c r="G675" s="856"/>
      <c r="H675" s="57">
        <v>177</v>
      </c>
      <c r="I675" s="56" t="s">
        <v>906</v>
      </c>
      <c r="J675" s="57">
        <v>2</v>
      </c>
      <c r="K675" s="132">
        <v>2</v>
      </c>
      <c r="L675" s="132">
        <v>0</v>
      </c>
      <c r="M675" s="850">
        <v>2017003630063</v>
      </c>
      <c r="N675" s="856" t="s">
        <v>660</v>
      </c>
      <c r="O675" s="856" t="s">
        <v>811</v>
      </c>
      <c r="P675" s="853" t="s">
        <v>812</v>
      </c>
      <c r="Q675" s="207" t="s">
        <v>51</v>
      </c>
      <c r="R675" s="539">
        <v>0</v>
      </c>
      <c r="S675" s="539"/>
      <c r="T675" s="539"/>
      <c r="U675" s="539">
        <v>0</v>
      </c>
      <c r="V675" s="539"/>
      <c r="W675" s="539"/>
      <c r="X675" s="539">
        <v>0</v>
      </c>
      <c r="Y675" s="539"/>
      <c r="Z675" s="539"/>
      <c r="AA675" s="539">
        <v>0</v>
      </c>
      <c r="AB675" s="539"/>
      <c r="AC675" s="539"/>
      <c r="AD675" s="539">
        <v>0</v>
      </c>
      <c r="AE675" s="539"/>
      <c r="AF675" s="539"/>
      <c r="AG675" s="539">
        <v>0</v>
      </c>
      <c r="AH675" s="539"/>
      <c r="AI675" s="539"/>
      <c r="AJ675" s="539">
        <v>0</v>
      </c>
      <c r="AK675" s="539"/>
      <c r="AL675" s="539"/>
      <c r="AM675" s="539"/>
      <c r="AN675" s="539"/>
      <c r="AO675" s="539"/>
      <c r="AP675" s="539"/>
      <c r="AQ675" s="539"/>
      <c r="AR675" s="539"/>
      <c r="AS675" s="539">
        <v>0</v>
      </c>
      <c r="AT675" s="539"/>
      <c r="AU675" s="539"/>
      <c r="AV675" s="539">
        <v>0</v>
      </c>
      <c r="AW675" s="539"/>
      <c r="AX675" s="539"/>
      <c r="AY675" s="539"/>
      <c r="AZ675" s="539"/>
      <c r="BA675" s="539"/>
      <c r="BB675" s="539"/>
      <c r="BC675" s="539"/>
      <c r="BD675" s="539"/>
      <c r="BE675" s="539">
        <v>0</v>
      </c>
      <c r="BF675" s="539"/>
      <c r="BG675" s="539"/>
      <c r="BH675" s="539">
        <v>0</v>
      </c>
      <c r="BI675" s="539"/>
      <c r="BJ675" s="539"/>
      <c r="BK675" s="540">
        <v>0</v>
      </c>
      <c r="BL675" s="540"/>
      <c r="BM675" s="540"/>
      <c r="BN675" s="553"/>
      <c r="BO675" s="553"/>
      <c r="BP675" s="553"/>
      <c r="BQ675" s="539">
        <v>0</v>
      </c>
      <c r="BR675" s="541"/>
      <c r="BS675" s="541"/>
      <c r="BT675" s="541"/>
      <c r="BU675" s="541"/>
      <c r="BV675" s="541"/>
      <c r="BW675" s="541">
        <v>0</v>
      </c>
      <c r="BX675" s="541"/>
      <c r="BY675" s="541"/>
      <c r="BZ675" s="539">
        <f t="shared" ref="BZ675:BZ677" si="624">R675+U675+X675+AA675+AD675+AG675+AJ675+AM675+AP675+AS675+AV675+AY675+BB675+BE675+BH675+BK675+BN675+BQ675+BT675+BW675</f>
        <v>0</v>
      </c>
      <c r="CA675" s="539">
        <f t="shared" ref="CA675:CA677" si="625">S675+V675+Y675+AB675+AE675+AH675+AK675+AN675+AQ675+AT675+AW675+AZ675+BC675+BF675+BI675+BL675+BO675+BR675+BU675+BX675</f>
        <v>0</v>
      </c>
      <c r="CB675" s="539">
        <f t="shared" ref="CB675:CB677" si="626">T675+W675+Z675+AC675+AF675+AI675+AL675+AO675+AR675+AU675+AX675+BA675+BD675+BG675+BJ675+BM675+BP675+BS675+BV675+BY675</f>
        <v>0</v>
      </c>
    </row>
    <row r="676" spans="1:151" s="11" customFormat="1" ht="100.5" customHeight="1" x14ac:dyDescent="0.2">
      <c r="A676" s="256"/>
      <c r="B676" s="70"/>
      <c r="C676" s="55" t="s">
        <v>694</v>
      </c>
      <c r="D676" s="56" t="s">
        <v>813</v>
      </c>
      <c r="E676" s="372">
        <v>0</v>
      </c>
      <c r="F676" s="372">
        <v>0.8</v>
      </c>
      <c r="G676" s="857"/>
      <c r="H676" s="57">
        <v>178</v>
      </c>
      <c r="I676" s="56" t="s">
        <v>814</v>
      </c>
      <c r="J676" s="57">
        <v>0</v>
      </c>
      <c r="K676" s="132">
        <v>3</v>
      </c>
      <c r="L676" s="132">
        <v>3</v>
      </c>
      <c r="M676" s="851"/>
      <c r="N676" s="857"/>
      <c r="O676" s="857"/>
      <c r="P676" s="854"/>
      <c r="Q676" s="207" t="s">
        <v>51</v>
      </c>
      <c r="R676" s="539">
        <v>0</v>
      </c>
      <c r="S676" s="539"/>
      <c r="T676" s="539"/>
      <c r="U676" s="539">
        <v>0</v>
      </c>
      <c r="V676" s="539"/>
      <c r="W676" s="539"/>
      <c r="X676" s="539">
        <v>0</v>
      </c>
      <c r="Y676" s="539"/>
      <c r="Z676" s="539"/>
      <c r="AA676" s="539">
        <v>0</v>
      </c>
      <c r="AB676" s="539"/>
      <c r="AC676" s="539"/>
      <c r="AD676" s="539">
        <v>0</v>
      </c>
      <c r="AE676" s="539"/>
      <c r="AF676" s="539"/>
      <c r="AG676" s="539">
        <v>0</v>
      </c>
      <c r="AH676" s="539"/>
      <c r="AI676" s="539"/>
      <c r="AJ676" s="539">
        <v>0</v>
      </c>
      <c r="AK676" s="539"/>
      <c r="AL676" s="539"/>
      <c r="AM676" s="539"/>
      <c r="AN676" s="539"/>
      <c r="AO676" s="539"/>
      <c r="AP676" s="539"/>
      <c r="AQ676" s="539"/>
      <c r="AR676" s="539"/>
      <c r="AS676" s="539">
        <v>130000000</v>
      </c>
      <c r="AT676" s="540">
        <v>44123760</v>
      </c>
      <c r="AU676" s="540">
        <v>13280000</v>
      </c>
      <c r="AV676" s="539">
        <v>0</v>
      </c>
      <c r="AW676" s="539"/>
      <c r="AX676" s="539"/>
      <c r="AY676" s="539"/>
      <c r="AZ676" s="539"/>
      <c r="BA676" s="539"/>
      <c r="BB676" s="539"/>
      <c r="BC676" s="539"/>
      <c r="BD676" s="539"/>
      <c r="BE676" s="539">
        <v>0</v>
      </c>
      <c r="BF676" s="539"/>
      <c r="BG676" s="539"/>
      <c r="BH676" s="539">
        <v>0</v>
      </c>
      <c r="BI676" s="539"/>
      <c r="BJ676" s="539"/>
      <c r="BK676" s="540">
        <f>6396240+21000000</f>
        <v>27396240</v>
      </c>
      <c r="BL676" s="540">
        <v>27396240</v>
      </c>
      <c r="BM676" s="540">
        <v>7920000</v>
      </c>
      <c r="BN676" s="553"/>
      <c r="BO676" s="553"/>
      <c r="BP676" s="553"/>
      <c r="BQ676" s="539">
        <v>0</v>
      </c>
      <c r="BR676" s="541"/>
      <c r="BS676" s="541"/>
      <c r="BT676" s="541"/>
      <c r="BU676" s="541"/>
      <c r="BV676" s="541"/>
      <c r="BW676" s="541">
        <v>0</v>
      </c>
      <c r="BX676" s="541"/>
      <c r="BY676" s="541"/>
      <c r="BZ676" s="539">
        <f t="shared" si="624"/>
        <v>157396240</v>
      </c>
      <c r="CA676" s="539">
        <f t="shared" si="625"/>
        <v>71520000</v>
      </c>
      <c r="CB676" s="539">
        <f t="shared" si="626"/>
        <v>21200000</v>
      </c>
    </row>
    <row r="677" spans="1:151" s="11" customFormat="1" ht="52.5" customHeight="1" x14ac:dyDescent="0.2">
      <c r="A677" s="256"/>
      <c r="B677" s="70"/>
      <c r="C677" s="508" t="s">
        <v>694</v>
      </c>
      <c r="D677" s="516" t="s">
        <v>815</v>
      </c>
      <c r="E677" s="705" t="s">
        <v>42</v>
      </c>
      <c r="F677" s="705">
        <v>0.9</v>
      </c>
      <c r="G677" s="858"/>
      <c r="H677" s="57">
        <v>179</v>
      </c>
      <c r="I677" s="56" t="s">
        <v>816</v>
      </c>
      <c r="J677" s="57">
        <v>4</v>
      </c>
      <c r="K677" s="132">
        <v>4</v>
      </c>
      <c r="L677" s="132">
        <v>1</v>
      </c>
      <c r="M677" s="852"/>
      <c r="N677" s="858"/>
      <c r="O677" s="858"/>
      <c r="P677" s="855"/>
      <c r="Q677" s="207" t="s">
        <v>51</v>
      </c>
      <c r="R677" s="539">
        <v>0</v>
      </c>
      <c r="S677" s="539"/>
      <c r="T677" s="539"/>
      <c r="U677" s="539">
        <v>0</v>
      </c>
      <c r="V677" s="539"/>
      <c r="W677" s="539"/>
      <c r="X677" s="539">
        <v>0</v>
      </c>
      <c r="Y677" s="539"/>
      <c r="Z677" s="539"/>
      <c r="AA677" s="539">
        <v>0</v>
      </c>
      <c r="AB677" s="539"/>
      <c r="AC677" s="539"/>
      <c r="AD677" s="539">
        <v>0</v>
      </c>
      <c r="AE677" s="539"/>
      <c r="AF677" s="539"/>
      <c r="AG677" s="539">
        <v>0</v>
      </c>
      <c r="AH677" s="539"/>
      <c r="AI677" s="539"/>
      <c r="AJ677" s="539">
        <v>0</v>
      </c>
      <c r="AK677" s="539"/>
      <c r="AL677" s="539"/>
      <c r="AM677" s="539"/>
      <c r="AN677" s="539"/>
      <c r="AO677" s="539"/>
      <c r="AP677" s="539"/>
      <c r="AQ677" s="539"/>
      <c r="AR677" s="539"/>
      <c r="AS677" s="539">
        <v>0</v>
      </c>
      <c r="AT677" s="539"/>
      <c r="AU677" s="539"/>
      <c r="AV677" s="539">
        <v>0</v>
      </c>
      <c r="AW677" s="539"/>
      <c r="AX677" s="539"/>
      <c r="AY677" s="539"/>
      <c r="AZ677" s="539"/>
      <c r="BA677" s="539"/>
      <c r="BB677" s="539"/>
      <c r="BC677" s="539"/>
      <c r="BD677" s="539"/>
      <c r="BE677" s="539">
        <v>0</v>
      </c>
      <c r="BF677" s="539"/>
      <c r="BG677" s="539"/>
      <c r="BH677" s="539">
        <v>0</v>
      </c>
      <c r="BI677" s="539"/>
      <c r="BJ677" s="539"/>
      <c r="BK677" s="540">
        <v>0</v>
      </c>
      <c r="BL677" s="540"/>
      <c r="BM677" s="540"/>
      <c r="BN677" s="553"/>
      <c r="BO677" s="553"/>
      <c r="BP677" s="553"/>
      <c r="BQ677" s="539">
        <v>0</v>
      </c>
      <c r="BR677" s="541"/>
      <c r="BS677" s="541"/>
      <c r="BT677" s="541"/>
      <c r="BU677" s="541"/>
      <c r="BV677" s="541"/>
      <c r="BW677" s="541">
        <v>0</v>
      </c>
      <c r="BX677" s="541"/>
      <c r="BY677" s="541"/>
      <c r="BZ677" s="539">
        <f t="shared" si="624"/>
        <v>0</v>
      </c>
      <c r="CA677" s="539">
        <f t="shared" si="625"/>
        <v>0</v>
      </c>
      <c r="CB677" s="539">
        <f t="shared" si="626"/>
        <v>0</v>
      </c>
    </row>
    <row r="678" spans="1:151" s="473" customFormat="1" x14ac:dyDescent="0.2">
      <c r="A678" s="815"/>
      <c r="B678" s="738"/>
      <c r="C678" s="735"/>
      <c r="D678" s="209"/>
      <c r="E678" s="259"/>
      <c r="F678" s="259"/>
      <c r="G678" s="77"/>
      <c r="H678" s="78"/>
      <c r="I678" s="77"/>
      <c r="J678" s="78"/>
      <c r="K678" s="165"/>
      <c r="L678" s="165"/>
      <c r="M678" s="165"/>
      <c r="N678" s="78"/>
      <c r="O678" s="78"/>
      <c r="P678" s="77"/>
      <c r="Q678" s="78"/>
      <c r="R678" s="548">
        <f t="shared" ref="R678:BY678" si="627">SUM(R675:R677)</f>
        <v>0</v>
      </c>
      <c r="S678" s="548">
        <f t="shared" si="627"/>
        <v>0</v>
      </c>
      <c r="T678" s="548">
        <f t="shared" si="627"/>
        <v>0</v>
      </c>
      <c r="U678" s="548">
        <f t="shared" si="627"/>
        <v>0</v>
      </c>
      <c r="V678" s="548">
        <f t="shared" si="627"/>
        <v>0</v>
      </c>
      <c r="W678" s="548">
        <f t="shared" si="627"/>
        <v>0</v>
      </c>
      <c r="X678" s="548">
        <f t="shared" si="627"/>
        <v>0</v>
      </c>
      <c r="Y678" s="548">
        <f t="shared" si="627"/>
        <v>0</v>
      </c>
      <c r="Z678" s="548">
        <f t="shared" si="627"/>
        <v>0</v>
      </c>
      <c r="AA678" s="548">
        <f t="shared" si="627"/>
        <v>0</v>
      </c>
      <c r="AB678" s="548">
        <f t="shared" si="627"/>
        <v>0</v>
      </c>
      <c r="AC678" s="548">
        <f t="shared" si="627"/>
        <v>0</v>
      </c>
      <c r="AD678" s="548">
        <f t="shared" si="627"/>
        <v>0</v>
      </c>
      <c r="AE678" s="548">
        <f t="shared" si="627"/>
        <v>0</v>
      </c>
      <c r="AF678" s="548">
        <f t="shared" si="627"/>
        <v>0</v>
      </c>
      <c r="AG678" s="548">
        <f t="shared" si="627"/>
        <v>0</v>
      </c>
      <c r="AH678" s="548">
        <f t="shared" si="627"/>
        <v>0</v>
      </c>
      <c r="AI678" s="548">
        <f t="shared" si="627"/>
        <v>0</v>
      </c>
      <c r="AJ678" s="548">
        <f t="shared" si="627"/>
        <v>0</v>
      </c>
      <c r="AK678" s="548">
        <f t="shared" si="627"/>
        <v>0</v>
      </c>
      <c r="AL678" s="548">
        <f t="shared" si="627"/>
        <v>0</v>
      </c>
      <c r="AM678" s="548">
        <f t="shared" si="627"/>
        <v>0</v>
      </c>
      <c r="AN678" s="548">
        <f t="shared" si="627"/>
        <v>0</v>
      </c>
      <c r="AO678" s="548">
        <f t="shared" si="627"/>
        <v>0</v>
      </c>
      <c r="AP678" s="548">
        <f t="shared" si="627"/>
        <v>0</v>
      </c>
      <c r="AQ678" s="548">
        <f t="shared" si="627"/>
        <v>0</v>
      </c>
      <c r="AR678" s="548">
        <f t="shared" si="627"/>
        <v>0</v>
      </c>
      <c r="AS678" s="548">
        <f t="shared" si="627"/>
        <v>130000000</v>
      </c>
      <c r="AT678" s="548">
        <f t="shared" si="627"/>
        <v>44123760</v>
      </c>
      <c r="AU678" s="548">
        <f t="shared" si="627"/>
        <v>13280000</v>
      </c>
      <c r="AV678" s="548">
        <f t="shared" si="627"/>
        <v>0</v>
      </c>
      <c r="AW678" s="548">
        <f t="shared" si="627"/>
        <v>0</v>
      </c>
      <c r="AX678" s="548">
        <f t="shared" si="627"/>
        <v>0</v>
      </c>
      <c r="AY678" s="548">
        <f t="shared" si="627"/>
        <v>0</v>
      </c>
      <c r="AZ678" s="548">
        <f t="shared" si="627"/>
        <v>0</v>
      </c>
      <c r="BA678" s="548">
        <f t="shared" si="627"/>
        <v>0</v>
      </c>
      <c r="BB678" s="548">
        <f t="shared" si="627"/>
        <v>0</v>
      </c>
      <c r="BC678" s="548">
        <f t="shared" si="627"/>
        <v>0</v>
      </c>
      <c r="BD678" s="548">
        <f t="shared" si="627"/>
        <v>0</v>
      </c>
      <c r="BE678" s="548">
        <f t="shared" si="627"/>
        <v>0</v>
      </c>
      <c r="BF678" s="548">
        <f t="shared" si="627"/>
        <v>0</v>
      </c>
      <c r="BG678" s="548">
        <f t="shared" si="627"/>
        <v>0</v>
      </c>
      <c r="BH678" s="548">
        <f t="shared" si="627"/>
        <v>0</v>
      </c>
      <c r="BI678" s="548">
        <f t="shared" si="627"/>
        <v>0</v>
      </c>
      <c r="BJ678" s="548">
        <f t="shared" si="627"/>
        <v>0</v>
      </c>
      <c r="BK678" s="548">
        <f t="shared" si="627"/>
        <v>27396240</v>
      </c>
      <c r="BL678" s="548">
        <f t="shared" si="627"/>
        <v>27396240</v>
      </c>
      <c r="BM678" s="548">
        <f t="shared" si="627"/>
        <v>7920000</v>
      </c>
      <c r="BN678" s="548">
        <f t="shared" si="627"/>
        <v>0</v>
      </c>
      <c r="BO678" s="548">
        <f t="shared" si="627"/>
        <v>0</v>
      </c>
      <c r="BP678" s="548">
        <f t="shared" si="627"/>
        <v>0</v>
      </c>
      <c r="BQ678" s="548">
        <f t="shared" si="627"/>
        <v>0</v>
      </c>
      <c r="BR678" s="548">
        <f t="shared" si="627"/>
        <v>0</v>
      </c>
      <c r="BS678" s="548">
        <f t="shared" si="627"/>
        <v>0</v>
      </c>
      <c r="BT678" s="548">
        <f t="shared" si="627"/>
        <v>0</v>
      </c>
      <c r="BU678" s="548">
        <f t="shared" si="627"/>
        <v>0</v>
      </c>
      <c r="BV678" s="548">
        <f t="shared" si="627"/>
        <v>0</v>
      </c>
      <c r="BW678" s="548">
        <f t="shared" si="627"/>
        <v>0</v>
      </c>
      <c r="BX678" s="548">
        <f t="shared" si="627"/>
        <v>0</v>
      </c>
      <c r="BY678" s="548">
        <f t="shared" si="627"/>
        <v>0</v>
      </c>
      <c r="BZ678" s="548">
        <f t="shared" ref="BZ678" si="628">SUM(BZ675:BZ677)</f>
        <v>157396240</v>
      </c>
      <c r="CA678" s="548">
        <f t="shared" ref="CA678:CB678" si="629">SUM(CA675:CA677)</f>
        <v>71520000</v>
      </c>
      <c r="CB678" s="548">
        <f t="shared" si="629"/>
        <v>21200000</v>
      </c>
      <c r="CC678" s="471"/>
      <c r="CD678" s="471"/>
      <c r="CE678" s="471"/>
      <c r="CF678" s="471"/>
      <c r="CG678" s="471"/>
      <c r="CH678" s="471"/>
      <c r="CI678" s="471"/>
      <c r="CJ678" s="471"/>
      <c r="CK678" s="471"/>
      <c r="CL678" s="471"/>
      <c r="CM678" s="471"/>
      <c r="CN678" s="471"/>
      <c r="CO678" s="471"/>
      <c r="CP678" s="471"/>
      <c r="CQ678" s="471"/>
      <c r="CR678" s="471"/>
      <c r="CS678" s="471"/>
      <c r="CT678" s="471"/>
      <c r="CU678" s="471"/>
      <c r="CV678" s="471"/>
      <c r="CW678" s="471"/>
      <c r="CX678" s="471"/>
      <c r="CY678" s="471"/>
      <c r="CZ678" s="471"/>
      <c r="DA678" s="471"/>
      <c r="DB678" s="471"/>
      <c r="DC678" s="471"/>
      <c r="DD678" s="471"/>
      <c r="DE678" s="471"/>
      <c r="DF678" s="471"/>
      <c r="DG678" s="471"/>
      <c r="DH678" s="471"/>
      <c r="DI678" s="471"/>
      <c r="DJ678" s="471"/>
      <c r="DK678" s="471"/>
      <c r="DL678" s="471"/>
      <c r="DM678" s="471"/>
      <c r="DN678" s="471"/>
      <c r="DO678" s="471"/>
      <c r="DP678" s="471"/>
      <c r="DQ678" s="471"/>
      <c r="DR678" s="471"/>
      <c r="DS678" s="471"/>
      <c r="DT678" s="471"/>
      <c r="DU678" s="471"/>
      <c r="DV678" s="471"/>
      <c r="DW678" s="471"/>
      <c r="DX678" s="471"/>
      <c r="DY678" s="471"/>
      <c r="DZ678" s="471"/>
      <c r="EA678" s="471"/>
      <c r="EB678" s="471"/>
      <c r="EC678" s="471"/>
      <c r="ED678" s="471"/>
      <c r="EE678" s="471"/>
      <c r="EF678" s="471"/>
      <c r="EG678" s="471"/>
      <c r="EH678" s="471"/>
      <c r="EI678" s="471"/>
      <c r="EJ678" s="471"/>
      <c r="EK678" s="471"/>
      <c r="EL678" s="471"/>
      <c r="EM678" s="471"/>
      <c r="EN678" s="471"/>
      <c r="EO678" s="471"/>
      <c r="EP678" s="471"/>
      <c r="EQ678" s="471"/>
      <c r="ER678" s="471"/>
      <c r="ES678" s="471"/>
      <c r="ET678" s="471"/>
      <c r="EU678" s="472"/>
    </row>
    <row r="679" spans="1:151" s="473" customFormat="1" x14ac:dyDescent="0.2">
      <c r="A679" s="139"/>
      <c r="B679" s="370"/>
      <c r="C679" s="82"/>
      <c r="D679" s="81"/>
      <c r="E679" s="82"/>
      <c r="F679" s="82"/>
      <c r="G679" s="81"/>
      <c r="H679" s="82"/>
      <c r="I679" s="81"/>
      <c r="J679" s="82"/>
      <c r="K679" s="179"/>
      <c r="L679" s="179"/>
      <c r="M679" s="179"/>
      <c r="N679" s="82"/>
      <c r="O679" s="82"/>
      <c r="P679" s="81"/>
      <c r="Q679" s="82"/>
      <c r="R679" s="554">
        <f t="shared" ref="R679:BY679" si="630">R678</f>
        <v>0</v>
      </c>
      <c r="S679" s="554">
        <f t="shared" si="630"/>
        <v>0</v>
      </c>
      <c r="T679" s="554">
        <f t="shared" si="630"/>
        <v>0</v>
      </c>
      <c r="U679" s="554">
        <f t="shared" si="630"/>
        <v>0</v>
      </c>
      <c r="V679" s="554">
        <f t="shared" si="630"/>
        <v>0</v>
      </c>
      <c r="W679" s="554">
        <f t="shared" si="630"/>
        <v>0</v>
      </c>
      <c r="X679" s="554">
        <f t="shared" si="630"/>
        <v>0</v>
      </c>
      <c r="Y679" s="554">
        <f t="shared" si="630"/>
        <v>0</v>
      </c>
      <c r="Z679" s="554">
        <f t="shared" si="630"/>
        <v>0</v>
      </c>
      <c r="AA679" s="554">
        <f t="shared" si="630"/>
        <v>0</v>
      </c>
      <c r="AB679" s="554">
        <f t="shared" si="630"/>
        <v>0</v>
      </c>
      <c r="AC679" s="554">
        <f t="shared" si="630"/>
        <v>0</v>
      </c>
      <c r="AD679" s="554">
        <f t="shared" si="630"/>
        <v>0</v>
      </c>
      <c r="AE679" s="554">
        <f t="shared" si="630"/>
        <v>0</v>
      </c>
      <c r="AF679" s="554">
        <f t="shared" si="630"/>
        <v>0</v>
      </c>
      <c r="AG679" s="554">
        <f t="shared" si="630"/>
        <v>0</v>
      </c>
      <c r="AH679" s="554">
        <f t="shared" si="630"/>
        <v>0</v>
      </c>
      <c r="AI679" s="554">
        <f t="shared" si="630"/>
        <v>0</v>
      </c>
      <c r="AJ679" s="554">
        <f t="shared" si="630"/>
        <v>0</v>
      </c>
      <c r="AK679" s="554">
        <f t="shared" si="630"/>
        <v>0</v>
      </c>
      <c r="AL679" s="554">
        <f t="shared" si="630"/>
        <v>0</v>
      </c>
      <c r="AM679" s="554">
        <f t="shared" si="630"/>
        <v>0</v>
      </c>
      <c r="AN679" s="554">
        <f t="shared" si="630"/>
        <v>0</v>
      </c>
      <c r="AO679" s="554">
        <f t="shared" si="630"/>
        <v>0</v>
      </c>
      <c r="AP679" s="554">
        <f t="shared" si="630"/>
        <v>0</v>
      </c>
      <c r="AQ679" s="554">
        <f t="shared" si="630"/>
        <v>0</v>
      </c>
      <c r="AR679" s="554">
        <f t="shared" si="630"/>
        <v>0</v>
      </c>
      <c r="AS679" s="554">
        <f t="shared" si="630"/>
        <v>130000000</v>
      </c>
      <c r="AT679" s="554">
        <f t="shared" si="630"/>
        <v>44123760</v>
      </c>
      <c r="AU679" s="554">
        <f t="shared" si="630"/>
        <v>13280000</v>
      </c>
      <c r="AV679" s="554">
        <f t="shared" si="630"/>
        <v>0</v>
      </c>
      <c r="AW679" s="554">
        <f t="shared" si="630"/>
        <v>0</v>
      </c>
      <c r="AX679" s="554">
        <f t="shared" si="630"/>
        <v>0</v>
      </c>
      <c r="AY679" s="554">
        <f t="shared" si="630"/>
        <v>0</v>
      </c>
      <c r="AZ679" s="554">
        <f t="shared" si="630"/>
        <v>0</v>
      </c>
      <c r="BA679" s="554">
        <f t="shared" si="630"/>
        <v>0</v>
      </c>
      <c r="BB679" s="554">
        <f t="shared" si="630"/>
        <v>0</v>
      </c>
      <c r="BC679" s="554">
        <f t="shared" si="630"/>
        <v>0</v>
      </c>
      <c r="BD679" s="554">
        <f t="shared" si="630"/>
        <v>0</v>
      </c>
      <c r="BE679" s="554">
        <f t="shared" si="630"/>
        <v>0</v>
      </c>
      <c r="BF679" s="554">
        <f t="shared" si="630"/>
        <v>0</v>
      </c>
      <c r="BG679" s="554">
        <f t="shared" si="630"/>
        <v>0</v>
      </c>
      <c r="BH679" s="554">
        <f t="shared" si="630"/>
        <v>0</v>
      </c>
      <c r="BI679" s="554">
        <f t="shared" si="630"/>
        <v>0</v>
      </c>
      <c r="BJ679" s="554">
        <f t="shared" si="630"/>
        <v>0</v>
      </c>
      <c r="BK679" s="554">
        <f t="shared" si="630"/>
        <v>27396240</v>
      </c>
      <c r="BL679" s="554">
        <f t="shared" si="630"/>
        <v>27396240</v>
      </c>
      <c r="BM679" s="554">
        <f t="shared" si="630"/>
        <v>7920000</v>
      </c>
      <c r="BN679" s="554">
        <f t="shared" si="630"/>
        <v>0</v>
      </c>
      <c r="BO679" s="554">
        <f t="shared" si="630"/>
        <v>0</v>
      </c>
      <c r="BP679" s="554">
        <f t="shared" si="630"/>
        <v>0</v>
      </c>
      <c r="BQ679" s="554">
        <f t="shared" si="630"/>
        <v>0</v>
      </c>
      <c r="BR679" s="554">
        <f t="shared" si="630"/>
        <v>0</v>
      </c>
      <c r="BS679" s="554">
        <f t="shared" si="630"/>
        <v>0</v>
      </c>
      <c r="BT679" s="554">
        <f t="shared" si="630"/>
        <v>0</v>
      </c>
      <c r="BU679" s="554">
        <f t="shared" si="630"/>
        <v>0</v>
      </c>
      <c r="BV679" s="554">
        <f t="shared" si="630"/>
        <v>0</v>
      </c>
      <c r="BW679" s="554">
        <f t="shared" si="630"/>
        <v>0</v>
      </c>
      <c r="BX679" s="554">
        <f t="shared" si="630"/>
        <v>0</v>
      </c>
      <c r="BY679" s="554">
        <f t="shared" si="630"/>
        <v>0</v>
      </c>
      <c r="BZ679" s="554">
        <f t="shared" ref="BZ679" si="631">BZ678</f>
        <v>157396240</v>
      </c>
      <c r="CA679" s="554">
        <f t="shared" ref="CA679:CB679" si="632">CA678</f>
        <v>71520000</v>
      </c>
      <c r="CB679" s="554">
        <f t="shared" si="632"/>
        <v>21200000</v>
      </c>
      <c r="CC679" s="471"/>
      <c r="CD679" s="471"/>
      <c r="CE679" s="471"/>
      <c r="CF679" s="471"/>
      <c r="CG679" s="471"/>
      <c r="CH679" s="471"/>
      <c r="CI679" s="471"/>
      <c r="CJ679" s="471"/>
      <c r="CK679" s="471"/>
      <c r="CL679" s="471"/>
      <c r="CM679" s="471"/>
      <c r="CN679" s="471"/>
      <c r="CO679" s="471"/>
      <c r="CP679" s="471"/>
      <c r="CQ679" s="471"/>
      <c r="CR679" s="471"/>
      <c r="CS679" s="471"/>
      <c r="CT679" s="471"/>
      <c r="CU679" s="471"/>
      <c r="CV679" s="471"/>
      <c r="CW679" s="471"/>
      <c r="CX679" s="471"/>
      <c r="CY679" s="471"/>
      <c r="CZ679" s="471"/>
      <c r="DA679" s="471"/>
      <c r="DB679" s="471"/>
      <c r="DC679" s="471"/>
      <c r="DD679" s="471"/>
      <c r="DE679" s="471"/>
      <c r="DF679" s="471"/>
      <c r="DG679" s="471"/>
      <c r="DH679" s="471"/>
      <c r="DI679" s="471"/>
      <c r="DJ679" s="471"/>
      <c r="DK679" s="471"/>
      <c r="DL679" s="471"/>
      <c r="DM679" s="471"/>
      <c r="DN679" s="471"/>
      <c r="DO679" s="471"/>
      <c r="DP679" s="471"/>
      <c r="DQ679" s="471"/>
      <c r="DR679" s="471"/>
      <c r="DS679" s="471"/>
      <c r="DT679" s="471"/>
      <c r="DU679" s="471"/>
      <c r="DV679" s="471"/>
      <c r="DW679" s="471"/>
      <c r="DX679" s="471"/>
      <c r="DY679" s="471"/>
      <c r="DZ679" s="471"/>
      <c r="EA679" s="471"/>
      <c r="EB679" s="471"/>
      <c r="EC679" s="471"/>
      <c r="ED679" s="471"/>
      <c r="EE679" s="471"/>
      <c r="EF679" s="471"/>
      <c r="EG679" s="471"/>
      <c r="EH679" s="471"/>
      <c r="EI679" s="471"/>
      <c r="EJ679" s="471"/>
      <c r="EK679" s="471"/>
      <c r="EL679" s="471"/>
      <c r="EM679" s="471"/>
      <c r="EN679" s="471"/>
      <c r="EO679" s="471"/>
      <c r="EP679" s="471"/>
      <c r="EQ679" s="471"/>
      <c r="ER679" s="471"/>
      <c r="ES679" s="471"/>
      <c r="ET679" s="471"/>
      <c r="EU679" s="472"/>
    </row>
    <row r="680" spans="1:151" s="473" customFormat="1" x14ac:dyDescent="0.2">
      <c r="A680" s="84"/>
      <c r="B680" s="84"/>
      <c r="C680" s="85"/>
      <c r="D680" s="84"/>
      <c r="E680" s="85"/>
      <c r="F680" s="85"/>
      <c r="G680" s="84"/>
      <c r="H680" s="85"/>
      <c r="I680" s="84"/>
      <c r="J680" s="85"/>
      <c r="K680" s="182"/>
      <c r="L680" s="182"/>
      <c r="M680" s="182"/>
      <c r="N680" s="85"/>
      <c r="O680" s="85"/>
      <c r="P680" s="84"/>
      <c r="Q680" s="85"/>
      <c r="R680" s="560">
        <f t="shared" ref="R680:BY680" si="633">R679+R671+R643+R629+R561</f>
        <v>0</v>
      </c>
      <c r="S680" s="560">
        <f t="shared" si="633"/>
        <v>0</v>
      </c>
      <c r="T680" s="560">
        <f t="shared" si="633"/>
        <v>0</v>
      </c>
      <c r="U680" s="560">
        <f t="shared" si="633"/>
        <v>0</v>
      </c>
      <c r="V680" s="560">
        <f t="shared" si="633"/>
        <v>0</v>
      </c>
      <c r="W680" s="560">
        <f t="shared" si="633"/>
        <v>0</v>
      </c>
      <c r="X680" s="560">
        <f t="shared" si="633"/>
        <v>0</v>
      </c>
      <c r="Y680" s="560">
        <f t="shared" si="633"/>
        <v>0</v>
      </c>
      <c r="Z680" s="560">
        <f t="shared" si="633"/>
        <v>0</v>
      </c>
      <c r="AA680" s="560">
        <f t="shared" si="633"/>
        <v>0</v>
      </c>
      <c r="AB680" s="560">
        <f t="shared" si="633"/>
        <v>0</v>
      </c>
      <c r="AC680" s="560">
        <f t="shared" si="633"/>
        <v>0</v>
      </c>
      <c r="AD680" s="560">
        <f t="shared" si="633"/>
        <v>0</v>
      </c>
      <c r="AE680" s="560">
        <f t="shared" si="633"/>
        <v>0</v>
      </c>
      <c r="AF680" s="560">
        <f t="shared" si="633"/>
        <v>0</v>
      </c>
      <c r="AG680" s="560">
        <f t="shared" si="633"/>
        <v>0</v>
      </c>
      <c r="AH680" s="560">
        <f t="shared" si="633"/>
        <v>0</v>
      </c>
      <c r="AI680" s="560">
        <f t="shared" si="633"/>
        <v>0</v>
      </c>
      <c r="AJ680" s="560">
        <f t="shared" si="633"/>
        <v>0</v>
      </c>
      <c r="AK680" s="560">
        <f t="shared" si="633"/>
        <v>0</v>
      </c>
      <c r="AL680" s="560">
        <f t="shared" si="633"/>
        <v>0</v>
      </c>
      <c r="AM680" s="560">
        <f t="shared" si="633"/>
        <v>4361170623</v>
      </c>
      <c r="AN680" s="560">
        <f t="shared" si="633"/>
        <v>2177556296</v>
      </c>
      <c r="AO680" s="560">
        <f t="shared" si="633"/>
        <v>511662000</v>
      </c>
      <c r="AP680" s="560">
        <f t="shared" si="633"/>
        <v>8603059408</v>
      </c>
      <c r="AQ680" s="560">
        <f t="shared" si="633"/>
        <v>4773326700</v>
      </c>
      <c r="AR680" s="560">
        <f t="shared" si="633"/>
        <v>0</v>
      </c>
      <c r="AS680" s="560">
        <f t="shared" si="633"/>
        <v>17584174779</v>
      </c>
      <c r="AT680" s="560">
        <f t="shared" si="633"/>
        <v>8040525497</v>
      </c>
      <c r="AU680" s="560">
        <f t="shared" si="633"/>
        <v>51993368</v>
      </c>
      <c r="AV680" s="560">
        <f t="shared" si="633"/>
        <v>9177647792</v>
      </c>
      <c r="AW680" s="560">
        <f t="shared" si="633"/>
        <v>8344840000</v>
      </c>
      <c r="AX680" s="560">
        <f t="shared" si="633"/>
        <v>1339170696</v>
      </c>
      <c r="AY680" s="560">
        <f t="shared" si="633"/>
        <v>0</v>
      </c>
      <c r="AZ680" s="560">
        <f t="shared" si="633"/>
        <v>0</v>
      </c>
      <c r="BA680" s="560">
        <f t="shared" si="633"/>
        <v>0</v>
      </c>
      <c r="BB680" s="560">
        <f t="shared" si="633"/>
        <v>0</v>
      </c>
      <c r="BC680" s="560">
        <f t="shared" si="633"/>
        <v>0</v>
      </c>
      <c r="BD680" s="560">
        <f t="shared" si="633"/>
        <v>0</v>
      </c>
      <c r="BE680" s="560">
        <f t="shared" si="633"/>
        <v>0</v>
      </c>
      <c r="BF680" s="560">
        <f t="shared" si="633"/>
        <v>0</v>
      </c>
      <c r="BG680" s="560">
        <f t="shared" si="633"/>
        <v>0</v>
      </c>
      <c r="BH680" s="560">
        <f t="shared" si="633"/>
        <v>0</v>
      </c>
      <c r="BI680" s="560">
        <f t="shared" si="633"/>
        <v>0</v>
      </c>
      <c r="BJ680" s="560">
        <f t="shared" si="633"/>
        <v>0</v>
      </c>
      <c r="BK680" s="560">
        <f t="shared" si="633"/>
        <v>834000000</v>
      </c>
      <c r="BL680" s="560">
        <f t="shared" si="633"/>
        <v>285376240</v>
      </c>
      <c r="BM680" s="560">
        <f t="shared" si="633"/>
        <v>64560000</v>
      </c>
      <c r="BN680" s="560">
        <f t="shared" si="633"/>
        <v>0</v>
      </c>
      <c r="BO680" s="560">
        <f t="shared" si="633"/>
        <v>0</v>
      </c>
      <c r="BP680" s="560">
        <f t="shared" si="633"/>
        <v>0</v>
      </c>
      <c r="BQ680" s="560">
        <f t="shared" si="633"/>
        <v>0</v>
      </c>
      <c r="BR680" s="560">
        <f t="shared" si="633"/>
        <v>0</v>
      </c>
      <c r="BS680" s="560">
        <f t="shared" si="633"/>
        <v>0</v>
      </c>
      <c r="BT680" s="560">
        <f t="shared" si="633"/>
        <v>0</v>
      </c>
      <c r="BU680" s="560">
        <f t="shared" si="633"/>
        <v>0</v>
      </c>
      <c r="BV680" s="560">
        <f t="shared" si="633"/>
        <v>0</v>
      </c>
      <c r="BW680" s="560">
        <f t="shared" si="633"/>
        <v>12289091884</v>
      </c>
      <c r="BX680" s="560">
        <f t="shared" si="633"/>
        <v>1062767580</v>
      </c>
      <c r="BY680" s="560">
        <f t="shared" si="633"/>
        <v>31473576</v>
      </c>
      <c r="BZ680" s="560">
        <f t="shared" ref="BZ680" si="634">BZ679+BZ671+BZ643+BZ629+BZ561</f>
        <v>52849144486</v>
      </c>
      <c r="CA680" s="560">
        <f t="shared" ref="CA680:CB680" si="635">CA679+CA671+CA643+CA629+CA561</f>
        <v>24684392313</v>
      </c>
      <c r="CB680" s="560">
        <f t="shared" si="635"/>
        <v>1998859640</v>
      </c>
      <c r="CC680" s="471"/>
      <c r="CD680" s="471"/>
      <c r="CE680" s="471"/>
      <c r="CF680" s="471"/>
      <c r="CG680" s="471"/>
      <c r="CH680" s="471"/>
      <c r="CI680" s="471"/>
      <c r="CJ680" s="471"/>
      <c r="CK680" s="471"/>
      <c r="CL680" s="471"/>
      <c r="CM680" s="471"/>
      <c r="CN680" s="471"/>
      <c r="CO680" s="471"/>
      <c r="CP680" s="471"/>
      <c r="CQ680" s="471"/>
      <c r="CR680" s="471"/>
      <c r="CS680" s="471"/>
      <c r="CT680" s="471"/>
      <c r="CU680" s="471"/>
      <c r="CV680" s="471"/>
      <c r="CW680" s="471"/>
      <c r="CX680" s="471"/>
      <c r="CY680" s="471"/>
      <c r="CZ680" s="471"/>
      <c r="DA680" s="471"/>
      <c r="DB680" s="471"/>
      <c r="DC680" s="471"/>
      <c r="DD680" s="471"/>
      <c r="DE680" s="471"/>
      <c r="DF680" s="471"/>
      <c r="DG680" s="471"/>
      <c r="DH680" s="471"/>
      <c r="DI680" s="471"/>
      <c r="DJ680" s="471"/>
      <c r="DK680" s="471"/>
      <c r="DL680" s="471"/>
      <c r="DM680" s="471"/>
      <c r="DN680" s="471"/>
      <c r="DO680" s="471"/>
      <c r="DP680" s="471"/>
      <c r="DQ680" s="471"/>
      <c r="DR680" s="471"/>
      <c r="DS680" s="471"/>
      <c r="DT680" s="471"/>
      <c r="DU680" s="471"/>
      <c r="DV680" s="471"/>
      <c r="DW680" s="471"/>
      <c r="DX680" s="471"/>
      <c r="DY680" s="471"/>
      <c r="DZ680" s="471"/>
      <c r="EA680" s="471"/>
      <c r="EB680" s="471"/>
      <c r="EC680" s="471"/>
      <c r="ED680" s="471"/>
      <c r="EE680" s="471"/>
      <c r="EF680" s="471"/>
      <c r="EG680" s="471"/>
      <c r="EH680" s="471"/>
      <c r="EI680" s="471"/>
      <c r="EJ680" s="471"/>
      <c r="EK680" s="471"/>
      <c r="EL680" s="471"/>
      <c r="EM680" s="471"/>
      <c r="EN680" s="471"/>
      <c r="EO680" s="471"/>
      <c r="EP680" s="471"/>
      <c r="EQ680" s="471"/>
      <c r="ER680" s="471"/>
      <c r="ES680" s="471"/>
      <c r="ET680" s="471"/>
      <c r="EU680" s="472"/>
    </row>
    <row r="681" spans="1:151" s="473" customFormat="1" x14ac:dyDescent="0.2">
      <c r="A681" s="87"/>
      <c r="B681" s="87"/>
      <c r="C681" s="88"/>
      <c r="D681" s="87"/>
      <c r="E681" s="88"/>
      <c r="F681" s="88"/>
      <c r="G681" s="87"/>
      <c r="H681" s="88"/>
      <c r="I681" s="87"/>
      <c r="J681" s="88"/>
      <c r="K681" s="420"/>
      <c r="L681" s="420"/>
      <c r="M681" s="420"/>
      <c r="N681" s="88"/>
      <c r="O681" s="88"/>
      <c r="P681" s="87"/>
      <c r="Q681" s="88"/>
      <c r="R681" s="561">
        <f t="shared" ref="R681:BY681" si="636">R680</f>
        <v>0</v>
      </c>
      <c r="S681" s="561">
        <f t="shared" si="636"/>
        <v>0</v>
      </c>
      <c r="T681" s="561">
        <f t="shared" si="636"/>
        <v>0</v>
      </c>
      <c r="U681" s="561">
        <f t="shared" si="636"/>
        <v>0</v>
      </c>
      <c r="V681" s="561">
        <f t="shared" si="636"/>
        <v>0</v>
      </c>
      <c r="W681" s="561">
        <f t="shared" si="636"/>
        <v>0</v>
      </c>
      <c r="X681" s="561">
        <f t="shared" si="636"/>
        <v>0</v>
      </c>
      <c r="Y681" s="561">
        <f t="shared" si="636"/>
        <v>0</v>
      </c>
      <c r="Z681" s="561">
        <f t="shared" si="636"/>
        <v>0</v>
      </c>
      <c r="AA681" s="561">
        <f t="shared" si="636"/>
        <v>0</v>
      </c>
      <c r="AB681" s="561">
        <f t="shared" si="636"/>
        <v>0</v>
      </c>
      <c r="AC681" s="561">
        <f t="shared" si="636"/>
        <v>0</v>
      </c>
      <c r="AD681" s="561">
        <f t="shared" si="636"/>
        <v>0</v>
      </c>
      <c r="AE681" s="561">
        <f t="shared" si="636"/>
        <v>0</v>
      </c>
      <c r="AF681" s="561">
        <f t="shared" si="636"/>
        <v>0</v>
      </c>
      <c r="AG681" s="561">
        <f t="shared" si="636"/>
        <v>0</v>
      </c>
      <c r="AH681" s="561">
        <f t="shared" si="636"/>
        <v>0</v>
      </c>
      <c r="AI681" s="561">
        <f t="shared" si="636"/>
        <v>0</v>
      </c>
      <c r="AJ681" s="561">
        <f t="shared" si="636"/>
        <v>0</v>
      </c>
      <c r="AK681" s="561">
        <f t="shared" si="636"/>
        <v>0</v>
      </c>
      <c r="AL681" s="561">
        <f t="shared" si="636"/>
        <v>0</v>
      </c>
      <c r="AM681" s="561">
        <f t="shared" si="636"/>
        <v>4361170623</v>
      </c>
      <c r="AN681" s="561">
        <f t="shared" si="636"/>
        <v>2177556296</v>
      </c>
      <c r="AO681" s="561">
        <f t="shared" si="636"/>
        <v>511662000</v>
      </c>
      <c r="AP681" s="561">
        <f t="shared" si="636"/>
        <v>8603059408</v>
      </c>
      <c r="AQ681" s="561">
        <f t="shared" si="636"/>
        <v>4773326700</v>
      </c>
      <c r="AR681" s="561">
        <f t="shared" si="636"/>
        <v>0</v>
      </c>
      <c r="AS681" s="561">
        <f t="shared" si="636"/>
        <v>17584174779</v>
      </c>
      <c r="AT681" s="561">
        <f t="shared" si="636"/>
        <v>8040525497</v>
      </c>
      <c r="AU681" s="561">
        <f t="shared" si="636"/>
        <v>51993368</v>
      </c>
      <c r="AV681" s="561">
        <f t="shared" si="636"/>
        <v>9177647792</v>
      </c>
      <c r="AW681" s="561">
        <f t="shared" si="636"/>
        <v>8344840000</v>
      </c>
      <c r="AX681" s="561">
        <f t="shared" si="636"/>
        <v>1339170696</v>
      </c>
      <c r="AY681" s="561">
        <f t="shared" si="636"/>
        <v>0</v>
      </c>
      <c r="AZ681" s="561">
        <f t="shared" si="636"/>
        <v>0</v>
      </c>
      <c r="BA681" s="561">
        <f t="shared" si="636"/>
        <v>0</v>
      </c>
      <c r="BB681" s="561">
        <f t="shared" si="636"/>
        <v>0</v>
      </c>
      <c r="BC681" s="561">
        <f t="shared" si="636"/>
        <v>0</v>
      </c>
      <c r="BD681" s="561">
        <f t="shared" si="636"/>
        <v>0</v>
      </c>
      <c r="BE681" s="561">
        <f t="shared" si="636"/>
        <v>0</v>
      </c>
      <c r="BF681" s="561">
        <f t="shared" si="636"/>
        <v>0</v>
      </c>
      <c r="BG681" s="561">
        <f t="shared" si="636"/>
        <v>0</v>
      </c>
      <c r="BH681" s="561">
        <f t="shared" si="636"/>
        <v>0</v>
      </c>
      <c r="BI681" s="561">
        <f t="shared" si="636"/>
        <v>0</v>
      </c>
      <c r="BJ681" s="561">
        <f t="shared" si="636"/>
        <v>0</v>
      </c>
      <c r="BK681" s="561">
        <f t="shared" si="636"/>
        <v>834000000</v>
      </c>
      <c r="BL681" s="561">
        <f t="shared" si="636"/>
        <v>285376240</v>
      </c>
      <c r="BM681" s="561">
        <f t="shared" si="636"/>
        <v>64560000</v>
      </c>
      <c r="BN681" s="561">
        <f t="shared" si="636"/>
        <v>0</v>
      </c>
      <c r="BO681" s="561">
        <f t="shared" si="636"/>
        <v>0</v>
      </c>
      <c r="BP681" s="561">
        <f t="shared" si="636"/>
        <v>0</v>
      </c>
      <c r="BQ681" s="561">
        <f t="shared" si="636"/>
        <v>0</v>
      </c>
      <c r="BR681" s="561">
        <f t="shared" si="636"/>
        <v>0</v>
      </c>
      <c r="BS681" s="561">
        <f t="shared" si="636"/>
        <v>0</v>
      </c>
      <c r="BT681" s="561">
        <f t="shared" si="636"/>
        <v>0</v>
      </c>
      <c r="BU681" s="561">
        <f t="shared" si="636"/>
        <v>0</v>
      </c>
      <c r="BV681" s="561">
        <f t="shared" si="636"/>
        <v>0</v>
      </c>
      <c r="BW681" s="561">
        <f t="shared" si="636"/>
        <v>12289091884</v>
      </c>
      <c r="BX681" s="561">
        <f t="shared" si="636"/>
        <v>1062767580</v>
      </c>
      <c r="BY681" s="561">
        <f t="shared" si="636"/>
        <v>31473576</v>
      </c>
      <c r="BZ681" s="561">
        <f t="shared" ref="BZ681" si="637">BZ680</f>
        <v>52849144486</v>
      </c>
      <c r="CA681" s="561">
        <f t="shared" ref="CA681:CB681" si="638">CA680</f>
        <v>24684392313</v>
      </c>
      <c r="CB681" s="561">
        <f t="shared" si="638"/>
        <v>1998859640</v>
      </c>
      <c r="CC681" s="471"/>
      <c r="CD681" s="471"/>
      <c r="CE681" s="471"/>
      <c r="CF681" s="471"/>
      <c r="CG681" s="471"/>
      <c r="CH681" s="471"/>
      <c r="CI681" s="471"/>
      <c r="CJ681" s="471"/>
      <c r="CK681" s="471"/>
      <c r="CL681" s="471"/>
      <c r="CM681" s="471"/>
      <c r="CN681" s="471"/>
      <c r="CO681" s="471"/>
      <c r="CP681" s="471"/>
      <c r="CQ681" s="471"/>
      <c r="CR681" s="471"/>
      <c r="CS681" s="471"/>
      <c r="CT681" s="471"/>
      <c r="CU681" s="471"/>
      <c r="CV681" s="471"/>
      <c r="CW681" s="471"/>
      <c r="CX681" s="471"/>
      <c r="CY681" s="471"/>
      <c r="CZ681" s="471"/>
      <c r="DA681" s="471"/>
      <c r="DB681" s="471"/>
      <c r="DC681" s="471"/>
      <c r="DD681" s="471"/>
      <c r="DE681" s="471"/>
      <c r="DF681" s="471"/>
      <c r="DG681" s="471"/>
      <c r="DH681" s="471"/>
      <c r="DI681" s="471"/>
      <c r="DJ681" s="471"/>
      <c r="DK681" s="471"/>
      <c r="DL681" s="471"/>
      <c r="DM681" s="471"/>
      <c r="DN681" s="471"/>
      <c r="DO681" s="471"/>
      <c r="DP681" s="471"/>
      <c r="DQ681" s="471"/>
      <c r="DR681" s="471"/>
      <c r="DS681" s="471"/>
      <c r="DT681" s="471"/>
      <c r="DU681" s="471"/>
      <c r="DV681" s="471"/>
      <c r="DW681" s="471"/>
      <c r="DX681" s="471"/>
      <c r="DY681" s="471"/>
      <c r="DZ681" s="471"/>
      <c r="EA681" s="471"/>
      <c r="EB681" s="471"/>
      <c r="EC681" s="471"/>
      <c r="ED681" s="471"/>
      <c r="EE681" s="471"/>
      <c r="EF681" s="471"/>
      <c r="EG681" s="471"/>
      <c r="EH681" s="471"/>
      <c r="EI681" s="471"/>
      <c r="EJ681" s="471"/>
      <c r="EK681" s="471"/>
      <c r="EL681" s="471"/>
      <c r="EM681" s="471"/>
      <c r="EN681" s="471"/>
      <c r="EO681" s="471"/>
      <c r="EP681" s="471"/>
      <c r="EQ681" s="471"/>
      <c r="ER681" s="471"/>
      <c r="ES681" s="471"/>
      <c r="ET681" s="471"/>
      <c r="EU681" s="472"/>
    </row>
    <row r="682" spans="1:151" s="471" customFormat="1" ht="27.75" customHeight="1" x14ac:dyDescent="0.2">
      <c r="A682" s="929" t="s">
        <v>817</v>
      </c>
      <c r="B682" s="930"/>
      <c r="C682" s="930"/>
      <c r="D682" s="421"/>
      <c r="E682" s="421"/>
      <c r="F682" s="421"/>
      <c r="G682" s="421"/>
      <c r="H682" s="421"/>
      <c r="I682" s="421"/>
      <c r="J682" s="421"/>
      <c r="K682" s="422"/>
      <c r="L682" s="422"/>
      <c r="M682" s="422"/>
      <c r="N682" s="421"/>
      <c r="O682" s="421"/>
      <c r="P682" s="423"/>
      <c r="Q682" s="424"/>
      <c r="R682" s="660">
        <f t="shared" ref="R682:BY682" si="639">+R681+R551+R541+R475+R369+R352+R278+R236+R204+R125+R80+R66+R23</f>
        <v>2963763815</v>
      </c>
      <c r="S682" s="660">
        <f t="shared" si="639"/>
        <v>50700000</v>
      </c>
      <c r="T682" s="660">
        <f t="shared" si="639"/>
        <v>15420000</v>
      </c>
      <c r="U682" s="660">
        <f t="shared" si="639"/>
        <v>3797529092</v>
      </c>
      <c r="V682" s="660">
        <f t="shared" si="639"/>
        <v>0</v>
      </c>
      <c r="W682" s="660">
        <f t="shared" si="639"/>
        <v>0</v>
      </c>
      <c r="X682" s="660">
        <f t="shared" si="639"/>
        <v>10961840365</v>
      </c>
      <c r="Y682" s="660">
        <f t="shared" si="639"/>
        <v>2681346078.23</v>
      </c>
      <c r="Z682" s="660">
        <f t="shared" si="639"/>
        <v>245211321.78999999</v>
      </c>
      <c r="AA682" s="660">
        <f t="shared" si="639"/>
        <v>6994835512.3800001</v>
      </c>
      <c r="AB682" s="660">
        <f t="shared" si="639"/>
        <v>850264060</v>
      </c>
      <c r="AC682" s="660">
        <f t="shared" si="639"/>
        <v>208100000</v>
      </c>
      <c r="AD682" s="660">
        <f t="shared" si="639"/>
        <v>293558736</v>
      </c>
      <c r="AE682" s="660">
        <f t="shared" si="639"/>
        <v>119490000</v>
      </c>
      <c r="AF682" s="660">
        <f t="shared" si="639"/>
        <v>34140000</v>
      </c>
      <c r="AG682" s="660">
        <f t="shared" si="639"/>
        <v>893940463</v>
      </c>
      <c r="AH682" s="660">
        <f t="shared" si="639"/>
        <v>548361612</v>
      </c>
      <c r="AI682" s="660">
        <f t="shared" si="639"/>
        <v>168756538</v>
      </c>
      <c r="AJ682" s="660">
        <f t="shared" si="639"/>
        <v>3571563200</v>
      </c>
      <c r="AK682" s="660">
        <f t="shared" si="639"/>
        <v>1103369712</v>
      </c>
      <c r="AL682" s="660">
        <f t="shared" si="639"/>
        <v>227021662</v>
      </c>
      <c r="AM682" s="660">
        <f t="shared" si="639"/>
        <v>4361170623</v>
      </c>
      <c r="AN682" s="660">
        <f t="shared" si="639"/>
        <v>2177556296</v>
      </c>
      <c r="AO682" s="660">
        <f t="shared" si="639"/>
        <v>511662000</v>
      </c>
      <c r="AP682" s="660">
        <f t="shared" si="639"/>
        <v>8603059408</v>
      </c>
      <c r="AQ682" s="660">
        <f t="shared" si="639"/>
        <v>4773326700</v>
      </c>
      <c r="AR682" s="660">
        <f t="shared" si="639"/>
        <v>0</v>
      </c>
      <c r="AS682" s="660">
        <f t="shared" si="639"/>
        <v>17584174779</v>
      </c>
      <c r="AT682" s="660">
        <f t="shared" si="639"/>
        <v>8040525497</v>
      </c>
      <c r="AU682" s="660">
        <f t="shared" si="639"/>
        <v>51993368</v>
      </c>
      <c r="AV682" s="660">
        <f t="shared" si="639"/>
        <v>9177647792</v>
      </c>
      <c r="AW682" s="660">
        <f t="shared" si="639"/>
        <v>8344840000</v>
      </c>
      <c r="AX682" s="660">
        <f t="shared" si="639"/>
        <v>1339170696</v>
      </c>
      <c r="AY682" s="660">
        <f t="shared" si="639"/>
        <v>136503889505</v>
      </c>
      <c r="AZ682" s="660">
        <f t="shared" si="639"/>
        <v>21107471740</v>
      </c>
      <c r="BA682" s="660">
        <f t="shared" si="639"/>
        <v>20400558152</v>
      </c>
      <c r="BB682" s="660">
        <f t="shared" si="639"/>
        <v>26281000000</v>
      </c>
      <c r="BC682" s="660">
        <f t="shared" si="639"/>
        <v>4254155507</v>
      </c>
      <c r="BD682" s="660">
        <f t="shared" si="639"/>
        <v>3036703013</v>
      </c>
      <c r="BE682" s="660">
        <f t="shared" si="639"/>
        <v>9045839438</v>
      </c>
      <c r="BF682" s="660">
        <f t="shared" si="639"/>
        <v>0</v>
      </c>
      <c r="BG682" s="660">
        <f t="shared" si="639"/>
        <v>0</v>
      </c>
      <c r="BH682" s="660">
        <f t="shared" si="639"/>
        <v>2398473229</v>
      </c>
      <c r="BI682" s="660">
        <f t="shared" si="639"/>
        <v>0</v>
      </c>
      <c r="BJ682" s="660">
        <f t="shared" si="639"/>
        <v>0</v>
      </c>
      <c r="BK682" s="660">
        <f t="shared" si="639"/>
        <v>24898060520</v>
      </c>
      <c r="BL682" s="660">
        <f t="shared" si="639"/>
        <v>8588224119</v>
      </c>
      <c r="BM682" s="660">
        <f t="shared" si="639"/>
        <v>2237038854</v>
      </c>
      <c r="BN682" s="660">
        <f t="shared" si="639"/>
        <v>0</v>
      </c>
      <c r="BO682" s="660">
        <f t="shared" si="639"/>
        <v>0</v>
      </c>
      <c r="BP682" s="660">
        <f t="shared" si="639"/>
        <v>0</v>
      </c>
      <c r="BQ682" s="660">
        <f t="shared" si="639"/>
        <v>946131230</v>
      </c>
      <c r="BR682" s="660">
        <f t="shared" si="639"/>
        <v>24150000</v>
      </c>
      <c r="BS682" s="660">
        <f t="shared" si="639"/>
        <v>0</v>
      </c>
      <c r="BT682" s="660">
        <f t="shared" si="639"/>
        <v>25000000000</v>
      </c>
      <c r="BU682" s="660">
        <f t="shared" si="639"/>
        <v>0</v>
      </c>
      <c r="BV682" s="660">
        <f t="shared" si="639"/>
        <v>0</v>
      </c>
      <c r="BW682" s="660">
        <f t="shared" si="639"/>
        <v>13400982202</v>
      </c>
      <c r="BX682" s="660">
        <f t="shared" si="639"/>
        <v>1062767580</v>
      </c>
      <c r="BY682" s="660">
        <f t="shared" si="639"/>
        <v>31473576</v>
      </c>
      <c r="BZ682" s="660">
        <f t="shared" ref="BZ682" si="640">+BZ681+BZ551+BZ541+BZ475+BZ369+BZ352+BZ278+BZ236+BZ204+BZ125+BZ80+BZ66+BZ23</f>
        <v>307677459909.38</v>
      </c>
      <c r="CA682" s="660">
        <f t="shared" ref="CA682:CB682" si="641">+CA681+CA551+CA541+CA475+CA369+CA352+CA278+CA236+CA204+CA125+CA80+CA66+CA23</f>
        <v>67723512419.230003</v>
      </c>
      <c r="CB682" s="660">
        <f t="shared" si="641"/>
        <v>31636649518.790001</v>
      </c>
    </row>
    <row r="683" spans="1:151" s="471" customFormat="1" ht="24.75" customHeight="1" x14ac:dyDescent="0.2">
      <c r="A683" s="931"/>
      <c r="B683" s="931"/>
      <c r="C683" s="931"/>
      <c r="D683" s="931"/>
      <c r="E683" s="931"/>
      <c r="F683" s="931"/>
      <c r="G683" s="931"/>
      <c r="H683" s="425"/>
      <c r="I683" s="425"/>
      <c r="J683" s="425"/>
      <c r="K683" s="426"/>
      <c r="L683" s="426"/>
      <c r="M683" s="426"/>
      <c r="N683" s="425"/>
      <c r="O683" s="425"/>
      <c r="P683" s="425"/>
      <c r="Q683" s="427"/>
      <c r="R683" s="846"/>
      <c r="S683" s="846"/>
      <c r="T683" s="846"/>
      <c r="U683" s="846"/>
      <c r="V683" s="846"/>
      <c r="W683" s="846"/>
      <c r="X683" s="846"/>
      <c r="Y683" s="846"/>
      <c r="Z683" s="846"/>
      <c r="AA683" s="846"/>
      <c r="AB683" s="846"/>
      <c r="AC683" s="846"/>
      <c r="AD683" s="846"/>
      <c r="AE683" s="846"/>
      <c r="AF683" s="846"/>
      <c r="AG683" s="846"/>
      <c r="AH683" s="846"/>
      <c r="AI683" s="846"/>
      <c r="AJ683" s="846"/>
      <c r="AK683" s="846"/>
      <c r="AL683" s="846"/>
      <c r="AM683" s="846"/>
      <c r="AN683" s="846"/>
      <c r="AO683" s="846"/>
      <c r="AP683" s="846"/>
      <c r="AQ683" s="846"/>
      <c r="AR683" s="846"/>
      <c r="AS683" s="846"/>
      <c r="AT683" s="846"/>
      <c r="AU683" s="846"/>
      <c r="AV683" s="846"/>
      <c r="AW683" s="846"/>
      <c r="AX683" s="846"/>
      <c r="AY683" s="846"/>
      <c r="AZ683" s="846"/>
      <c r="BA683" s="846"/>
      <c r="BB683" s="846"/>
      <c r="BC683" s="846"/>
      <c r="BD683" s="846"/>
      <c r="BE683" s="846"/>
      <c r="BF683" s="846"/>
      <c r="BG683" s="846"/>
      <c r="BH683" s="846"/>
      <c r="BI683" s="846"/>
      <c r="BJ683" s="846"/>
      <c r="BK683" s="846"/>
      <c r="BL683" s="846"/>
      <c r="BM683" s="846"/>
      <c r="BN683" s="846"/>
      <c r="BO683" s="846"/>
      <c r="BP683" s="846"/>
      <c r="BQ683" s="846"/>
      <c r="BR683" s="846"/>
      <c r="BS683" s="846"/>
      <c r="BT683" s="846"/>
      <c r="BU683" s="846"/>
      <c r="BV683" s="846"/>
      <c r="BW683" s="846"/>
      <c r="BX683" s="846"/>
      <c r="BY683" s="846"/>
      <c r="BZ683" s="846"/>
      <c r="CA683" s="846"/>
      <c r="CB683" s="846"/>
    </row>
    <row r="684" spans="1:151" s="459" customFormat="1" ht="15.75" x14ac:dyDescent="0.2">
      <c r="A684" s="41" t="s">
        <v>818</v>
      </c>
      <c r="B684" s="42"/>
      <c r="C684" s="43"/>
      <c r="D684" s="42"/>
      <c r="E684" s="42"/>
      <c r="F684" s="42"/>
      <c r="G684" s="42"/>
      <c r="H684" s="43"/>
      <c r="I684" s="42"/>
      <c r="J684" s="42"/>
      <c r="K684" s="330"/>
      <c r="L684" s="330"/>
      <c r="M684" s="330"/>
      <c r="N684" s="42"/>
      <c r="O684" s="43"/>
      <c r="P684" s="42"/>
      <c r="Q684" s="43"/>
      <c r="R684" s="617"/>
      <c r="S684" s="617"/>
      <c r="T684" s="617"/>
      <c r="U684" s="617"/>
      <c r="V684" s="617"/>
      <c r="W684" s="617"/>
      <c r="X684" s="617"/>
      <c r="Y684" s="617"/>
      <c r="Z684" s="617"/>
      <c r="AA684" s="617"/>
      <c r="AB684" s="617"/>
      <c r="AC684" s="617"/>
      <c r="AD684" s="617"/>
      <c r="AE684" s="617"/>
      <c r="AF684" s="617"/>
      <c r="AG684" s="617"/>
      <c r="AH684" s="617"/>
      <c r="AI684" s="617"/>
      <c r="AJ684" s="617"/>
      <c r="AK684" s="617"/>
      <c r="AL684" s="617"/>
      <c r="AM684" s="617"/>
      <c r="AN684" s="617"/>
      <c r="AO684" s="617"/>
      <c r="AP684" s="617"/>
      <c r="AQ684" s="617"/>
      <c r="AR684" s="617"/>
      <c r="AS684" s="617"/>
      <c r="AT684" s="617"/>
      <c r="AU684" s="617"/>
      <c r="AV684" s="617"/>
      <c r="AW684" s="617"/>
      <c r="AX684" s="617"/>
      <c r="AY684" s="617"/>
      <c r="AZ684" s="617"/>
      <c r="BA684" s="617"/>
      <c r="BB684" s="617"/>
      <c r="BC684" s="617"/>
      <c r="BD684" s="617"/>
      <c r="BE684" s="617"/>
      <c r="BF684" s="617"/>
      <c r="BG684" s="617"/>
      <c r="BH684" s="617"/>
      <c r="BI684" s="617"/>
      <c r="BJ684" s="617"/>
      <c r="BK684" s="618"/>
      <c r="BL684" s="618"/>
      <c r="BM684" s="618"/>
      <c r="BN684" s="619"/>
      <c r="BO684" s="619"/>
      <c r="BP684" s="619"/>
      <c r="BQ684" s="617"/>
      <c r="BR684" s="617"/>
      <c r="BS684" s="617"/>
      <c r="BT684" s="617"/>
      <c r="BU684" s="617"/>
      <c r="BV684" s="617"/>
      <c r="BW684" s="617"/>
      <c r="BX684" s="617"/>
      <c r="BY684" s="617"/>
      <c r="BZ684" s="847"/>
      <c r="CA684" s="847"/>
      <c r="CB684" s="847"/>
      <c r="CC684" s="471"/>
      <c r="CD684" s="471"/>
      <c r="CE684" s="471"/>
      <c r="CF684" s="471"/>
      <c r="CG684" s="471"/>
      <c r="CH684" s="471"/>
      <c r="CI684" s="471"/>
      <c r="CJ684" s="471"/>
      <c r="CK684" s="471"/>
      <c r="CL684" s="471"/>
      <c r="CM684" s="471"/>
      <c r="CN684" s="471"/>
      <c r="CO684" s="471"/>
      <c r="CP684" s="471"/>
      <c r="CQ684" s="471"/>
      <c r="CR684" s="471"/>
      <c r="CS684" s="471"/>
      <c r="CT684" s="471"/>
      <c r="CU684" s="471"/>
      <c r="CV684" s="471"/>
      <c r="CW684" s="471"/>
      <c r="CX684" s="471"/>
      <c r="CY684" s="471"/>
      <c r="CZ684" s="471"/>
      <c r="DA684" s="471"/>
      <c r="DB684" s="471"/>
      <c r="DC684" s="471"/>
      <c r="DD684" s="471"/>
      <c r="DE684" s="471"/>
      <c r="DF684" s="471"/>
      <c r="DG684" s="471"/>
      <c r="DH684" s="471"/>
      <c r="DI684" s="471"/>
      <c r="DJ684" s="471"/>
      <c r="DK684" s="471"/>
      <c r="DL684" s="471"/>
    </row>
    <row r="685" spans="1:151" s="459" customFormat="1" ht="15.75" x14ac:dyDescent="0.2">
      <c r="A685" s="44">
        <v>3</v>
      </c>
      <c r="B685" s="45" t="s">
        <v>427</v>
      </c>
      <c r="C685" s="46"/>
      <c r="D685" s="45"/>
      <c r="E685" s="45"/>
      <c r="F685" s="45"/>
      <c r="G685" s="45"/>
      <c r="H685" s="46"/>
      <c r="I685" s="45"/>
      <c r="J685" s="45"/>
      <c r="K685" s="151"/>
      <c r="L685" s="151"/>
      <c r="M685" s="151"/>
      <c r="N685" s="45"/>
      <c r="O685" s="46"/>
      <c r="P685" s="45"/>
      <c r="Q685" s="45"/>
      <c r="R685" s="572"/>
      <c r="S685" s="572"/>
      <c r="T685" s="572"/>
      <c r="U685" s="572"/>
      <c r="V685" s="572"/>
      <c r="W685" s="572"/>
      <c r="X685" s="572"/>
      <c r="Y685" s="572"/>
      <c r="Z685" s="572"/>
      <c r="AA685" s="572"/>
      <c r="AB685" s="572"/>
      <c r="AC685" s="572"/>
      <c r="AD685" s="572"/>
      <c r="AE685" s="572"/>
      <c r="AF685" s="572"/>
      <c r="AG685" s="572"/>
      <c r="AH685" s="572"/>
      <c r="AI685" s="572"/>
      <c r="AJ685" s="572"/>
      <c r="AK685" s="572"/>
      <c r="AL685" s="572"/>
      <c r="AM685" s="572"/>
      <c r="AN685" s="572"/>
      <c r="AO685" s="572"/>
      <c r="AP685" s="572"/>
      <c r="AQ685" s="572"/>
      <c r="AR685" s="572"/>
      <c r="AS685" s="572"/>
      <c r="AT685" s="572"/>
      <c r="AU685" s="572"/>
      <c r="AV685" s="572"/>
      <c r="AW685" s="572"/>
      <c r="AX685" s="572"/>
      <c r="AY685" s="572"/>
      <c r="AZ685" s="572"/>
      <c r="BA685" s="572"/>
      <c r="BB685" s="572"/>
      <c r="BC685" s="572"/>
      <c r="BD685" s="572"/>
      <c r="BE685" s="572"/>
      <c r="BF685" s="572"/>
      <c r="BG685" s="572"/>
      <c r="BH685" s="572"/>
      <c r="BI685" s="572"/>
      <c r="BJ685" s="572"/>
      <c r="BK685" s="573"/>
      <c r="BL685" s="573"/>
      <c r="BM685" s="573"/>
      <c r="BN685" s="572"/>
      <c r="BO685" s="572"/>
      <c r="BP685" s="572"/>
      <c r="BQ685" s="572"/>
      <c r="BR685" s="572"/>
      <c r="BS685" s="572"/>
      <c r="BT685" s="572"/>
      <c r="BU685" s="572"/>
      <c r="BV685" s="572"/>
      <c r="BW685" s="572"/>
      <c r="BX685" s="572"/>
      <c r="BY685" s="572"/>
      <c r="BZ685" s="848"/>
      <c r="CA685" s="848"/>
      <c r="CB685" s="848"/>
    </row>
    <row r="686" spans="1:151" s="459" customFormat="1" ht="15.75" x14ac:dyDescent="0.2">
      <c r="A686" s="96"/>
      <c r="B686" s="152">
        <v>20</v>
      </c>
      <c r="C686" s="51" t="s">
        <v>819</v>
      </c>
      <c r="D686" s="50"/>
      <c r="E686" s="50"/>
      <c r="F686" s="50"/>
      <c r="G686" s="50"/>
      <c r="H686" s="51"/>
      <c r="I686" s="50"/>
      <c r="J686" s="50"/>
      <c r="K686" s="153"/>
      <c r="L686" s="153"/>
      <c r="M686" s="153"/>
      <c r="N686" s="50"/>
      <c r="O686" s="51"/>
      <c r="P686" s="50"/>
      <c r="Q686" s="50"/>
      <c r="R686" s="550"/>
      <c r="S686" s="550"/>
      <c r="T686" s="550"/>
      <c r="U686" s="550"/>
      <c r="V686" s="550"/>
      <c r="W686" s="550"/>
      <c r="X686" s="550"/>
      <c r="Y686" s="550"/>
      <c r="Z686" s="550"/>
      <c r="AA686" s="550"/>
      <c r="AB686" s="550"/>
      <c r="AC686" s="550"/>
      <c r="AD686" s="550"/>
      <c r="AE686" s="550"/>
      <c r="AF686" s="550"/>
      <c r="AG686" s="550"/>
      <c r="AH686" s="550"/>
      <c r="AI686" s="550"/>
      <c r="AJ686" s="550"/>
      <c r="AK686" s="550"/>
      <c r="AL686" s="550"/>
      <c r="AM686" s="550"/>
      <c r="AN686" s="550"/>
      <c r="AO686" s="550"/>
      <c r="AP686" s="550"/>
      <c r="AQ686" s="550"/>
      <c r="AR686" s="550"/>
      <c r="AS686" s="550"/>
      <c r="AT686" s="550"/>
      <c r="AU686" s="550"/>
      <c r="AV686" s="550"/>
      <c r="AW686" s="550"/>
      <c r="AX686" s="550"/>
      <c r="AY686" s="550"/>
      <c r="AZ686" s="550"/>
      <c r="BA686" s="550"/>
      <c r="BB686" s="550"/>
      <c r="BC686" s="550"/>
      <c r="BD686" s="550"/>
      <c r="BE686" s="550"/>
      <c r="BF686" s="550"/>
      <c r="BG686" s="550"/>
      <c r="BH686" s="550"/>
      <c r="BI686" s="550"/>
      <c r="BJ686" s="550"/>
      <c r="BK686" s="551"/>
      <c r="BL686" s="551"/>
      <c r="BM686" s="551"/>
      <c r="BN686" s="550"/>
      <c r="BO686" s="550"/>
      <c r="BP686" s="550"/>
      <c r="BQ686" s="550"/>
      <c r="BR686" s="550"/>
      <c r="BS686" s="550"/>
      <c r="BT686" s="550"/>
      <c r="BU686" s="550"/>
      <c r="BV686" s="550"/>
      <c r="BW686" s="550"/>
      <c r="BX686" s="550"/>
      <c r="BY686" s="550"/>
      <c r="BZ686" s="659"/>
      <c r="CA686" s="659"/>
      <c r="CB686" s="659"/>
    </row>
    <row r="687" spans="1:151" s="459" customFormat="1" ht="15.75" x14ac:dyDescent="0.2">
      <c r="A687" s="54"/>
      <c r="B687" s="96"/>
      <c r="C687" s="508"/>
      <c r="D687" s="516"/>
      <c r="E687" s="508"/>
      <c r="F687" s="508"/>
      <c r="G687" s="274">
        <v>68</v>
      </c>
      <c r="H687" s="100" t="s">
        <v>820</v>
      </c>
      <c r="I687" s="100"/>
      <c r="J687" s="100"/>
      <c r="K687" s="155"/>
      <c r="L687" s="155"/>
      <c r="M687" s="155"/>
      <c r="N687" s="100"/>
      <c r="O687" s="212"/>
      <c r="P687" s="100"/>
      <c r="Q687" s="100"/>
      <c r="R687" s="336"/>
      <c r="S687" s="336"/>
      <c r="T687" s="336"/>
      <c r="U687" s="336"/>
      <c r="V687" s="336"/>
      <c r="W687" s="336"/>
      <c r="X687" s="336"/>
      <c r="Y687" s="336"/>
      <c r="Z687" s="336"/>
      <c r="AA687" s="336"/>
      <c r="AB687" s="336"/>
      <c r="AC687" s="336"/>
      <c r="AD687" s="336"/>
      <c r="AE687" s="336"/>
      <c r="AF687" s="336"/>
      <c r="AG687" s="336"/>
      <c r="AH687" s="336"/>
      <c r="AI687" s="336"/>
      <c r="AJ687" s="336"/>
      <c r="AK687" s="336"/>
      <c r="AL687" s="336"/>
      <c r="AM687" s="336"/>
      <c r="AN687" s="336"/>
      <c r="AO687" s="336"/>
      <c r="AP687" s="336"/>
      <c r="AQ687" s="336"/>
      <c r="AR687" s="336"/>
      <c r="AS687" s="336"/>
      <c r="AT687" s="336"/>
      <c r="AU687" s="336"/>
      <c r="AV687" s="336"/>
      <c r="AW687" s="336"/>
      <c r="AX687" s="336"/>
      <c r="AY687" s="336"/>
      <c r="AZ687" s="336"/>
      <c r="BA687" s="336"/>
      <c r="BB687" s="336"/>
      <c r="BC687" s="336"/>
      <c r="BD687" s="336"/>
      <c r="BE687" s="336"/>
      <c r="BF687" s="336"/>
      <c r="BG687" s="336"/>
      <c r="BH687" s="336"/>
      <c r="BI687" s="336"/>
      <c r="BJ687" s="336"/>
      <c r="BK687" s="552"/>
      <c r="BL687" s="552"/>
      <c r="BM687" s="552"/>
      <c r="BN687" s="336"/>
      <c r="BO687" s="336"/>
      <c r="BP687" s="336"/>
      <c r="BQ687" s="336"/>
      <c r="BR687" s="336"/>
      <c r="BS687" s="336"/>
      <c r="BT687" s="336"/>
      <c r="BU687" s="336"/>
      <c r="BV687" s="336"/>
      <c r="BW687" s="336"/>
      <c r="BX687" s="336"/>
      <c r="BY687" s="336"/>
      <c r="BZ687" s="658"/>
      <c r="CA687" s="658"/>
      <c r="CB687" s="658"/>
    </row>
    <row r="688" spans="1:151" s="11" customFormat="1" ht="58.5" customHeight="1" x14ac:dyDescent="0.2">
      <c r="A688" s="54"/>
      <c r="B688" s="54"/>
      <c r="C688" s="857">
        <v>36</v>
      </c>
      <c r="D688" s="854" t="s">
        <v>821</v>
      </c>
      <c r="E688" s="932">
        <v>0.4</v>
      </c>
      <c r="F688" s="885">
        <v>0.6</v>
      </c>
      <c r="G688" s="58"/>
      <c r="H688" s="55">
        <v>202</v>
      </c>
      <c r="I688" s="56" t="s">
        <v>822</v>
      </c>
      <c r="J688" s="65">
        <v>23</v>
      </c>
      <c r="K688" s="60">
        <v>23</v>
      </c>
      <c r="L688" s="60"/>
      <c r="M688" s="850">
        <v>201700360036</v>
      </c>
      <c r="N688" s="65" t="s">
        <v>823</v>
      </c>
      <c r="O688" s="927" t="s">
        <v>824</v>
      </c>
      <c r="P688" s="933" t="s">
        <v>825</v>
      </c>
      <c r="Q688" s="65" t="s">
        <v>51</v>
      </c>
      <c r="R688" s="539">
        <v>0</v>
      </c>
      <c r="S688" s="539"/>
      <c r="T688" s="539"/>
      <c r="U688" s="539">
        <v>0</v>
      </c>
      <c r="V688" s="539"/>
      <c r="W688" s="539"/>
      <c r="X688" s="539">
        <v>0</v>
      </c>
      <c r="Y688" s="539"/>
      <c r="Z688" s="539"/>
      <c r="AA688" s="539">
        <v>0</v>
      </c>
      <c r="AB688" s="539"/>
      <c r="AC688" s="539"/>
      <c r="AD688" s="539">
        <v>0</v>
      </c>
      <c r="AE688" s="539"/>
      <c r="AF688" s="539"/>
      <c r="AG688" s="539">
        <v>0</v>
      </c>
      <c r="AH688" s="539"/>
      <c r="AI688" s="539"/>
      <c r="AJ688" s="539">
        <v>0</v>
      </c>
      <c r="AK688" s="539"/>
      <c r="AL688" s="539"/>
      <c r="AM688" s="539"/>
      <c r="AN688" s="539"/>
      <c r="AO688" s="539"/>
      <c r="AP688" s="539"/>
      <c r="AQ688" s="539"/>
      <c r="AR688" s="539"/>
      <c r="AS688" s="539">
        <v>0</v>
      </c>
      <c r="AT688" s="547"/>
      <c r="AU688" s="547"/>
      <c r="AV688" s="539">
        <v>0</v>
      </c>
      <c r="AW688" s="539"/>
      <c r="AX688" s="539"/>
      <c r="AY688" s="539"/>
      <c r="AZ688" s="539"/>
      <c r="BA688" s="539"/>
      <c r="BB688" s="539"/>
      <c r="BC688" s="539"/>
      <c r="BD688" s="539"/>
      <c r="BE688" s="539">
        <v>0</v>
      </c>
      <c r="BF688" s="539"/>
      <c r="BG688" s="539"/>
      <c r="BH688" s="539">
        <v>0</v>
      </c>
      <c r="BI688" s="539"/>
      <c r="BJ688" s="539"/>
      <c r="BK688" s="454">
        <v>331574677</v>
      </c>
      <c r="BL688" s="454">
        <v>317350000</v>
      </c>
      <c r="BM688" s="454">
        <v>43810000</v>
      </c>
      <c r="BN688" s="14">
        <f>230600000+600000000</f>
        <v>830600000</v>
      </c>
      <c r="BO688" s="454">
        <v>159400000</v>
      </c>
      <c r="BP688" s="454">
        <v>12400000</v>
      </c>
      <c r="BQ688" s="540"/>
      <c r="BR688" s="542"/>
      <c r="BS688" s="542"/>
      <c r="BT688" s="542"/>
      <c r="BU688" s="542"/>
      <c r="BV688" s="542"/>
      <c r="BW688" s="541">
        <v>12000000</v>
      </c>
      <c r="BX688" s="541">
        <v>1510000</v>
      </c>
      <c r="BY688" s="541">
        <v>1510000</v>
      </c>
      <c r="BZ688" s="539">
        <f t="shared" ref="BZ688:BZ689" si="642">R688+U688+X688+AA688+AD688+AG688+AJ688+AM688+AP688+AS688+AV688+AY688+BB688+BE688+BH688+BK688+BN688+BQ688+BT688+BW688</f>
        <v>1174174677</v>
      </c>
      <c r="CA688" s="539">
        <f t="shared" ref="CA688:CA689" si="643">S688+V688+Y688+AB688+AE688+AH688+AK688+AN688+AQ688+AT688+AW688+AZ688+BC688+BF688+BI688+BL688+BO688+BR688+BU688+BX688</f>
        <v>478260000</v>
      </c>
      <c r="CB688" s="539">
        <f t="shared" ref="CB688:CB689" si="644">T688+W688+Z688+AC688+AF688+AI688+AL688+AO688+AR688+AU688+AX688+BA688+BD688+BG688+BJ688+BM688+BP688+BS688+BV688+BY688</f>
        <v>57720000</v>
      </c>
    </row>
    <row r="689" spans="1:80" s="11" customFormat="1" ht="81.75" customHeight="1" x14ac:dyDescent="0.2">
      <c r="A689" s="54"/>
      <c r="B689" s="54"/>
      <c r="C689" s="857"/>
      <c r="D689" s="854"/>
      <c r="E689" s="932"/>
      <c r="F689" s="885"/>
      <c r="G689" s="64"/>
      <c r="H689" s="55">
        <v>203</v>
      </c>
      <c r="I689" s="56" t="s">
        <v>826</v>
      </c>
      <c r="J689" s="65">
        <v>20</v>
      </c>
      <c r="K689" s="60">
        <v>20</v>
      </c>
      <c r="L689" s="60"/>
      <c r="M689" s="852"/>
      <c r="N689" s="65" t="s">
        <v>823</v>
      </c>
      <c r="O689" s="926"/>
      <c r="P689" s="934"/>
      <c r="Q689" s="65" t="s">
        <v>51</v>
      </c>
      <c r="R689" s="539">
        <v>0</v>
      </c>
      <c r="S689" s="539"/>
      <c r="T689" s="539"/>
      <c r="U689" s="539">
        <v>0</v>
      </c>
      <c r="V689" s="539"/>
      <c r="W689" s="539"/>
      <c r="X689" s="539">
        <v>0</v>
      </c>
      <c r="Y689" s="539"/>
      <c r="Z689" s="539"/>
      <c r="AA689" s="539">
        <v>0</v>
      </c>
      <c r="AB689" s="539"/>
      <c r="AC689" s="539"/>
      <c r="AD689" s="539">
        <v>0</v>
      </c>
      <c r="AE689" s="539"/>
      <c r="AF689" s="539"/>
      <c r="AG689" s="539">
        <v>0</v>
      </c>
      <c r="AH689" s="539"/>
      <c r="AI689" s="539"/>
      <c r="AJ689" s="539">
        <v>0</v>
      </c>
      <c r="AK689" s="539"/>
      <c r="AL689" s="539"/>
      <c r="AM689" s="539"/>
      <c r="AN689" s="539"/>
      <c r="AO689" s="539"/>
      <c r="AP689" s="539"/>
      <c r="AQ689" s="539"/>
      <c r="AR689" s="539"/>
      <c r="AS689" s="539">
        <v>0</v>
      </c>
      <c r="AT689" s="539"/>
      <c r="AU689" s="539"/>
      <c r="AV689" s="539">
        <v>0</v>
      </c>
      <c r="AW689" s="539"/>
      <c r="AX689" s="539"/>
      <c r="AY689" s="539"/>
      <c r="AZ689" s="539"/>
      <c r="BA689" s="539"/>
      <c r="BB689" s="539"/>
      <c r="BC689" s="539"/>
      <c r="BD689" s="539"/>
      <c r="BE689" s="539">
        <v>0</v>
      </c>
      <c r="BF689" s="539"/>
      <c r="BG689" s="539"/>
      <c r="BH689" s="539">
        <v>0</v>
      </c>
      <c r="BI689" s="539"/>
      <c r="BJ689" s="539"/>
      <c r="BK689" s="598">
        <f>168000000</f>
        <v>168000000</v>
      </c>
      <c r="BL689" s="598">
        <v>29260000</v>
      </c>
      <c r="BM689" s="598">
        <v>29260000</v>
      </c>
      <c r="BN689" s="540"/>
      <c r="BO689" s="540"/>
      <c r="BP689" s="540"/>
      <c r="BQ689" s="539">
        <v>0</v>
      </c>
      <c r="BR689" s="541"/>
      <c r="BS689" s="541"/>
      <c r="BT689" s="541"/>
      <c r="BU689" s="541"/>
      <c r="BV689" s="541"/>
      <c r="BW689" s="541">
        <v>0</v>
      </c>
      <c r="BX689" s="541"/>
      <c r="BY689" s="541"/>
      <c r="BZ689" s="539">
        <f t="shared" si="642"/>
        <v>168000000</v>
      </c>
      <c r="CA689" s="539">
        <f t="shared" si="643"/>
        <v>29260000</v>
      </c>
      <c r="CB689" s="539">
        <f t="shared" si="644"/>
        <v>29260000</v>
      </c>
    </row>
    <row r="690" spans="1:80" s="459" customFormat="1" ht="15.75" x14ac:dyDescent="0.2">
      <c r="A690" s="54"/>
      <c r="B690" s="54"/>
      <c r="C690" s="259"/>
      <c r="D690" s="209"/>
      <c r="E690" s="259"/>
      <c r="F690" s="259"/>
      <c r="G690" s="77"/>
      <c r="H690" s="78"/>
      <c r="I690" s="77"/>
      <c r="J690" s="239"/>
      <c r="K690" s="140"/>
      <c r="L690" s="140"/>
      <c r="M690" s="140"/>
      <c r="N690" s="239"/>
      <c r="O690" s="239"/>
      <c r="P690" s="234"/>
      <c r="Q690" s="246">
        <f t="shared" ref="Q690:BZ690" si="645">SUM(Q688:Q689)</f>
        <v>0</v>
      </c>
      <c r="R690" s="621">
        <f t="shared" si="645"/>
        <v>0</v>
      </c>
      <c r="S690" s="621"/>
      <c r="T690" s="621"/>
      <c r="U690" s="621">
        <f t="shared" si="645"/>
        <v>0</v>
      </c>
      <c r="V690" s="621"/>
      <c r="W690" s="621"/>
      <c r="X690" s="621">
        <f t="shared" si="645"/>
        <v>0</v>
      </c>
      <c r="Y690" s="621"/>
      <c r="Z690" s="621"/>
      <c r="AA690" s="621">
        <f t="shared" si="645"/>
        <v>0</v>
      </c>
      <c r="AB690" s="621"/>
      <c r="AC690" s="621"/>
      <c r="AD690" s="621">
        <f t="shared" si="645"/>
        <v>0</v>
      </c>
      <c r="AE690" s="621"/>
      <c r="AF690" s="621"/>
      <c r="AG690" s="621">
        <f t="shared" si="645"/>
        <v>0</v>
      </c>
      <c r="AH690" s="621"/>
      <c r="AI690" s="621"/>
      <c r="AJ690" s="621">
        <f t="shared" si="645"/>
        <v>0</v>
      </c>
      <c r="AK690" s="621"/>
      <c r="AL690" s="621"/>
      <c r="AM690" s="621">
        <f t="shared" si="645"/>
        <v>0</v>
      </c>
      <c r="AN690" s="621"/>
      <c r="AO690" s="621"/>
      <c r="AP690" s="621">
        <f t="shared" si="645"/>
        <v>0</v>
      </c>
      <c r="AQ690" s="621"/>
      <c r="AR690" s="621"/>
      <c r="AS690" s="621">
        <f t="shared" si="645"/>
        <v>0</v>
      </c>
      <c r="AT690" s="621"/>
      <c r="AU690" s="621"/>
      <c r="AV690" s="621">
        <f t="shared" si="645"/>
        <v>0</v>
      </c>
      <c r="AW690" s="621"/>
      <c r="AX690" s="621"/>
      <c r="AY690" s="621">
        <f t="shared" si="645"/>
        <v>0</v>
      </c>
      <c r="AZ690" s="621"/>
      <c r="BA690" s="621"/>
      <c r="BB690" s="621">
        <f t="shared" si="645"/>
        <v>0</v>
      </c>
      <c r="BC690" s="621"/>
      <c r="BD690" s="621"/>
      <c r="BE690" s="621">
        <f t="shared" si="645"/>
        <v>0</v>
      </c>
      <c r="BF690" s="621"/>
      <c r="BG690" s="621"/>
      <c r="BH690" s="621">
        <f t="shared" si="645"/>
        <v>0</v>
      </c>
      <c r="BI690" s="621"/>
      <c r="BJ690" s="621"/>
      <c r="BK690" s="621">
        <f t="shared" si="645"/>
        <v>499574677</v>
      </c>
      <c r="BL690" s="621"/>
      <c r="BM690" s="621"/>
      <c r="BN690" s="621">
        <f t="shared" si="645"/>
        <v>830600000</v>
      </c>
      <c r="BO690" s="621"/>
      <c r="BP690" s="621"/>
      <c r="BQ690" s="621">
        <f t="shared" si="645"/>
        <v>0</v>
      </c>
      <c r="BR690" s="621"/>
      <c r="BS690" s="621"/>
      <c r="BT690" s="621">
        <f t="shared" si="645"/>
        <v>0</v>
      </c>
      <c r="BU690" s="621"/>
      <c r="BV690" s="621"/>
      <c r="BW690" s="621">
        <f t="shared" si="645"/>
        <v>12000000</v>
      </c>
      <c r="BX690" s="621"/>
      <c r="BY690" s="621"/>
      <c r="BZ690" s="621">
        <f t="shared" si="645"/>
        <v>1342174677</v>
      </c>
      <c r="CA690" s="621">
        <f t="shared" ref="CA690:CB690" si="646">SUM(CA688:CA689)</f>
        <v>507520000</v>
      </c>
      <c r="CB690" s="621">
        <f t="shared" si="646"/>
        <v>86980000</v>
      </c>
    </row>
    <row r="691" spans="1:80" s="459" customFormat="1" ht="15.75" x14ac:dyDescent="0.2">
      <c r="A691" s="54"/>
      <c r="B691" s="54"/>
      <c r="C691" s="92"/>
      <c r="D691" s="91"/>
      <c r="E691" s="92"/>
      <c r="F691" s="92"/>
      <c r="G691" s="91"/>
      <c r="H691" s="92"/>
      <c r="I691" s="91"/>
      <c r="J691" s="92"/>
      <c r="K691" s="184"/>
      <c r="L691" s="334"/>
      <c r="M691" s="334"/>
      <c r="N691" s="125"/>
      <c r="O691" s="499"/>
      <c r="P691" s="124"/>
      <c r="Q691" s="92"/>
      <c r="R691" s="543"/>
      <c r="S691" s="543"/>
      <c r="T691" s="543"/>
      <c r="U691" s="544"/>
      <c r="V691" s="544"/>
      <c r="W691" s="544"/>
      <c r="X691" s="543"/>
      <c r="Y691" s="543"/>
      <c r="Z691" s="543"/>
      <c r="AA691" s="543"/>
      <c r="AB691" s="543"/>
      <c r="AC691" s="543"/>
      <c r="AD691" s="543"/>
      <c r="AE691" s="543"/>
      <c r="AF691" s="543"/>
      <c r="AG691" s="543"/>
      <c r="AH691" s="543"/>
      <c r="AI691" s="543"/>
      <c r="AJ691" s="543"/>
      <c r="AK691" s="543"/>
      <c r="AL691" s="543"/>
      <c r="AM691" s="543"/>
      <c r="AN691" s="543"/>
      <c r="AO691" s="543"/>
      <c r="AP691" s="543"/>
      <c r="AQ691" s="543"/>
      <c r="AR691" s="543"/>
      <c r="AS691" s="543"/>
      <c r="AT691" s="543"/>
      <c r="AU691" s="543"/>
      <c r="AV691" s="543"/>
      <c r="AW691" s="543"/>
      <c r="AX691" s="543"/>
      <c r="AY691" s="544"/>
      <c r="AZ691" s="544"/>
      <c r="BA691" s="544"/>
      <c r="BB691" s="544"/>
      <c r="BC691" s="544"/>
      <c r="BD691" s="544"/>
      <c r="BE691" s="543"/>
      <c r="BF691" s="543"/>
      <c r="BG691" s="543"/>
      <c r="BH691" s="543"/>
      <c r="BI691" s="543"/>
      <c r="BJ691" s="543"/>
      <c r="BK691" s="545"/>
      <c r="BL691" s="545"/>
      <c r="BM691" s="545"/>
      <c r="BN691" s="546"/>
      <c r="BO691" s="546"/>
      <c r="BP691" s="546"/>
      <c r="BQ691" s="543"/>
      <c r="BR691" s="543"/>
      <c r="BS691" s="543"/>
      <c r="BT691" s="543"/>
      <c r="BU691" s="543"/>
      <c r="BV691" s="543"/>
      <c r="BW691" s="544"/>
      <c r="BX691" s="544"/>
      <c r="BY691" s="544"/>
      <c r="BZ691" s="539"/>
      <c r="CA691" s="539"/>
      <c r="CB691" s="539"/>
    </row>
    <row r="692" spans="1:80" s="459" customFormat="1" ht="15.75" x14ac:dyDescent="0.2">
      <c r="A692" s="54"/>
      <c r="B692" s="54"/>
      <c r="C692" s="508"/>
      <c r="D692" s="229"/>
      <c r="E692" s="230"/>
      <c r="F692" s="230"/>
      <c r="G692" s="274">
        <v>69</v>
      </c>
      <c r="H692" s="100" t="s">
        <v>827</v>
      </c>
      <c r="I692" s="100"/>
      <c r="J692" s="100"/>
      <c r="K692" s="155"/>
      <c r="L692" s="155"/>
      <c r="M692" s="155"/>
      <c r="N692" s="100"/>
      <c r="O692" s="212"/>
      <c r="P692" s="100"/>
      <c r="Q692" s="100"/>
      <c r="R692" s="336"/>
      <c r="S692" s="336"/>
      <c r="T692" s="336"/>
      <c r="U692" s="336"/>
      <c r="V692" s="336"/>
      <c r="W692" s="336"/>
      <c r="X692" s="336"/>
      <c r="Y692" s="336"/>
      <c r="Z692" s="336"/>
      <c r="AA692" s="336"/>
      <c r="AB692" s="336"/>
      <c r="AC692" s="336"/>
      <c r="AD692" s="336"/>
      <c r="AE692" s="336"/>
      <c r="AF692" s="336"/>
      <c r="AG692" s="336"/>
      <c r="AH692" s="336"/>
      <c r="AI692" s="336"/>
      <c r="AJ692" s="336"/>
      <c r="AK692" s="336"/>
      <c r="AL692" s="336"/>
      <c r="AM692" s="336"/>
      <c r="AN692" s="336"/>
      <c r="AO692" s="336"/>
      <c r="AP692" s="336"/>
      <c r="AQ692" s="336"/>
      <c r="AR692" s="336"/>
      <c r="AS692" s="336"/>
      <c r="AT692" s="336"/>
      <c r="AU692" s="336"/>
      <c r="AV692" s="336"/>
      <c r="AW692" s="336"/>
      <c r="AX692" s="336"/>
      <c r="AY692" s="336"/>
      <c r="AZ692" s="336"/>
      <c r="BA692" s="336"/>
      <c r="BB692" s="336"/>
      <c r="BC692" s="336"/>
      <c r="BD692" s="336"/>
      <c r="BE692" s="336"/>
      <c r="BF692" s="336"/>
      <c r="BG692" s="336"/>
      <c r="BH692" s="336"/>
      <c r="BI692" s="336"/>
      <c r="BJ692" s="336"/>
      <c r="BK692" s="552"/>
      <c r="BL692" s="552"/>
      <c r="BM692" s="552"/>
      <c r="BN692" s="336"/>
      <c r="BO692" s="336"/>
      <c r="BP692" s="336"/>
      <c r="BQ692" s="336"/>
      <c r="BR692" s="336"/>
      <c r="BS692" s="336"/>
      <c r="BT692" s="336"/>
      <c r="BU692" s="336"/>
      <c r="BV692" s="336"/>
      <c r="BW692" s="336"/>
      <c r="BX692" s="336"/>
      <c r="BY692" s="336"/>
      <c r="BZ692" s="658"/>
      <c r="CA692" s="658"/>
      <c r="CB692" s="658"/>
    </row>
    <row r="693" spans="1:80" s="11" customFormat="1" ht="81.75" customHeight="1" x14ac:dyDescent="0.2">
      <c r="A693" s="54"/>
      <c r="B693" s="54"/>
      <c r="C693" s="509">
        <v>36</v>
      </c>
      <c r="D693" s="517" t="s">
        <v>821</v>
      </c>
      <c r="E693" s="521">
        <v>0.4</v>
      </c>
      <c r="F693" s="523">
        <v>0.6</v>
      </c>
      <c r="G693" s="56"/>
      <c r="H693" s="57">
        <v>204</v>
      </c>
      <c r="I693" s="56" t="s">
        <v>828</v>
      </c>
      <c r="J693" s="65">
        <v>13</v>
      </c>
      <c r="K693" s="60">
        <v>13</v>
      </c>
      <c r="L693" s="60"/>
      <c r="M693" s="61">
        <v>201700360036</v>
      </c>
      <c r="N693" s="65" t="s">
        <v>823</v>
      </c>
      <c r="O693" s="501" t="s">
        <v>824</v>
      </c>
      <c r="P693" s="233" t="s">
        <v>825</v>
      </c>
      <c r="Q693" s="65" t="s">
        <v>51</v>
      </c>
      <c r="R693" s="539">
        <v>0</v>
      </c>
      <c r="S693" s="539"/>
      <c r="T693" s="539"/>
      <c r="U693" s="539">
        <v>0</v>
      </c>
      <c r="V693" s="539"/>
      <c r="W693" s="539"/>
      <c r="X693" s="539">
        <v>0</v>
      </c>
      <c r="Y693" s="539"/>
      <c r="Z693" s="539"/>
      <c r="AA693" s="539">
        <v>0</v>
      </c>
      <c r="AB693" s="539"/>
      <c r="AC693" s="539"/>
      <c r="AD693" s="539">
        <v>0</v>
      </c>
      <c r="AE693" s="539"/>
      <c r="AF693" s="539"/>
      <c r="AG693" s="539">
        <v>0</v>
      </c>
      <c r="AH693" s="539"/>
      <c r="AI693" s="539"/>
      <c r="AJ693" s="539">
        <v>0</v>
      </c>
      <c r="AK693" s="539"/>
      <c r="AL693" s="539"/>
      <c r="AM693" s="539"/>
      <c r="AN693" s="539"/>
      <c r="AO693" s="539"/>
      <c r="AP693" s="539"/>
      <c r="AQ693" s="539"/>
      <c r="AR693" s="539"/>
      <c r="AS693" s="539">
        <v>0</v>
      </c>
      <c r="AT693" s="539"/>
      <c r="AU693" s="539"/>
      <c r="AV693" s="539">
        <v>0</v>
      </c>
      <c r="AW693" s="539"/>
      <c r="AX693" s="539"/>
      <c r="AY693" s="539"/>
      <c r="AZ693" s="539"/>
      <c r="BA693" s="539"/>
      <c r="BB693" s="539"/>
      <c r="BC693" s="539"/>
      <c r="BD693" s="539"/>
      <c r="BE693" s="539">
        <v>0</v>
      </c>
      <c r="BF693" s="539"/>
      <c r="BG693" s="539"/>
      <c r="BH693" s="539">
        <v>0</v>
      </c>
      <c r="BI693" s="539"/>
      <c r="BJ693" s="539"/>
      <c r="BK693" s="598">
        <v>110200000</v>
      </c>
      <c r="BL693" s="598">
        <v>88360000</v>
      </c>
      <c r="BM693" s="598">
        <v>11160000</v>
      </c>
      <c r="BN693" s="454">
        <v>60000000</v>
      </c>
      <c r="BO693" s="454">
        <v>40276000</v>
      </c>
      <c r="BP693" s="454">
        <v>276000</v>
      </c>
      <c r="BQ693" s="539">
        <v>0</v>
      </c>
      <c r="BR693" s="541"/>
      <c r="BS693" s="541"/>
      <c r="BT693" s="541"/>
      <c r="BU693" s="541"/>
      <c r="BV693" s="541"/>
      <c r="BW693" s="541">
        <v>0</v>
      </c>
      <c r="BX693" s="541"/>
      <c r="BY693" s="541"/>
      <c r="BZ693" s="539">
        <f t="shared" ref="BZ693" si="647">R693+U693+X693+AA693+AD693+AG693+AJ693+AM693+AP693+AS693+AV693+AY693+BB693+BE693+BH693+BK693+BN693+BQ693+BT693+BW693</f>
        <v>170200000</v>
      </c>
      <c r="CA693" s="539">
        <f t="shared" ref="CA693" si="648">S693+V693+Y693+AB693+AE693+AH693+AK693+AN693+AQ693+AT693+AW693+AZ693+BC693+BF693+BI693+BL693+BO693+BR693+BU693+BX693</f>
        <v>128636000</v>
      </c>
      <c r="CB693" s="539">
        <f t="shared" ref="CB693" si="649">T693+W693+Z693+AC693+AF693+AI693+AL693+AO693+AR693+AU693+AX693+BA693+BD693+BG693+BJ693+BM693+BP693+BS693+BV693+BY693</f>
        <v>11436000</v>
      </c>
    </row>
    <row r="694" spans="1:80" s="459" customFormat="1" ht="15.75" x14ac:dyDescent="0.2">
      <c r="A694" s="54"/>
      <c r="B694" s="54"/>
      <c r="C694" s="259"/>
      <c r="D694" s="209"/>
      <c r="E694" s="259"/>
      <c r="F694" s="259"/>
      <c r="G694" s="77"/>
      <c r="H694" s="78"/>
      <c r="I694" s="77"/>
      <c r="J694" s="239"/>
      <c r="K694" s="140"/>
      <c r="L694" s="140"/>
      <c r="M694" s="140"/>
      <c r="N694" s="239"/>
      <c r="O694" s="239"/>
      <c r="P694" s="234"/>
      <c r="Q694" s="239"/>
      <c r="R694" s="548">
        <f t="shared" ref="R694:BZ694" si="650">SUM(R693)</f>
        <v>0</v>
      </c>
      <c r="S694" s="548"/>
      <c r="T694" s="548"/>
      <c r="U694" s="548">
        <f t="shared" ref="U694" si="651">SUM(U693)</f>
        <v>0</v>
      </c>
      <c r="V694" s="548"/>
      <c r="W694" s="548"/>
      <c r="X694" s="548">
        <f t="shared" si="650"/>
        <v>0</v>
      </c>
      <c r="Y694" s="548"/>
      <c r="Z694" s="548"/>
      <c r="AA694" s="548">
        <f t="shared" si="650"/>
        <v>0</v>
      </c>
      <c r="AB694" s="548"/>
      <c r="AC694" s="548"/>
      <c r="AD694" s="548">
        <f t="shared" si="650"/>
        <v>0</v>
      </c>
      <c r="AE694" s="548"/>
      <c r="AF694" s="548"/>
      <c r="AG694" s="548">
        <f t="shared" si="650"/>
        <v>0</v>
      </c>
      <c r="AH694" s="548"/>
      <c r="AI694" s="548"/>
      <c r="AJ694" s="548">
        <f t="shared" si="650"/>
        <v>0</v>
      </c>
      <c r="AK694" s="548"/>
      <c r="AL694" s="548"/>
      <c r="AM694" s="548"/>
      <c r="AN694" s="548"/>
      <c r="AO694" s="548"/>
      <c r="AP694" s="548"/>
      <c r="AQ694" s="548"/>
      <c r="AR694" s="548"/>
      <c r="AS694" s="548">
        <f t="shared" si="650"/>
        <v>0</v>
      </c>
      <c r="AT694" s="548"/>
      <c r="AU694" s="548"/>
      <c r="AV694" s="548">
        <f t="shared" si="650"/>
        <v>0</v>
      </c>
      <c r="AW694" s="548"/>
      <c r="AX694" s="548"/>
      <c r="AY694" s="548">
        <f t="shared" si="650"/>
        <v>0</v>
      </c>
      <c r="AZ694" s="548"/>
      <c r="BA694" s="548"/>
      <c r="BB694" s="548">
        <f t="shared" si="650"/>
        <v>0</v>
      </c>
      <c r="BC694" s="548"/>
      <c r="BD694" s="548"/>
      <c r="BE694" s="548">
        <f t="shared" si="650"/>
        <v>0</v>
      </c>
      <c r="BF694" s="548"/>
      <c r="BG694" s="548"/>
      <c r="BH694" s="548">
        <f t="shared" si="650"/>
        <v>0</v>
      </c>
      <c r="BI694" s="548"/>
      <c r="BJ694" s="548"/>
      <c r="BK694" s="621">
        <f t="shared" si="650"/>
        <v>110200000</v>
      </c>
      <c r="BL694" s="621"/>
      <c r="BM694" s="621"/>
      <c r="BN694" s="621">
        <f t="shared" si="650"/>
        <v>60000000</v>
      </c>
      <c r="BO694" s="621"/>
      <c r="BP694" s="621"/>
      <c r="BQ694" s="621">
        <f t="shared" si="650"/>
        <v>0</v>
      </c>
      <c r="BR694" s="621"/>
      <c r="BS694" s="621"/>
      <c r="BT694" s="621">
        <f t="shared" si="650"/>
        <v>0</v>
      </c>
      <c r="BU694" s="621"/>
      <c r="BV694" s="621"/>
      <c r="BW694" s="621">
        <f t="shared" si="650"/>
        <v>0</v>
      </c>
      <c r="BX694" s="621"/>
      <c r="BY694" s="621"/>
      <c r="BZ694" s="621">
        <f t="shared" si="650"/>
        <v>170200000</v>
      </c>
      <c r="CA694" s="621">
        <f>SUM(CA693)</f>
        <v>128636000</v>
      </c>
      <c r="CB694" s="621">
        <f t="shared" ref="CB694" si="652">SUM(CB693)</f>
        <v>11436000</v>
      </c>
    </row>
    <row r="695" spans="1:80" s="459" customFormat="1" ht="15.75" x14ac:dyDescent="0.2">
      <c r="A695" s="54"/>
      <c r="B695" s="54"/>
      <c r="C695" s="92"/>
      <c r="D695" s="91"/>
      <c r="E695" s="92"/>
      <c r="F695" s="92"/>
      <c r="G695" s="91"/>
      <c r="H695" s="92"/>
      <c r="I695" s="91"/>
      <c r="J695" s="92"/>
      <c r="K695" s="184"/>
      <c r="L695" s="334"/>
      <c r="M695" s="334"/>
      <c r="N695" s="125"/>
      <c r="O695" s="499"/>
      <c r="P695" s="124"/>
      <c r="Q695" s="92"/>
      <c r="R695" s="543"/>
      <c r="S695" s="543"/>
      <c r="T695" s="543"/>
      <c r="U695" s="543"/>
      <c r="V695" s="543"/>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4"/>
      <c r="AZ695" s="544"/>
      <c r="BA695" s="544"/>
      <c r="BB695" s="544"/>
      <c r="BC695" s="544"/>
      <c r="BD695" s="544"/>
      <c r="BE695" s="543"/>
      <c r="BF695" s="543"/>
      <c r="BG695" s="543"/>
      <c r="BH695" s="543"/>
      <c r="BI695" s="543"/>
      <c r="BJ695" s="543"/>
      <c r="BK695" s="545"/>
      <c r="BL695" s="545"/>
      <c r="BM695" s="545"/>
      <c r="BN695" s="546"/>
      <c r="BO695" s="546"/>
      <c r="BP695" s="546"/>
      <c r="BQ695" s="543"/>
      <c r="BR695" s="543"/>
      <c r="BS695" s="543"/>
      <c r="BT695" s="543"/>
      <c r="BU695" s="543"/>
      <c r="BV695" s="543"/>
      <c r="BW695" s="544"/>
      <c r="BX695" s="544"/>
      <c r="BY695" s="544"/>
      <c r="BZ695" s="539"/>
      <c r="CA695" s="539"/>
      <c r="CB695" s="539"/>
    </row>
    <row r="696" spans="1:80" s="459" customFormat="1" ht="15.75" x14ac:dyDescent="0.2">
      <c r="A696" s="54"/>
      <c r="B696" s="54"/>
      <c r="C696" s="508"/>
      <c r="D696" s="229"/>
      <c r="E696" s="230"/>
      <c r="F696" s="230"/>
      <c r="G696" s="274">
        <v>70</v>
      </c>
      <c r="H696" s="99" t="s">
        <v>829</v>
      </c>
      <c r="I696" s="99"/>
      <c r="J696" s="99"/>
      <c r="K696" s="415"/>
      <c r="L696" s="415"/>
      <c r="M696" s="415"/>
      <c r="N696" s="99"/>
      <c r="O696" s="212"/>
      <c r="P696" s="99"/>
      <c r="Q696" s="99"/>
      <c r="R696" s="336"/>
      <c r="S696" s="336"/>
      <c r="T696" s="336"/>
      <c r="U696" s="336"/>
      <c r="V696" s="336"/>
      <c r="W696" s="336"/>
      <c r="X696" s="336"/>
      <c r="Y696" s="336"/>
      <c r="Z696" s="336"/>
      <c r="AA696" s="336"/>
      <c r="AB696" s="336"/>
      <c r="AC696" s="336"/>
      <c r="AD696" s="336"/>
      <c r="AE696" s="336"/>
      <c r="AF696" s="336"/>
      <c r="AG696" s="336"/>
      <c r="AH696" s="336"/>
      <c r="AI696" s="336"/>
      <c r="AJ696" s="336"/>
      <c r="AK696" s="336"/>
      <c r="AL696" s="336"/>
      <c r="AM696" s="336"/>
      <c r="AN696" s="336"/>
      <c r="AO696" s="336"/>
      <c r="AP696" s="336"/>
      <c r="AQ696" s="336"/>
      <c r="AR696" s="336"/>
      <c r="AS696" s="336"/>
      <c r="AT696" s="336"/>
      <c r="AU696" s="336"/>
      <c r="AV696" s="336"/>
      <c r="AW696" s="336"/>
      <c r="AX696" s="336"/>
      <c r="AY696" s="336"/>
      <c r="AZ696" s="336"/>
      <c r="BA696" s="336"/>
      <c r="BB696" s="336"/>
      <c r="BC696" s="336"/>
      <c r="BD696" s="336"/>
      <c r="BE696" s="336"/>
      <c r="BF696" s="336"/>
      <c r="BG696" s="336"/>
      <c r="BH696" s="336"/>
      <c r="BI696" s="336"/>
      <c r="BJ696" s="336"/>
      <c r="BK696" s="552"/>
      <c r="BL696" s="552"/>
      <c r="BM696" s="552"/>
      <c r="BN696" s="336"/>
      <c r="BO696" s="336"/>
      <c r="BP696" s="336"/>
      <c r="BQ696" s="336"/>
      <c r="BR696" s="336"/>
      <c r="BS696" s="336"/>
      <c r="BT696" s="336"/>
      <c r="BU696" s="336"/>
      <c r="BV696" s="336"/>
      <c r="BW696" s="336"/>
      <c r="BX696" s="336"/>
      <c r="BY696" s="336"/>
      <c r="BZ696" s="658"/>
      <c r="CA696" s="658"/>
      <c r="CB696" s="658"/>
    </row>
    <row r="697" spans="1:80" s="11" customFormat="1" ht="54.75" customHeight="1" x14ac:dyDescent="0.2">
      <c r="A697" s="54"/>
      <c r="B697" s="54"/>
      <c r="C697" s="509">
        <v>36</v>
      </c>
      <c r="D697" s="517" t="s">
        <v>821</v>
      </c>
      <c r="E697" s="521">
        <v>0.4</v>
      </c>
      <c r="F697" s="523">
        <v>0.6</v>
      </c>
      <c r="G697" s="56"/>
      <c r="H697" s="57">
        <v>205</v>
      </c>
      <c r="I697" s="56" t="s">
        <v>830</v>
      </c>
      <c r="J697" s="65">
        <v>4</v>
      </c>
      <c r="K697" s="60">
        <v>1</v>
      </c>
      <c r="L697" s="60"/>
      <c r="M697" s="61">
        <v>201700360037</v>
      </c>
      <c r="N697" s="65" t="s">
        <v>823</v>
      </c>
      <c r="O697" s="501" t="s">
        <v>831</v>
      </c>
      <c r="P697" s="233" t="s">
        <v>832</v>
      </c>
      <c r="Q697" s="65" t="s">
        <v>67</v>
      </c>
      <c r="R697" s="539">
        <v>0</v>
      </c>
      <c r="S697" s="539"/>
      <c r="T697" s="539"/>
      <c r="U697" s="539">
        <v>0</v>
      </c>
      <c r="V697" s="539"/>
      <c r="W697" s="539"/>
      <c r="X697" s="539">
        <v>0</v>
      </c>
      <c r="Y697" s="539"/>
      <c r="Z697" s="539"/>
      <c r="AA697" s="539">
        <v>0</v>
      </c>
      <c r="AB697" s="539"/>
      <c r="AC697" s="539"/>
      <c r="AD697" s="539">
        <v>0</v>
      </c>
      <c r="AE697" s="539"/>
      <c r="AF697" s="539"/>
      <c r="AG697" s="539">
        <v>0</v>
      </c>
      <c r="AH697" s="539"/>
      <c r="AI697" s="539"/>
      <c r="AJ697" s="539">
        <v>0</v>
      </c>
      <c r="AK697" s="539"/>
      <c r="AL697" s="539"/>
      <c r="AM697" s="539"/>
      <c r="AN697" s="539"/>
      <c r="AO697" s="539"/>
      <c r="AP697" s="539"/>
      <c r="AQ697" s="539"/>
      <c r="AR697" s="539"/>
      <c r="AS697" s="539">
        <v>0</v>
      </c>
      <c r="AT697" s="539"/>
      <c r="AU697" s="539"/>
      <c r="AV697" s="539">
        <v>0</v>
      </c>
      <c r="AW697" s="539"/>
      <c r="AX697" s="539"/>
      <c r="AY697" s="539"/>
      <c r="AZ697" s="539"/>
      <c r="BA697" s="539"/>
      <c r="BB697" s="539"/>
      <c r="BC697" s="539"/>
      <c r="BD697" s="539"/>
      <c r="BE697" s="539">
        <v>0</v>
      </c>
      <c r="BF697" s="539"/>
      <c r="BG697" s="539"/>
      <c r="BH697" s="539">
        <v>0</v>
      </c>
      <c r="BI697" s="539"/>
      <c r="BJ697" s="539"/>
      <c r="BK697" s="454">
        <v>80000000</v>
      </c>
      <c r="BL697" s="454">
        <v>12000000</v>
      </c>
      <c r="BM697" s="454">
        <v>0</v>
      </c>
      <c r="BN697" s="14">
        <f>131000000+111879742.49</f>
        <v>242879742.49000001</v>
      </c>
      <c r="BO697" s="454">
        <v>52360000</v>
      </c>
      <c r="BP697" s="454">
        <v>9340000</v>
      </c>
      <c r="BQ697" s="539">
        <v>0</v>
      </c>
      <c r="BR697" s="541"/>
      <c r="BS697" s="541"/>
      <c r="BT697" s="541"/>
      <c r="BU697" s="541"/>
      <c r="BV697" s="541"/>
      <c r="BW697" s="454">
        <v>97227642</v>
      </c>
      <c r="BX697" s="454">
        <v>26280000</v>
      </c>
      <c r="BY697" s="454">
        <v>9860000</v>
      </c>
      <c r="BZ697" s="539">
        <f t="shared" ref="BZ697" si="653">R697+U697+X697+AA697+AD697+AG697+AJ697+AM697+AP697+AS697+AV697+AY697+BB697+BE697+BH697+BK697+BN697+BQ697+BT697+BW697</f>
        <v>420107384.49000001</v>
      </c>
      <c r="CA697" s="539">
        <f t="shared" ref="CA697" si="654">S697+V697+Y697+AB697+AE697+AH697+AK697+AN697+AQ697+AT697+AW697+AZ697+BC697+BF697+BI697+BL697+BO697+BR697+BU697+BX697</f>
        <v>90640000</v>
      </c>
      <c r="CB697" s="539">
        <f t="shared" ref="CB697" si="655">T697+W697+Z697+AC697+AF697+AI697+AL697+AO697+AR697+AU697+AX697+BA697+BD697+BG697+BJ697+BM697+BP697+BS697+BV697+BY697</f>
        <v>19200000</v>
      </c>
    </row>
    <row r="698" spans="1:80" s="459" customFormat="1" ht="15.75" x14ac:dyDescent="0.2">
      <c r="A698" s="54"/>
      <c r="B698" s="54"/>
      <c r="C698" s="259"/>
      <c r="D698" s="209"/>
      <c r="E698" s="259"/>
      <c r="F698" s="259"/>
      <c r="G698" s="77"/>
      <c r="H698" s="78"/>
      <c r="I698" s="77"/>
      <c r="J698" s="239"/>
      <c r="K698" s="140"/>
      <c r="L698" s="140"/>
      <c r="M698" s="140"/>
      <c r="N698" s="239"/>
      <c r="O698" s="239"/>
      <c r="P698" s="234"/>
      <c r="Q698" s="239"/>
      <c r="R698" s="548">
        <f t="shared" ref="R698:BZ698" si="656">SUM(R697)</f>
        <v>0</v>
      </c>
      <c r="S698" s="548"/>
      <c r="T698" s="548"/>
      <c r="U698" s="548">
        <f t="shared" ref="U698" si="657">SUM(U697)</f>
        <v>0</v>
      </c>
      <c r="V698" s="548"/>
      <c r="W698" s="548"/>
      <c r="X698" s="548">
        <f t="shared" si="656"/>
        <v>0</v>
      </c>
      <c r="Y698" s="548"/>
      <c r="Z698" s="548"/>
      <c r="AA698" s="548">
        <f t="shared" si="656"/>
        <v>0</v>
      </c>
      <c r="AB698" s="548"/>
      <c r="AC698" s="548"/>
      <c r="AD698" s="548">
        <f t="shared" si="656"/>
        <v>0</v>
      </c>
      <c r="AE698" s="548"/>
      <c r="AF698" s="548"/>
      <c r="AG698" s="548">
        <f t="shared" si="656"/>
        <v>0</v>
      </c>
      <c r="AH698" s="548"/>
      <c r="AI698" s="548"/>
      <c r="AJ698" s="548">
        <f t="shared" si="656"/>
        <v>0</v>
      </c>
      <c r="AK698" s="548"/>
      <c r="AL698" s="548"/>
      <c r="AM698" s="548"/>
      <c r="AN698" s="548"/>
      <c r="AO698" s="548"/>
      <c r="AP698" s="548"/>
      <c r="AQ698" s="548"/>
      <c r="AR698" s="548"/>
      <c r="AS698" s="548">
        <f t="shared" si="656"/>
        <v>0</v>
      </c>
      <c r="AT698" s="548"/>
      <c r="AU698" s="548"/>
      <c r="AV698" s="548">
        <f t="shared" si="656"/>
        <v>0</v>
      </c>
      <c r="AW698" s="548"/>
      <c r="AX698" s="548"/>
      <c r="AY698" s="548">
        <f t="shared" si="656"/>
        <v>0</v>
      </c>
      <c r="AZ698" s="548"/>
      <c r="BA698" s="548"/>
      <c r="BB698" s="548">
        <f t="shared" si="656"/>
        <v>0</v>
      </c>
      <c r="BC698" s="548"/>
      <c r="BD698" s="548"/>
      <c r="BE698" s="548">
        <f t="shared" si="656"/>
        <v>0</v>
      </c>
      <c r="BF698" s="548"/>
      <c r="BG698" s="548"/>
      <c r="BH698" s="548">
        <f t="shared" si="656"/>
        <v>0</v>
      </c>
      <c r="BI698" s="548"/>
      <c r="BJ698" s="548"/>
      <c r="BK698" s="621">
        <f t="shared" si="656"/>
        <v>80000000</v>
      </c>
      <c r="BL698" s="621"/>
      <c r="BM698" s="621"/>
      <c r="BN698" s="661">
        <f t="shared" si="656"/>
        <v>242879742.49000001</v>
      </c>
      <c r="BO698" s="661"/>
      <c r="BP698" s="661"/>
      <c r="BQ698" s="661">
        <f t="shared" si="656"/>
        <v>0</v>
      </c>
      <c r="BR698" s="661"/>
      <c r="BS698" s="661"/>
      <c r="BT698" s="661">
        <f t="shared" si="656"/>
        <v>0</v>
      </c>
      <c r="BU698" s="661"/>
      <c r="BV698" s="661"/>
      <c r="BW698" s="661">
        <f t="shared" si="656"/>
        <v>97227642</v>
      </c>
      <c r="BX698" s="661"/>
      <c r="BY698" s="661"/>
      <c r="BZ698" s="661">
        <f t="shared" si="656"/>
        <v>420107384.49000001</v>
      </c>
      <c r="CA698" s="661">
        <f t="shared" ref="CA698:CB698" si="658">SUM(CA697)</f>
        <v>90640000</v>
      </c>
      <c r="CB698" s="661">
        <f t="shared" si="658"/>
        <v>19200000</v>
      </c>
    </row>
    <row r="699" spans="1:80" s="11" customFormat="1" ht="15.75" x14ac:dyDescent="0.2">
      <c r="A699" s="54"/>
      <c r="B699" s="54"/>
      <c r="C699" s="92"/>
      <c r="D699" s="91"/>
      <c r="E699" s="92"/>
      <c r="F699" s="92"/>
      <c r="G699" s="91"/>
      <c r="H699" s="92"/>
      <c r="I699" s="91"/>
      <c r="J699" s="92"/>
      <c r="K699" s="184"/>
      <c r="L699" s="334"/>
      <c r="M699" s="334"/>
      <c r="N699" s="125"/>
      <c r="O699" s="499"/>
      <c r="P699" s="124"/>
      <c r="Q699" s="92"/>
      <c r="R699" s="543"/>
      <c r="S699" s="543"/>
      <c r="T699" s="543"/>
      <c r="U699" s="543"/>
      <c r="V699" s="543"/>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4"/>
      <c r="AZ699" s="544"/>
      <c r="BA699" s="544"/>
      <c r="BB699" s="544"/>
      <c r="BC699" s="544"/>
      <c r="BD699" s="544"/>
      <c r="BE699" s="543"/>
      <c r="BF699" s="543"/>
      <c r="BG699" s="543"/>
      <c r="BH699" s="543"/>
      <c r="BI699" s="543"/>
      <c r="BJ699" s="543"/>
      <c r="BK699" s="545"/>
      <c r="BL699" s="545"/>
      <c r="BM699" s="545"/>
      <c r="BN699" s="546"/>
      <c r="BO699" s="546"/>
      <c r="BP699" s="546"/>
      <c r="BQ699" s="543"/>
      <c r="BR699" s="543"/>
      <c r="BS699" s="543"/>
      <c r="BT699" s="543"/>
      <c r="BU699" s="543"/>
      <c r="BV699" s="543"/>
      <c r="BW699" s="543"/>
      <c r="BX699" s="543"/>
      <c r="BY699" s="543"/>
      <c r="BZ699" s="539"/>
      <c r="CA699" s="539"/>
      <c r="CB699" s="539"/>
    </row>
    <row r="700" spans="1:80" s="11" customFormat="1" ht="15.75" x14ac:dyDescent="0.2">
      <c r="A700" s="54"/>
      <c r="B700" s="54"/>
      <c r="C700" s="508"/>
      <c r="D700" s="229"/>
      <c r="E700" s="230"/>
      <c r="F700" s="230"/>
      <c r="G700" s="274">
        <v>71</v>
      </c>
      <c r="H700" s="100" t="s">
        <v>833</v>
      </c>
      <c r="I700" s="100"/>
      <c r="J700" s="100"/>
      <c r="K700" s="155"/>
      <c r="L700" s="155"/>
      <c r="M700" s="155"/>
      <c r="N700" s="100"/>
      <c r="O700" s="212"/>
      <c r="P700" s="100"/>
      <c r="Q700" s="100"/>
      <c r="R700" s="336"/>
      <c r="S700" s="336"/>
      <c r="T700" s="336"/>
      <c r="U700" s="336"/>
      <c r="V700" s="336"/>
      <c r="W700" s="336"/>
      <c r="X700" s="336"/>
      <c r="Y700" s="336"/>
      <c r="Z700" s="336"/>
      <c r="AA700" s="336"/>
      <c r="AB700" s="336"/>
      <c r="AC700" s="336"/>
      <c r="AD700" s="336"/>
      <c r="AE700" s="336"/>
      <c r="AF700" s="336"/>
      <c r="AG700" s="336"/>
      <c r="AH700" s="336"/>
      <c r="AI700" s="336"/>
      <c r="AJ700" s="336"/>
      <c r="AK700" s="336"/>
      <c r="AL700" s="336"/>
      <c r="AM700" s="336"/>
      <c r="AN700" s="336"/>
      <c r="AO700" s="336"/>
      <c r="AP700" s="336"/>
      <c r="AQ700" s="336"/>
      <c r="AR700" s="336"/>
      <c r="AS700" s="336"/>
      <c r="AT700" s="336"/>
      <c r="AU700" s="336"/>
      <c r="AV700" s="336"/>
      <c r="AW700" s="336"/>
      <c r="AX700" s="336"/>
      <c r="AY700" s="336"/>
      <c r="AZ700" s="336"/>
      <c r="BA700" s="336"/>
      <c r="BB700" s="336"/>
      <c r="BC700" s="336"/>
      <c r="BD700" s="336"/>
      <c r="BE700" s="336"/>
      <c r="BF700" s="336"/>
      <c r="BG700" s="336"/>
      <c r="BH700" s="336"/>
      <c r="BI700" s="336"/>
      <c r="BJ700" s="336"/>
      <c r="BK700" s="552"/>
      <c r="BL700" s="552"/>
      <c r="BM700" s="552"/>
      <c r="BN700" s="336"/>
      <c r="BO700" s="336"/>
      <c r="BP700" s="336"/>
      <c r="BQ700" s="336"/>
      <c r="BR700" s="336"/>
      <c r="BS700" s="336"/>
      <c r="BT700" s="336"/>
      <c r="BU700" s="336"/>
      <c r="BV700" s="336"/>
      <c r="BW700" s="336"/>
      <c r="BX700" s="336"/>
      <c r="BY700" s="336"/>
      <c r="BZ700" s="658"/>
      <c r="CA700" s="658"/>
      <c r="CB700" s="658"/>
    </row>
    <row r="701" spans="1:80" s="11" customFormat="1" ht="105" x14ac:dyDescent="0.2">
      <c r="A701" s="54"/>
      <c r="B701" s="54"/>
      <c r="C701" s="857">
        <v>36</v>
      </c>
      <c r="D701" s="857" t="s">
        <v>821</v>
      </c>
      <c r="E701" s="932">
        <v>0.4</v>
      </c>
      <c r="F701" s="885">
        <v>0.6</v>
      </c>
      <c r="G701" s="856"/>
      <c r="H701" s="57">
        <v>206</v>
      </c>
      <c r="I701" s="56" t="s">
        <v>834</v>
      </c>
      <c r="J701" s="65">
        <v>12</v>
      </c>
      <c r="K701" s="60">
        <v>12</v>
      </c>
      <c r="L701" s="60"/>
      <c r="M701" s="850">
        <v>201700360039</v>
      </c>
      <c r="N701" s="65" t="s">
        <v>823</v>
      </c>
      <c r="O701" s="927" t="s">
        <v>835</v>
      </c>
      <c r="P701" s="853" t="s">
        <v>836</v>
      </c>
      <c r="Q701" s="65" t="s">
        <v>51</v>
      </c>
      <c r="R701" s="539">
        <v>0</v>
      </c>
      <c r="S701" s="539"/>
      <c r="T701" s="539"/>
      <c r="U701" s="539">
        <v>0</v>
      </c>
      <c r="V701" s="539"/>
      <c r="W701" s="539"/>
      <c r="X701" s="539">
        <v>0</v>
      </c>
      <c r="Y701" s="539"/>
      <c r="Z701" s="539"/>
      <c r="AA701" s="539">
        <v>0</v>
      </c>
      <c r="AB701" s="539"/>
      <c r="AC701" s="539"/>
      <c r="AD701" s="539">
        <v>0</v>
      </c>
      <c r="AE701" s="539"/>
      <c r="AF701" s="539"/>
      <c r="AG701" s="539">
        <v>0</v>
      </c>
      <c r="AH701" s="539"/>
      <c r="AI701" s="539"/>
      <c r="AJ701" s="539">
        <v>0</v>
      </c>
      <c r="AK701" s="539"/>
      <c r="AL701" s="539"/>
      <c r="AM701" s="539"/>
      <c r="AN701" s="539"/>
      <c r="AO701" s="539"/>
      <c r="AP701" s="539"/>
      <c r="AQ701" s="539"/>
      <c r="AR701" s="539"/>
      <c r="AS701" s="539">
        <v>0</v>
      </c>
      <c r="AT701" s="598"/>
      <c r="AU701" s="598"/>
      <c r="AV701" s="539">
        <v>0</v>
      </c>
      <c r="AW701" s="539"/>
      <c r="AX701" s="539"/>
      <c r="AY701" s="539"/>
      <c r="AZ701" s="539"/>
      <c r="BA701" s="539"/>
      <c r="BB701" s="539"/>
      <c r="BC701" s="539"/>
      <c r="BD701" s="539"/>
      <c r="BE701" s="539">
        <v>0</v>
      </c>
      <c r="BF701" s="539"/>
      <c r="BG701" s="539"/>
      <c r="BH701" s="539">
        <v>0</v>
      </c>
      <c r="BI701" s="539"/>
      <c r="BJ701" s="539"/>
      <c r="BK701" s="454"/>
      <c r="BL701" s="454"/>
      <c r="BM701" s="454"/>
      <c r="BN701" s="14">
        <f>60000000+15000000</f>
        <v>75000000</v>
      </c>
      <c r="BO701" s="454">
        <v>30300000</v>
      </c>
      <c r="BP701" s="454">
        <v>2100000</v>
      </c>
      <c r="BQ701" s="539">
        <v>0</v>
      </c>
      <c r="BR701" s="541"/>
      <c r="BS701" s="541"/>
      <c r="BT701" s="541"/>
      <c r="BU701" s="541"/>
      <c r="BV701" s="541"/>
      <c r="BW701" s="541">
        <v>0</v>
      </c>
      <c r="BX701" s="541"/>
      <c r="BY701" s="541"/>
      <c r="BZ701" s="539">
        <f t="shared" ref="BZ701:BZ703" si="659">R701+U701+X701+AA701+AD701+AG701+AJ701+AM701+AP701+AS701+AV701+AY701+BB701+BE701+BH701+BK701+BN701+BQ701+BT701+BW701</f>
        <v>75000000</v>
      </c>
      <c r="CA701" s="539">
        <f t="shared" ref="CA701:CA703" si="660">S701+V701+Y701+AB701+AE701+AH701+AK701+AN701+AQ701+AT701+AW701+AZ701+BC701+BF701+BI701+BL701+BO701+BR701+BU701+BX701</f>
        <v>30300000</v>
      </c>
      <c r="CB701" s="539">
        <f t="shared" ref="CB701:CB703" si="661">T701+W701+Z701+AC701+AF701+AI701+AL701+AO701+AR701+AU701+AX701+BA701+BD701+BG701+BJ701+BM701+BP701+BS701+BV701+BY701</f>
        <v>2100000</v>
      </c>
    </row>
    <row r="702" spans="1:80" s="11" customFormat="1" ht="57.75" customHeight="1" x14ac:dyDescent="0.2">
      <c r="A702" s="54"/>
      <c r="B702" s="54"/>
      <c r="C702" s="857"/>
      <c r="D702" s="857"/>
      <c r="E702" s="932"/>
      <c r="F702" s="885"/>
      <c r="G702" s="857"/>
      <c r="H702" s="57">
        <v>207</v>
      </c>
      <c r="I702" s="56" t="s">
        <v>837</v>
      </c>
      <c r="J702" s="65">
        <v>4</v>
      </c>
      <c r="K702" s="60">
        <v>1</v>
      </c>
      <c r="L702" s="60"/>
      <c r="M702" s="851"/>
      <c r="N702" s="65" t="s">
        <v>823</v>
      </c>
      <c r="O702" s="925"/>
      <c r="P702" s="854"/>
      <c r="Q702" s="65" t="s">
        <v>67</v>
      </c>
      <c r="R702" s="539">
        <v>0</v>
      </c>
      <c r="S702" s="539"/>
      <c r="T702" s="539"/>
      <c r="U702" s="539">
        <v>0</v>
      </c>
      <c r="V702" s="539"/>
      <c r="W702" s="539"/>
      <c r="X702" s="539">
        <v>0</v>
      </c>
      <c r="Y702" s="539"/>
      <c r="Z702" s="539"/>
      <c r="AA702" s="539">
        <v>0</v>
      </c>
      <c r="AB702" s="539"/>
      <c r="AC702" s="539"/>
      <c r="AD702" s="539">
        <v>0</v>
      </c>
      <c r="AE702" s="539"/>
      <c r="AF702" s="539"/>
      <c r="AG702" s="539">
        <v>0</v>
      </c>
      <c r="AH702" s="539"/>
      <c r="AI702" s="539"/>
      <c r="AJ702" s="539">
        <v>0</v>
      </c>
      <c r="AK702" s="539"/>
      <c r="AL702" s="539"/>
      <c r="AM702" s="539"/>
      <c r="AN702" s="539"/>
      <c r="AO702" s="539"/>
      <c r="AP702" s="539"/>
      <c r="AQ702" s="539"/>
      <c r="AR702" s="539"/>
      <c r="AS702" s="539">
        <v>0</v>
      </c>
      <c r="AT702" s="539"/>
      <c r="AU702" s="539"/>
      <c r="AV702" s="539">
        <v>0</v>
      </c>
      <c r="AW702" s="539"/>
      <c r="AX702" s="539"/>
      <c r="AY702" s="539"/>
      <c r="AZ702" s="539"/>
      <c r="BA702" s="539"/>
      <c r="BB702" s="539"/>
      <c r="BC702" s="539"/>
      <c r="BD702" s="539"/>
      <c r="BE702" s="539">
        <v>0</v>
      </c>
      <c r="BF702" s="539"/>
      <c r="BG702" s="539"/>
      <c r="BH702" s="539">
        <v>0</v>
      </c>
      <c r="BI702" s="539"/>
      <c r="BJ702" s="539"/>
      <c r="BK702" s="14"/>
      <c r="BL702" s="454"/>
      <c r="BM702" s="454"/>
      <c r="BN702" s="14">
        <f>100000000+215000000</f>
        <v>315000000</v>
      </c>
      <c r="BO702" s="454">
        <v>81500000</v>
      </c>
      <c r="BP702" s="454">
        <v>10800000</v>
      </c>
      <c r="BQ702" s="732">
        <f>9101228+9792581+7266530+113181+5954640</f>
        <v>32228160</v>
      </c>
      <c r="BR702" s="541"/>
      <c r="BS702" s="541"/>
      <c r="BT702" s="541"/>
      <c r="BU702" s="541"/>
      <c r="BV702" s="541"/>
      <c r="BW702" s="541">
        <v>0</v>
      </c>
      <c r="BX702" s="541"/>
      <c r="BY702" s="541"/>
      <c r="BZ702" s="539">
        <f t="shared" si="659"/>
        <v>347228160</v>
      </c>
      <c r="CA702" s="539">
        <f t="shared" si="660"/>
        <v>81500000</v>
      </c>
      <c r="CB702" s="539">
        <f t="shared" si="661"/>
        <v>10800000</v>
      </c>
    </row>
    <row r="703" spans="1:80" s="11" customFormat="1" ht="53.25" customHeight="1" x14ac:dyDescent="0.2">
      <c r="A703" s="54"/>
      <c r="B703" s="54"/>
      <c r="C703" s="857"/>
      <c r="D703" s="857"/>
      <c r="E703" s="932"/>
      <c r="F703" s="885"/>
      <c r="G703" s="858"/>
      <c r="H703" s="57">
        <v>208</v>
      </c>
      <c r="I703" s="56" t="s">
        <v>838</v>
      </c>
      <c r="J703" s="65">
        <v>1</v>
      </c>
      <c r="K703" s="60">
        <v>1</v>
      </c>
      <c r="L703" s="60"/>
      <c r="M703" s="852"/>
      <c r="N703" s="65" t="s">
        <v>823</v>
      </c>
      <c r="O703" s="926"/>
      <c r="P703" s="855"/>
      <c r="Q703" s="65" t="s">
        <v>51</v>
      </c>
      <c r="R703" s="539">
        <v>0</v>
      </c>
      <c r="S703" s="539"/>
      <c r="T703" s="539"/>
      <c r="U703" s="539">
        <v>0</v>
      </c>
      <c r="V703" s="539"/>
      <c r="W703" s="539"/>
      <c r="X703" s="539">
        <v>0</v>
      </c>
      <c r="Y703" s="539"/>
      <c r="Z703" s="539"/>
      <c r="AA703" s="539">
        <v>0</v>
      </c>
      <c r="AB703" s="539"/>
      <c r="AC703" s="539"/>
      <c r="AD703" s="539">
        <v>0</v>
      </c>
      <c r="AE703" s="539"/>
      <c r="AF703" s="539"/>
      <c r="AG703" s="539">
        <v>0</v>
      </c>
      <c r="AH703" s="539"/>
      <c r="AI703" s="539"/>
      <c r="AJ703" s="539">
        <v>0</v>
      </c>
      <c r="AK703" s="539"/>
      <c r="AL703" s="539"/>
      <c r="AM703" s="539"/>
      <c r="AN703" s="539"/>
      <c r="AO703" s="539"/>
      <c r="AP703" s="539"/>
      <c r="AQ703" s="539"/>
      <c r="AR703" s="539"/>
      <c r="AS703" s="539">
        <v>0</v>
      </c>
      <c r="AT703" s="539"/>
      <c r="AU703" s="539"/>
      <c r="AV703" s="539">
        <v>0</v>
      </c>
      <c r="AW703" s="539"/>
      <c r="AX703" s="539"/>
      <c r="AY703" s="539"/>
      <c r="AZ703" s="539"/>
      <c r="BA703" s="539"/>
      <c r="BB703" s="539"/>
      <c r="BC703" s="539"/>
      <c r="BD703" s="539"/>
      <c r="BE703" s="539">
        <v>0</v>
      </c>
      <c r="BF703" s="539"/>
      <c r="BG703" s="539"/>
      <c r="BH703" s="539">
        <v>0</v>
      </c>
      <c r="BI703" s="539"/>
      <c r="BJ703" s="539"/>
      <c r="BK703" s="454">
        <v>20000000</v>
      </c>
      <c r="BL703" s="454">
        <v>12300000</v>
      </c>
      <c r="BM703" s="454">
        <v>4100000</v>
      </c>
      <c r="BN703" s="14">
        <f>25000000+70000000</f>
        <v>95000000</v>
      </c>
      <c r="BO703" s="454">
        <v>7100000</v>
      </c>
      <c r="BP703" s="454">
        <v>1700000</v>
      </c>
      <c r="BQ703" s="539">
        <v>0</v>
      </c>
      <c r="BR703" s="541"/>
      <c r="BS703" s="541"/>
      <c r="BT703" s="541"/>
      <c r="BU703" s="541"/>
      <c r="BV703" s="541"/>
      <c r="BW703" s="541">
        <v>0</v>
      </c>
      <c r="BX703" s="541"/>
      <c r="BY703" s="541"/>
      <c r="BZ703" s="539">
        <f t="shared" si="659"/>
        <v>115000000</v>
      </c>
      <c r="CA703" s="539">
        <f t="shared" si="660"/>
        <v>19400000</v>
      </c>
      <c r="CB703" s="539">
        <f t="shared" si="661"/>
        <v>5800000</v>
      </c>
    </row>
    <row r="704" spans="1:80" s="459" customFormat="1" ht="15.75" x14ac:dyDescent="0.2">
      <c r="A704" s="54"/>
      <c r="B704" s="74"/>
      <c r="C704" s="259"/>
      <c r="D704" s="209"/>
      <c r="E704" s="259"/>
      <c r="F704" s="259"/>
      <c r="G704" s="77"/>
      <c r="H704" s="78"/>
      <c r="I704" s="77"/>
      <c r="J704" s="239"/>
      <c r="K704" s="140"/>
      <c r="L704" s="140"/>
      <c r="M704" s="140"/>
      <c r="N704" s="239"/>
      <c r="O704" s="239"/>
      <c r="P704" s="234"/>
      <c r="Q704" s="239"/>
      <c r="R704" s="548">
        <f t="shared" ref="R704:BK704" si="662">SUM(R701:R703)</f>
        <v>0</v>
      </c>
      <c r="S704" s="548"/>
      <c r="T704" s="548"/>
      <c r="U704" s="548">
        <f t="shared" si="662"/>
        <v>0</v>
      </c>
      <c r="V704" s="548"/>
      <c r="W704" s="548"/>
      <c r="X704" s="548">
        <f t="shared" si="662"/>
        <v>0</v>
      </c>
      <c r="Y704" s="548"/>
      <c r="Z704" s="548"/>
      <c r="AA704" s="548">
        <f t="shared" si="662"/>
        <v>0</v>
      </c>
      <c r="AB704" s="548"/>
      <c r="AC704" s="548"/>
      <c r="AD704" s="548">
        <f t="shared" si="662"/>
        <v>0</v>
      </c>
      <c r="AE704" s="548"/>
      <c r="AF704" s="548"/>
      <c r="AG704" s="548">
        <f t="shared" si="662"/>
        <v>0</v>
      </c>
      <c r="AH704" s="548"/>
      <c r="AI704" s="548"/>
      <c r="AJ704" s="548">
        <f t="shared" si="662"/>
        <v>0</v>
      </c>
      <c r="AK704" s="548"/>
      <c r="AL704" s="548"/>
      <c r="AM704" s="548"/>
      <c r="AN704" s="548"/>
      <c r="AO704" s="548"/>
      <c r="AP704" s="548"/>
      <c r="AQ704" s="548"/>
      <c r="AR704" s="548"/>
      <c r="AS704" s="548">
        <f t="shared" si="662"/>
        <v>0</v>
      </c>
      <c r="AT704" s="548"/>
      <c r="AU704" s="548"/>
      <c r="AV704" s="548">
        <f t="shared" si="662"/>
        <v>0</v>
      </c>
      <c r="AW704" s="548"/>
      <c r="AX704" s="548"/>
      <c r="AY704" s="548">
        <f t="shared" si="662"/>
        <v>0</v>
      </c>
      <c r="AZ704" s="548"/>
      <c r="BA704" s="548"/>
      <c r="BB704" s="548">
        <f t="shared" si="662"/>
        <v>0</v>
      </c>
      <c r="BC704" s="548"/>
      <c r="BD704" s="548"/>
      <c r="BE704" s="548">
        <f t="shared" si="662"/>
        <v>0</v>
      </c>
      <c r="BF704" s="548"/>
      <c r="BG704" s="548"/>
      <c r="BH704" s="548">
        <f t="shared" si="662"/>
        <v>0</v>
      </c>
      <c r="BI704" s="548"/>
      <c r="BJ704" s="548"/>
      <c r="BK704" s="621">
        <f t="shared" si="662"/>
        <v>20000000</v>
      </c>
      <c r="BL704" s="621"/>
      <c r="BM704" s="621"/>
      <c r="BN704" s="548">
        <f>SUM(BN701:BN703)</f>
        <v>485000000</v>
      </c>
      <c r="BO704" s="548"/>
      <c r="BP704" s="548"/>
      <c r="BQ704" s="548">
        <f>SUM(BQ701:BQ703)</f>
        <v>32228160</v>
      </c>
      <c r="BR704" s="548"/>
      <c r="BS704" s="548"/>
      <c r="BT704" s="548">
        <f t="shared" ref="BT704:BW704" si="663">SUM(BT701:BT703)</f>
        <v>0</v>
      </c>
      <c r="BU704" s="548"/>
      <c r="BV704" s="548"/>
      <c r="BW704" s="548">
        <f t="shared" si="663"/>
        <v>0</v>
      </c>
      <c r="BX704" s="548"/>
      <c r="BY704" s="548"/>
      <c r="BZ704" s="548">
        <f>SUM(BZ701:BZ703)</f>
        <v>537228160</v>
      </c>
      <c r="CA704" s="548">
        <f>SUM(CA701:CA703)</f>
        <v>131200000</v>
      </c>
      <c r="CB704" s="548">
        <f t="shared" ref="CB704" si="664">SUM(CB701:CB703)</f>
        <v>18700000</v>
      </c>
    </row>
    <row r="705" spans="1:89" s="459" customFormat="1" ht="15.75" x14ac:dyDescent="0.2">
      <c r="A705" s="54"/>
      <c r="B705" s="323"/>
      <c r="C705" s="122"/>
      <c r="D705" s="81"/>
      <c r="E705" s="82"/>
      <c r="F705" s="82"/>
      <c r="G705" s="81"/>
      <c r="H705" s="82"/>
      <c r="I705" s="81"/>
      <c r="J705" s="250"/>
      <c r="K705" s="142"/>
      <c r="L705" s="142"/>
      <c r="M705" s="142"/>
      <c r="N705" s="250"/>
      <c r="O705" s="250"/>
      <c r="P705" s="429"/>
      <c r="Q705" s="250"/>
      <c r="R705" s="554">
        <f t="shared" ref="R705:AJ705" si="665">R704+R698+R694+R690</f>
        <v>0</v>
      </c>
      <c r="S705" s="554"/>
      <c r="T705" s="554"/>
      <c r="U705" s="554">
        <f t="shared" si="665"/>
        <v>0</v>
      </c>
      <c r="V705" s="554"/>
      <c r="W705" s="554"/>
      <c r="X705" s="554">
        <f t="shared" si="665"/>
        <v>0</v>
      </c>
      <c r="Y705" s="554"/>
      <c r="Z705" s="554"/>
      <c r="AA705" s="554">
        <f t="shared" si="665"/>
        <v>0</v>
      </c>
      <c r="AB705" s="554"/>
      <c r="AC705" s="554"/>
      <c r="AD705" s="554">
        <f t="shared" si="665"/>
        <v>0</v>
      </c>
      <c r="AE705" s="554"/>
      <c r="AF705" s="554"/>
      <c r="AG705" s="554">
        <f t="shared" si="665"/>
        <v>0</v>
      </c>
      <c r="AH705" s="554"/>
      <c r="AI705" s="554"/>
      <c r="AJ705" s="554">
        <f t="shared" si="665"/>
        <v>0</v>
      </c>
      <c r="AK705" s="554"/>
      <c r="AL705" s="554"/>
      <c r="AM705" s="554"/>
      <c r="AN705" s="554"/>
      <c r="AO705" s="554"/>
      <c r="AP705" s="554"/>
      <c r="AQ705" s="554"/>
      <c r="AR705" s="554"/>
      <c r="AS705" s="554">
        <f t="shared" ref="AS705:BB705" si="666">AS704+AS698+AS694+AS690</f>
        <v>0</v>
      </c>
      <c r="AT705" s="554"/>
      <c r="AU705" s="554"/>
      <c r="AV705" s="554">
        <f t="shared" si="666"/>
        <v>0</v>
      </c>
      <c r="AW705" s="554"/>
      <c r="AX705" s="554"/>
      <c r="AY705" s="554">
        <f t="shared" si="666"/>
        <v>0</v>
      </c>
      <c r="AZ705" s="554"/>
      <c r="BA705" s="554"/>
      <c r="BB705" s="554">
        <f t="shared" si="666"/>
        <v>0</v>
      </c>
      <c r="BC705" s="554"/>
      <c r="BD705" s="554"/>
      <c r="BE705" s="554">
        <f t="shared" ref="BE705:BZ705" si="667">BE704+BE698+BE694+BE690</f>
        <v>0</v>
      </c>
      <c r="BF705" s="554"/>
      <c r="BG705" s="554"/>
      <c r="BH705" s="554">
        <f t="shared" si="667"/>
        <v>0</v>
      </c>
      <c r="BI705" s="554"/>
      <c r="BJ705" s="554"/>
      <c r="BK705" s="622">
        <f t="shared" si="667"/>
        <v>709774677</v>
      </c>
      <c r="BL705" s="622"/>
      <c r="BM705" s="622"/>
      <c r="BN705" s="554">
        <f t="shared" si="667"/>
        <v>1618479742.49</v>
      </c>
      <c r="BO705" s="554"/>
      <c r="BP705" s="554"/>
      <c r="BQ705" s="554">
        <f t="shared" si="667"/>
        <v>32228160</v>
      </c>
      <c r="BR705" s="554"/>
      <c r="BS705" s="554"/>
      <c r="BT705" s="554">
        <f t="shared" si="667"/>
        <v>0</v>
      </c>
      <c r="BU705" s="554"/>
      <c r="BV705" s="554"/>
      <c r="BW705" s="554">
        <f t="shared" si="667"/>
        <v>109227642</v>
      </c>
      <c r="BX705" s="554"/>
      <c r="BY705" s="554"/>
      <c r="BZ705" s="554">
        <f t="shared" si="667"/>
        <v>2469710221.4899998</v>
      </c>
      <c r="CA705" s="554">
        <f t="shared" ref="CA705:CB705" si="668">CA704+CA698+CA694+CA690</f>
        <v>857996000</v>
      </c>
      <c r="CB705" s="554">
        <f t="shared" si="668"/>
        <v>136316000</v>
      </c>
    </row>
    <row r="706" spans="1:89" s="459" customFormat="1" ht="15.75" x14ac:dyDescent="0.2">
      <c r="A706" s="54"/>
      <c r="B706" s="91"/>
      <c r="C706" s="92"/>
      <c r="D706" s="91"/>
      <c r="E706" s="92"/>
      <c r="F706" s="92"/>
      <c r="G706" s="91"/>
      <c r="H706" s="92"/>
      <c r="I706" s="91"/>
      <c r="J706" s="92"/>
      <c r="K706" s="184"/>
      <c r="L706" s="334"/>
      <c r="M706" s="334"/>
      <c r="N706" s="125"/>
      <c r="O706" s="499"/>
      <c r="P706" s="124"/>
      <c r="Q706" s="92"/>
      <c r="R706" s="543"/>
      <c r="S706" s="543"/>
      <c r="T706" s="543"/>
      <c r="U706" s="543"/>
      <c r="V706" s="543"/>
      <c r="W706" s="543"/>
      <c r="X706" s="543"/>
      <c r="Y706" s="543"/>
      <c r="Z706" s="543"/>
      <c r="AA706" s="543"/>
      <c r="AB706" s="543"/>
      <c r="AC706" s="543"/>
      <c r="AD706" s="543"/>
      <c r="AE706" s="543"/>
      <c r="AF706" s="543"/>
      <c r="AG706" s="543"/>
      <c r="AH706" s="543"/>
      <c r="AI706" s="543"/>
      <c r="AJ706" s="543"/>
      <c r="AK706" s="543"/>
      <c r="AL706" s="543"/>
      <c r="AM706" s="543"/>
      <c r="AN706" s="543"/>
      <c r="AO706" s="543"/>
      <c r="AP706" s="543"/>
      <c r="AQ706" s="543"/>
      <c r="AR706" s="543"/>
      <c r="AS706" s="543"/>
      <c r="AT706" s="543"/>
      <c r="AU706" s="543"/>
      <c r="AV706" s="543"/>
      <c r="AW706" s="543"/>
      <c r="AX706" s="543"/>
      <c r="AY706" s="544"/>
      <c r="AZ706" s="544"/>
      <c r="BA706" s="544"/>
      <c r="BB706" s="544"/>
      <c r="BC706" s="544"/>
      <c r="BD706" s="544"/>
      <c r="BE706" s="543"/>
      <c r="BF706" s="543"/>
      <c r="BG706" s="543"/>
      <c r="BH706" s="543"/>
      <c r="BI706" s="543"/>
      <c r="BJ706" s="543"/>
      <c r="BK706" s="545"/>
      <c r="BL706" s="545"/>
      <c r="BM706" s="545"/>
      <c r="BN706" s="543"/>
      <c r="BO706" s="543"/>
      <c r="BP706" s="543"/>
      <c r="BQ706" s="543"/>
      <c r="BR706" s="543"/>
      <c r="BS706" s="543"/>
      <c r="BT706" s="543"/>
      <c r="BU706" s="543"/>
      <c r="BV706" s="543"/>
      <c r="BW706" s="543"/>
      <c r="BX706" s="543"/>
      <c r="BY706" s="543"/>
      <c r="BZ706" s="539"/>
      <c r="CA706" s="539"/>
      <c r="CB706" s="539"/>
    </row>
    <row r="707" spans="1:89" s="459" customFormat="1" ht="15.75" x14ac:dyDescent="0.2">
      <c r="A707" s="54"/>
      <c r="B707" s="430">
        <v>21</v>
      </c>
      <c r="C707" s="49" t="s">
        <v>839</v>
      </c>
      <c r="D707" s="50"/>
      <c r="E707" s="50"/>
      <c r="F707" s="50"/>
      <c r="G707" s="50"/>
      <c r="H707" s="51"/>
      <c r="I707" s="50"/>
      <c r="J707" s="50"/>
      <c r="K707" s="153"/>
      <c r="L707" s="153"/>
      <c r="M707" s="153"/>
      <c r="N707" s="50"/>
      <c r="O707" s="51"/>
      <c r="P707" s="50"/>
      <c r="Q707" s="50"/>
      <c r="R707" s="550"/>
      <c r="S707" s="550"/>
      <c r="T707" s="550"/>
      <c r="U707" s="550"/>
      <c r="V707" s="550"/>
      <c r="W707" s="550"/>
      <c r="X707" s="550"/>
      <c r="Y707" s="550"/>
      <c r="Z707" s="550"/>
      <c r="AA707" s="550"/>
      <c r="AB707" s="550"/>
      <c r="AC707" s="550"/>
      <c r="AD707" s="550"/>
      <c r="AE707" s="550"/>
      <c r="AF707" s="550"/>
      <c r="AG707" s="550"/>
      <c r="AH707" s="550"/>
      <c r="AI707" s="550"/>
      <c r="AJ707" s="550"/>
      <c r="AK707" s="550"/>
      <c r="AL707" s="550"/>
      <c r="AM707" s="550"/>
      <c r="AN707" s="550"/>
      <c r="AO707" s="550"/>
      <c r="AP707" s="550"/>
      <c r="AQ707" s="550"/>
      <c r="AR707" s="550"/>
      <c r="AS707" s="550"/>
      <c r="AT707" s="550"/>
      <c r="AU707" s="550"/>
      <c r="AV707" s="550"/>
      <c r="AW707" s="550"/>
      <c r="AX707" s="550"/>
      <c r="AY707" s="550"/>
      <c r="AZ707" s="550"/>
      <c r="BA707" s="550"/>
      <c r="BB707" s="550"/>
      <c r="BC707" s="550"/>
      <c r="BD707" s="550"/>
      <c r="BE707" s="550"/>
      <c r="BF707" s="550"/>
      <c r="BG707" s="550"/>
      <c r="BH707" s="550"/>
      <c r="BI707" s="550"/>
      <c r="BJ707" s="550"/>
      <c r="BK707" s="551"/>
      <c r="BL707" s="551"/>
      <c r="BM707" s="551"/>
      <c r="BN707" s="550"/>
      <c r="BO707" s="550"/>
      <c r="BP707" s="550"/>
      <c r="BQ707" s="550"/>
      <c r="BR707" s="550"/>
      <c r="BS707" s="550"/>
      <c r="BT707" s="550"/>
      <c r="BU707" s="550"/>
      <c r="BV707" s="550"/>
      <c r="BW707" s="550"/>
      <c r="BX707" s="550"/>
      <c r="BY707" s="550"/>
      <c r="BZ707" s="659"/>
      <c r="CA707" s="659"/>
      <c r="CB707" s="659"/>
    </row>
    <row r="708" spans="1:89" s="459" customFormat="1" ht="15.75" x14ac:dyDescent="0.2">
      <c r="A708" s="54"/>
      <c r="B708" s="872"/>
      <c r="C708" s="508"/>
      <c r="D708" s="516"/>
      <c r="E708" s="508"/>
      <c r="F708" s="508"/>
      <c r="G708" s="274">
        <v>72</v>
      </c>
      <c r="H708" s="100" t="s">
        <v>840</v>
      </c>
      <c r="I708" s="100"/>
      <c r="J708" s="100"/>
      <c r="K708" s="155"/>
      <c r="L708" s="155"/>
      <c r="M708" s="155"/>
      <c r="N708" s="100"/>
      <c r="O708" s="212"/>
      <c r="P708" s="100"/>
      <c r="Q708" s="100"/>
      <c r="R708" s="336"/>
      <c r="S708" s="336"/>
      <c r="T708" s="336"/>
      <c r="U708" s="336"/>
      <c r="V708" s="336"/>
      <c r="W708" s="336"/>
      <c r="X708" s="336"/>
      <c r="Y708" s="336"/>
      <c r="Z708" s="336"/>
      <c r="AA708" s="336"/>
      <c r="AB708" s="336"/>
      <c r="AC708" s="336"/>
      <c r="AD708" s="336"/>
      <c r="AE708" s="336"/>
      <c r="AF708" s="336"/>
      <c r="AG708" s="336"/>
      <c r="AH708" s="336"/>
      <c r="AI708" s="336"/>
      <c r="AJ708" s="336"/>
      <c r="AK708" s="336"/>
      <c r="AL708" s="336"/>
      <c r="AM708" s="336"/>
      <c r="AN708" s="336"/>
      <c r="AO708" s="336"/>
      <c r="AP708" s="336"/>
      <c r="AQ708" s="336"/>
      <c r="AR708" s="336"/>
      <c r="AS708" s="336"/>
      <c r="AT708" s="336"/>
      <c r="AU708" s="336"/>
      <c r="AV708" s="336"/>
      <c r="AW708" s="336"/>
      <c r="AX708" s="336"/>
      <c r="AY708" s="336"/>
      <c r="AZ708" s="336"/>
      <c r="BA708" s="336"/>
      <c r="BB708" s="336"/>
      <c r="BC708" s="336"/>
      <c r="BD708" s="336"/>
      <c r="BE708" s="336"/>
      <c r="BF708" s="336"/>
      <c r="BG708" s="336"/>
      <c r="BH708" s="336"/>
      <c r="BI708" s="336"/>
      <c r="BJ708" s="336"/>
      <c r="BK708" s="552"/>
      <c r="BL708" s="552"/>
      <c r="BM708" s="552"/>
      <c r="BN708" s="336"/>
      <c r="BO708" s="336"/>
      <c r="BP708" s="336"/>
      <c r="BQ708" s="336"/>
      <c r="BR708" s="336"/>
      <c r="BS708" s="336"/>
      <c r="BT708" s="336"/>
      <c r="BU708" s="336"/>
      <c r="BV708" s="336"/>
      <c r="BW708" s="336"/>
      <c r="BX708" s="336"/>
      <c r="BY708" s="336"/>
      <c r="BZ708" s="658"/>
      <c r="CA708" s="658"/>
      <c r="CB708" s="658"/>
    </row>
    <row r="709" spans="1:89" s="11" customFormat="1" ht="55.5" customHeight="1" x14ac:dyDescent="0.2">
      <c r="A709" s="54"/>
      <c r="B709" s="872"/>
      <c r="C709" s="857">
        <v>36</v>
      </c>
      <c r="D709" s="854" t="s">
        <v>821</v>
      </c>
      <c r="E709" s="932">
        <v>0.4</v>
      </c>
      <c r="F709" s="885">
        <v>0.6</v>
      </c>
      <c r="G709" s="856" t="s">
        <v>426</v>
      </c>
      <c r="H709" s="57">
        <v>209</v>
      </c>
      <c r="I709" s="56" t="s">
        <v>841</v>
      </c>
      <c r="J709" s="65">
        <v>1</v>
      </c>
      <c r="K709" s="60">
        <v>1</v>
      </c>
      <c r="L709" s="60"/>
      <c r="M709" s="850">
        <v>201700360040</v>
      </c>
      <c r="N709" s="65" t="s">
        <v>823</v>
      </c>
      <c r="O709" s="927" t="s">
        <v>842</v>
      </c>
      <c r="P709" s="853" t="s">
        <v>843</v>
      </c>
      <c r="Q709" s="65" t="s">
        <v>51</v>
      </c>
      <c r="R709" s="539">
        <v>0</v>
      </c>
      <c r="S709" s="539"/>
      <c r="T709" s="539"/>
      <c r="U709" s="539">
        <v>0</v>
      </c>
      <c r="V709" s="539"/>
      <c r="W709" s="539"/>
      <c r="X709" s="539">
        <v>0</v>
      </c>
      <c r="Y709" s="539"/>
      <c r="Z709" s="539"/>
      <c r="AA709" s="539">
        <v>0</v>
      </c>
      <c r="AB709" s="539"/>
      <c r="AC709" s="539"/>
      <c r="AD709" s="539">
        <v>0</v>
      </c>
      <c r="AE709" s="539"/>
      <c r="AF709" s="539"/>
      <c r="AG709" s="539">
        <v>0</v>
      </c>
      <c r="AH709" s="539"/>
      <c r="AI709" s="539"/>
      <c r="AJ709" s="539">
        <v>0</v>
      </c>
      <c r="AK709" s="539"/>
      <c r="AL709" s="539"/>
      <c r="AM709" s="539"/>
      <c r="AN709" s="539"/>
      <c r="AO709" s="539"/>
      <c r="AP709" s="539"/>
      <c r="AQ709" s="539"/>
      <c r="AR709" s="539"/>
      <c r="AS709" s="539">
        <v>0</v>
      </c>
      <c r="AT709" s="539"/>
      <c r="AU709" s="539"/>
      <c r="AV709" s="539">
        <v>0</v>
      </c>
      <c r="AW709" s="539"/>
      <c r="AX709" s="539"/>
      <c r="AY709" s="539"/>
      <c r="AZ709" s="539"/>
      <c r="BA709" s="539"/>
      <c r="BB709" s="539"/>
      <c r="BC709" s="539"/>
      <c r="BD709" s="539"/>
      <c r="BE709" s="539">
        <v>0</v>
      </c>
      <c r="BF709" s="539"/>
      <c r="BG709" s="539"/>
      <c r="BH709" s="539"/>
      <c r="BI709" s="539"/>
      <c r="BJ709" s="539"/>
      <c r="BK709" s="13">
        <v>30000000</v>
      </c>
      <c r="BL709" s="540"/>
      <c r="BM709" s="540"/>
      <c r="BN709" s="598">
        <v>29100000</v>
      </c>
      <c r="BO709" s="598">
        <v>18000000</v>
      </c>
      <c r="BP709" s="598">
        <v>3400000</v>
      </c>
      <c r="BQ709" s="539">
        <v>0</v>
      </c>
      <c r="BR709" s="541"/>
      <c r="BS709" s="541"/>
      <c r="BT709" s="541"/>
      <c r="BU709" s="541"/>
      <c r="BV709" s="541"/>
      <c r="BW709" s="662">
        <f>30772358</f>
        <v>30772358</v>
      </c>
      <c r="BX709" s="662"/>
      <c r="BY709" s="662"/>
      <c r="BZ709" s="539">
        <f t="shared" ref="BZ709:BZ711" si="669">R709+U709+X709+AA709+AD709+AG709+AJ709+AM709+AP709+AS709+AV709+AY709+BB709+BE709+BH709+BK709+BN709+BQ709+BT709+BW709</f>
        <v>89872358</v>
      </c>
      <c r="CA709" s="539">
        <f t="shared" ref="CA709:CA711" si="670">S709+V709+Y709+AB709+AE709+AH709+AK709+AN709+AQ709+AT709+AW709+AZ709+BC709+BF709+BI709+BL709+BO709+BR709+BU709+BX709</f>
        <v>18000000</v>
      </c>
      <c r="CB709" s="539">
        <f t="shared" ref="CB709:CB711" si="671">T709+W709+Z709+AC709+AF709+AI709+AL709+AO709+AR709+AU709+AX709+BA709+BD709+BG709+BJ709+BM709+BP709+BS709+BV709+BY709</f>
        <v>3400000</v>
      </c>
    </row>
    <row r="710" spans="1:89" s="11" customFormat="1" ht="58.5" customHeight="1" x14ac:dyDescent="0.2">
      <c r="A710" s="54"/>
      <c r="B710" s="872"/>
      <c r="C710" s="857"/>
      <c r="D710" s="854"/>
      <c r="E710" s="932"/>
      <c r="F710" s="885"/>
      <c r="G710" s="857"/>
      <c r="H710" s="57">
        <v>210</v>
      </c>
      <c r="I710" s="56" t="s">
        <v>844</v>
      </c>
      <c r="J710" s="57">
        <v>1</v>
      </c>
      <c r="K710" s="132">
        <v>1</v>
      </c>
      <c r="L710" s="132"/>
      <c r="M710" s="851"/>
      <c r="N710" s="65" t="s">
        <v>823</v>
      </c>
      <c r="O710" s="925"/>
      <c r="P710" s="854"/>
      <c r="Q710" s="65" t="s">
        <v>51</v>
      </c>
      <c r="R710" s="539">
        <v>0</v>
      </c>
      <c r="S710" s="539"/>
      <c r="T710" s="539"/>
      <c r="U710" s="539">
        <v>0</v>
      </c>
      <c r="V710" s="539"/>
      <c r="W710" s="539"/>
      <c r="X710" s="539">
        <v>0</v>
      </c>
      <c r="Y710" s="539"/>
      <c r="Z710" s="539"/>
      <c r="AA710" s="539">
        <v>0</v>
      </c>
      <c r="AB710" s="539"/>
      <c r="AC710" s="539"/>
      <c r="AD710" s="539">
        <v>0</v>
      </c>
      <c r="AE710" s="539"/>
      <c r="AF710" s="539"/>
      <c r="AG710" s="539">
        <v>0</v>
      </c>
      <c r="AH710" s="539"/>
      <c r="AI710" s="539"/>
      <c r="AJ710" s="539">
        <v>0</v>
      </c>
      <c r="AK710" s="539"/>
      <c r="AL710" s="539"/>
      <c r="AM710" s="539"/>
      <c r="AN710" s="539"/>
      <c r="AO710" s="539"/>
      <c r="AP710" s="539"/>
      <c r="AQ710" s="539"/>
      <c r="AR710" s="539"/>
      <c r="AS710" s="539">
        <v>0</v>
      </c>
      <c r="AT710" s="539"/>
      <c r="AU710" s="539"/>
      <c r="AV710" s="539">
        <v>0</v>
      </c>
      <c r="AW710" s="539"/>
      <c r="AX710" s="539"/>
      <c r="AY710" s="539"/>
      <c r="AZ710" s="539"/>
      <c r="BA710" s="539"/>
      <c r="BB710" s="539"/>
      <c r="BC710" s="539"/>
      <c r="BD710" s="539"/>
      <c r="BE710" s="539">
        <v>0</v>
      </c>
      <c r="BF710" s="539"/>
      <c r="BG710" s="539"/>
      <c r="BH710" s="539"/>
      <c r="BI710" s="539"/>
      <c r="BJ710" s="539"/>
      <c r="BK710" s="663">
        <f>9000000+31618664</f>
        <v>40618664</v>
      </c>
      <c r="BL710" s="662">
        <v>2825000</v>
      </c>
      <c r="BM710" s="662">
        <v>1550000</v>
      </c>
      <c r="BN710" s="598">
        <v>25000000</v>
      </c>
      <c r="BO710" s="598">
        <v>20100000</v>
      </c>
      <c r="BP710" s="598">
        <v>600000</v>
      </c>
      <c r="BQ710" s="539">
        <v>0</v>
      </c>
      <c r="BR710" s="541"/>
      <c r="BS710" s="541"/>
      <c r="BT710" s="541"/>
      <c r="BU710" s="541"/>
      <c r="BV710" s="541"/>
      <c r="BW710" s="662">
        <f>16000000</f>
        <v>16000000</v>
      </c>
      <c r="BX710" s="662"/>
      <c r="BY710" s="662"/>
      <c r="BZ710" s="539">
        <f t="shared" si="669"/>
        <v>81618664</v>
      </c>
      <c r="CA710" s="539">
        <f t="shared" si="670"/>
        <v>22925000</v>
      </c>
      <c r="CB710" s="539">
        <f t="shared" si="671"/>
        <v>2150000</v>
      </c>
    </row>
    <row r="711" spans="1:89" s="6" customFormat="1" ht="79.5" customHeight="1" x14ac:dyDescent="0.2">
      <c r="A711" s="54"/>
      <c r="B711" s="872"/>
      <c r="C711" s="857"/>
      <c r="D711" s="854"/>
      <c r="E711" s="932"/>
      <c r="F711" s="885"/>
      <c r="G711" s="857"/>
      <c r="H711" s="57">
        <v>211</v>
      </c>
      <c r="I711" s="56" t="s">
        <v>845</v>
      </c>
      <c r="J711" s="65">
        <v>1</v>
      </c>
      <c r="K711" s="60">
        <v>1</v>
      </c>
      <c r="L711" s="60"/>
      <c r="M711" s="852"/>
      <c r="N711" s="65" t="s">
        <v>823</v>
      </c>
      <c r="O711" s="926"/>
      <c r="P711" s="855"/>
      <c r="Q711" s="65" t="s">
        <v>51</v>
      </c>
      <c r="R711" s="539">
        <v>0</v>
      </c>
      <c r="S711" s="539"/>
      <c r="T711" s="539"/>
      <c r="U711" s="539">
        <v>0</v>
      </c>
      <c r="V711" s="539"/>
      <c r="W711" s="539"/>
      <c r="X711" s="539">
        <v>0</v>
      </c>
      <c r="Y711" s="539"/>
      <c r="Z711" s="539"/>
      <c r="AA711" s="539">
        <v>0</v>
      </c>
      <c r="AB711" s="539"/>
      <c r="AC711" s="539"/>
      <c r="AD711" s="539">
        <v>0</v>
      </c>
      <c r="AE711" s="539"/>
      <c r="AF711" s="539"/>
      <c r="AG711" s="539">
        <v>0</v>
      </c>
      <c r="AH711" s="539"/>
      <c r="AI711" s="539"/>
      <c r="AJ711" s="539">
        <v>0</v>
      </c>
      <c r="AK711" s="539"/>
      <c r="AL711" s="539"/>
      <c r="AM711" s="539">
        <v>0</v>
      </c>
      <c r="AN711" s="539"/>
      <c r="AO711" s="539"/>
      <c r="AP711" s="539">
        <v>0</v>
      </c>
      <c r="AQ711" s="539"/>
      <c r="AR711" s="539"/>
      <c r="AS711" s="539">
        <v>0</v>
      </c>
      <c r="AT711" s="539"/>
      <c r="AU711" s="539"/>
      <c r="AV711" s="539">
        <v>0</v>
      </c>
      <c r="AW711" s="539"/>
      <c r="AX711" s="539"/>
      <c r="AY711" s="539">
        <v>0</v>
      </c>
      <c r="AZ711" s="539"/>
      <c r="BA711" s="539"/>
      <c r="BB711" s="539">
        <v>0</v>
      </c>
      <c r="BC711" s="539"/>
      <c r="BD711" s="539"/>
      <c r="BE711" s="539">
        <v>0</v>
      </c>
      <c r="BF711" s="539"/>
      <c r="BG711" s="539"/>
      <c r="BH711" s="539">
        <v>0</v>
      </c>
      <c r="BI711" s="539"/>
      <c r="BJ711" s="539"/>
      <c r="BK711" s="13">
        <v>29461261</v>
      </c>
      <c r="BL711" s="540"/>
      <c r="BM711" s="540"/>
      <c r="BN711" s="598">
        <v>22000000</v>
      </c>
      <c r="BO711" s="598">
        <v>14975000</v>
      </c>
      <c r="BP711" s="598">
        <v>1800000</v>
      </c>
      <c r="BQ711" s="539">
        <v>0</v>
      </c>
      <c r="BR711" s="541"/>
      <c r="BS711" s="541"/>
      <c r="BT711" s="541"/>
      <c r="BU711" s="541"/>
      <c r="BV711" s="541"/>
      <c r="BW711" s="662">
        <f>16000000</f>
        <v>16000000</v>
      </c>
      <c r="BX711" s="662"/>
      <c r="BY711" s="662"/>
      <c r="BZ711" s="539">
        <f t="shared" si="669"/>
        <v>67461261</v>
      </c>
      <c r="CA711" s="539">
        <f t="shared" si="670"/>
        <v>14975000</v>
      </c>
      <c r="CB711" s="539">
        <f t="shared" si="671"/>
        <v>1800000</v>
      </c>
      <c r="CC711" s="11"/>
      <c r="CD711" s="11"/>
      <c r="CE711" s="11"/>
      <c r="CF711" s="11"/>
      <c r="CG711" s="11"/>
      <c r="CH711" s="11"/>
      <c r="CI711" s="11"/>
      <c r="CJ711" s="11"/>
      <c r="CK711" s="462"/>
    </row>
    <row r="712" spans="1:89" s="459" customFormat="1" ht="15.75" x14ac:dyDescent="0.2">
      <c r="A712" s="54"/>
      <c r="B712" s="872"/>
      <c r="C712" s="259"/>
      <c r="D712" s="209"/>
      <c r="E712" s="259"/>
      <c r="F712" s="259"/>
      <c r="G712" s="116"/>
      <c r="H712" s="117"/>
      <c r="I712" s="116"/>
      <c r="J712" s="431"/>
      <c r="K712" s="432"/>
      <c r="L712" s="432"/>
      <c r="M712" s="432"/>
      <c r="N712" s="431"/>
      <c r="O712" s="431"/>
      <c r="P712" s="433"/>
      <c r="Q712" s="431"/>
      <c r="R712" s="593">
        <f t="shared" ref="R712:AJ712" si="672">SUM(R709:R711)</f>
        <v>0</v>
      </c>
      <c r="S712" s="593"/>
      <c r="T712" s="593"/>
      <c r="U712" s="593">
        <f t="shared" si="672"/>
        <v>0</v>
      </c>
      <c r="V712" s="593"/>
      <c r="W712" s="593"/>
      <c r="X712" s="593">
        <f t="shared" si="672"/>
        <v>0</v>
      </c>
      <c r="Y712" s="593"/>
      <c r="Z712" s="593"/>
      <c r="AA712" s="593">
        <f t="shared" si="672"/>
        <v>0</v>
      </c>
      <c r="AB712" s="593"/>
      <c r="AC712" s="593"/>
      <c r="AD712" s="593">
        <f t="shared" si="672"/>
        <v>0</v>
      </c>
      <c r="AE712" s="593"/>
      <c r="AF712" s="593"/>
      <c r="AG712" s="593">
        <f t="shared" si="672"/>
        <v>0</v>
      </c>
      <c r="AH712" s="593"/>
      <c r="AI712" s="593"/>
      <c r="AJ712" s="593">
        <f t="shared" si="672"/>
        <v>0</v>
      </c>
      <c r="AK712" s="593"/>
      <c r="AL712" s="593"/>
      <c r="AM712" s="593"/>
      <c r="AN712" s="593"/>
      <c r="AO712" s="593"/>
      <c r="AP712" s="593"/>
      <c r="AQ712" s="593"/>
      <c r="AR712" s="593"/>
      <c r="AS712" s="593">
        <f t="shared" ref="AS712:BW712" si="673">SUM(AS709:AS711)</f>
        <v>0</v>
      </c>
      <c r="AT712" s="593"/>
      <c r="AU712" s="593"/>
      <c r="AV712" s="593">
        <f t="shared" si="673"/>
        <v>0</v>
      </c>
      <c r="AW712" s="593"/>
      <c r="AX712" s="593"/>
      <c r="AY712" s="593">
        <f t="shared" si="673"/>
        <v>0</v>
      </c>
      <c r="AZ712" s="593"/>
      <c r="BA712" s="593"/>
      <c r="BB712" s="593">
        <f t="shared" si="673"/>
        <v>0</v>
      </c>
      <c r="BC712" s="593"/>
      <c r="BD712" s="593"/>
      <c r="BE712" s="593">
        <f t="shared" si="673"/>
        <v>0</v>
      </c>
      <c r="BF712" s="593"/>
      <c r="BG712" s="593"/>
      <c r="BH712" s="593">
        <f t="shared" si="673"/>
        <v>0</v>
      </c>
      <c r="BI712" s="593"/>
      <c r="BJ712" s="593"/>
      <c r="BK712" s="664">
        <f t="shared" si="673"/>
        <v>100079925</v>
      </c>
      <c r="BL712" s="664"/>
      <c r="BM712" s="664"/>
      <c r="BN712" s="665">
        <f t="shared" si="673"/>
        <v>76100000</v>
      </c>
      <c r="BO712" s="665"/>
      <c r="BP712" s="665"/>
      <c r="BQ712" s="665">
        <f t="shared" si="673"/>
        <v>0</v>
      </c>
      <c r="BR712" s="665"/>
      <c r="BS712" s="665"/>
      <c r="BT712" s="665">
        <f t="shared" si="673"/>
        <v>0</v>
      </c>
      <c r="BU712" s="665"/>
      <c r="BV712" s="665"/>
      <c r="BW712" s="665">
        <f t="shared" si="673"/>
        <v>62772358</v>
      </c>
      <c r="BX712" s="665"/>
      <c r="BY712" s="665"/>
      <c r="BZ712" s="665">
        <f>SUM(BZ709:BZ711)</f>
        <v>238952283</v>
      </c>
      <c r="CA712" s="665">
        <f t="shared" ref="CA712:CB712" si="674">SUM(CA709:CA711)</f>
        <v>55900000</v>
      </c>
      <c r="CB712" s="665">
        <f t="shared" si="674"/>
        <v>7350000</v>
      </c>
    </row>
    <row r="713" spans="1:89" s="459" customFormat="1" ht="15.75" x14ac:dyDescent="0.2">
      <c r="A713" s="54"/>
      <c r="B713" s="872"/>
      <c r="C713" s="92"/>
      <c r="D713" s="91"/>
      <c r="E713" s="92"/>
      <c r="F713" s="92"/>
      <c r="G713" s="91"/>
      <c r="H713" s="92"/>
      <c r="I713" s="91"/>
      <c r="J713" s="92"/>
      <c r="K713" s="184"/>
      <c r="L713" s="334"/>
      <c r="M713" s="334"/>
      <c r="N713" s="125"/>
      <c r="O713" s="499"/>
      <c r="P713" s="124"/>
      <c r="Q713" s="92"/>
      <c r="R713" s="543"/>
      <c r="S713" s="543"/>
      <c r="T713" s="543"/>
      <c r="U713" s="543"/>
      <c r="V713" s="543"/>
      <c r="W713" s="543"/>
      <c r="X713" s="543"/>
      <c r="Y713" s="543"/>
      <c r="Z713" s="543"/>
      <c r="AA713" s="543"/>
      <c r="AB713" s="543"/>
      <c r="AC713" s="543"/>
      <c r="AD713" s="543"/>
      <c r="AE713" s="543"/>
      <c r="AF713" s="543"/>
      <c r="AG713" s="543"/>
      <c r="AH713" s="543"/>
      <c r="AI713" s="543"/>
      <c r="AJ713" s="543"/>
      <c r="AK713" s="543"/>
      <c r="AL713" s="543"/>
      <c r="AM713" s="543"/>
      <c r="AN713" s="543"/>
      <c r="AO713" s="543"/>
      <c r="AP713" s="543"/>
      <c r="AQ713" s="543"/>
      <c r="AR713" s="543"/>
      <c r="AS713" s="543"/>
      <c r="AT713" s="543"/>
      <c r="AU713" s="543"/>
      <c r="AV713" s="543"/>
      <c r="AW713" s="543"/>
      <c r="AX713" s="543"/>
      <c r="AY713" s="544"/>
      <c r="AZ713" s="544"/>
      <c r="BA713" s="544"/>
      <c r="BB713" s="544"/>
      <c r="BC713" s="544"/>
      <c r="BD713" s="544"/>
      <c r="BE713" s="543"/>
      <c r="BF713" s="543"/>
      <c r="BG713" s="543"/>
      <c r="BH713" s="543"/>
      <c r="BI713" s="543"/>
      <c r="BJ713" s="543"/>
      <c r="BK713" s="545"/>
      <c r="BL713" s="545"/>
      <c r="BM713" s="545"/>
      <c r="BN713" s="546"/>
      <c r="BO713" s="546"/>
      <c r="BP713" s="546"/>
      <c r="BQ713" s="543"/>
      <c r="BR713" s="543"/>
      <c r="BS713" s="543"/>
      <c r="BT713" s="543"/>
      <c r="BU713" s="543"/>
      <c r="BV713" s="543"/>
      <c r="BW713" s="544"/>
      <c r="BX713" s="544"/>
      <c r="BY713" s="544"/>
      <c r="BZ713" s="539"/>
      <c r="CA713" s="539"/>
      <c r="CB713" s="539"/>
    </row>
    <row r="714" spans="1:89" s="459" customFormat="1" ht="15.75" x14ac:dyDescent="0.2">
      <c r="A714" s="54"/>
      <c r="B714" s="872"/>
      <c r="C714" s="508"/>
      <c r="D714" s="229"/>
      <c r="E714" s="230"/>
      <c r="F714" s="230"/>
      <c r="G714" s="274">
        <v>73</v>
      </c>
      <c r="H714" s="100" t="s">
        <v>846</v>
      </c>
      <c r="I714" s="100"/>
      <c r="J714" s="100"/>
      <c r="K714" s="155"/>
      <c r="L714" s="155"/>
      <c r="M714" s="155"/>
      <c r="N714" s="100"/>
      <c r="O714" s="212"/>
      <c r="P714" s="100"/>
      <c r="Q714" s="100"/>
      <c r="R714" s="336"/>
      <c r="S714" s="336"/>
      <c r="T714" s="336"/>
      <c r="U714" s="336"/>
      <c r="V714" s="336"/>
      <c r="W714" s="336"/>
      <c r="X714" s="336"/>
      <c r="Y714" s="336"/>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c r="AT714" s="336"/>
      <c r="AU714" s="336"/>
      <c r="AV714" s="336"/>
      <c r="AW714" s="336"/>
      <c r="AX714" s="336"/>
      <c r="AY714" s="336"/>
      <c r="AZ714" s="336"/>
      <c r="BA714" s="336"/>
      <c r="BB714" s="336"/>
      <c r="BC714" s="336"/>
      <c r="BD714" s="336"/>
      <c r="BE714" s="336"/>
      <c r="BF714" s="336"/>
      <c r="BG714" s="336"/>
      <c r="BH714" s="336"/>
      <c r="BI714" s="336"/>
      <c r="BJ714" s="336"/>
      <c r="BK714" s="552"/>
      <c r="BL714" s="552"/>
      <c r="BM714" s="552"/>
      <c r="BN714" s="336"/>
      <c r="BO714" s="336"/>
      <c r="BP714" s="336"/>
      <c r="BQ714" s="336"/>
      <c r="BR714" s="336"/>
      <c r="BS714" s="336"/>
      <c r="BT714" s="336"/>
      <c r="BU714" s="336"/>
      <c r="BV714" s="336"/>
      <c r="BW714" s="336"/>
      <c r="BX714" s="336"/>
      <c r="BY714" s="336"/>
      <c r="BZ714" s="658"/>
      <c r="CA714" s="658"/>
      <c r="CB714" s="658"/>
    </row>
    <row r="715" spans="1:89" s="11" customFormat="1" ht="88.5" customHeight="1" x14ac:dyDescent="0.2">
      <c r="A715" s="54"/>
      <c r="B715" s="872"/>
      <c r="C715" s="509">
        <v>36</v>
      </c>
      <c r="D715" s="517" t="s">
        <v>821</v>
      </c>
      <c r="E715" s="521">
        <v>0.4</v>
      </c>
      <c r="F715" s="523">
        <v>0.6</v>
      </c>
      <c r="G715" s="67"/>
      <c r="H715" s="27">
        <v>212</v>
      </c>
      <c r="I715" s="67" t="s">
        <v>847</v>
      </c>
      <c r="J715" s="103">
        <v>1</v>
      </c>
      <c r="K715" s="66">
        <v>1</v>
      </c>
      <c r="L715" s="66"/>
      <c r="M715" s="61">
        <v>201700360041</v>
      </c>
      <c r="N715" s="65" t="s">
        <v>823</v>
      </c>
      <c r="O715" s="501" t="s">
        <v>848</v>
      </c>
      <c r="P715" s="233" t="s">
        <v>849</v>
      </c>
      <c r="Q715" s="65" t="s">
        <v>51</v>
      </c>
      <c r="R715" s="580">
        <v>0</v>
      </c>
      <c r="S715" s="580"/>
      <c r="T715" s="580"/>
      <c r="U715" s="580">
        <v>0</v>
      </c>
      <c r="V715" s="580"/>
      <c r="W715" s="580"/>
      <c r="X715" s="580">
        <v>0</v>
      </c>
      <c r="Y715" s="580"/>
      <c r="Z715" s="580"/>
      <c r="AA715" s="580">
        <v>0</v>
      </c>
      <c r="AB715" s="580"/>
      <c r="AC715" s="580"/>
      <c r="AD715" s="580">
        <v>0</v>
      </c>
      <c r="AE715" s="580"/>
      <c r="AF715" s="580"/>
      <c r="AG715" s="580">
        <v>0</v>
      </c>
      <c r="AH715" s="580"/>
      <c r="AI715" s="580"/>
      <c r="AJ715" s="580">
        <v>0</v>
      </c>
      <c r="AK715" s="580"/>
      <c r="AL715" s="580"/>
      <c r="AM715" s="580">
        <v>0</v>
      </c>
      <c r="AN715" s="580"/>
      <c r="AO715" s="580"/>
      <c r="AP715" s="580">
        <v>0</v>
      </c>
      <c r="AQ715" s="580"/>
      <c r="AR715" s="580"/>
      <c r="AS715" s="580">
        <v>0</v>
      </c>
      <c r="AT715" s="580"/>
      <c r="AU715" s="580"/>
      <c r="AV715" s="580">
        <v>0</v>
      </c>
      <c r="AW715" s="580"/>
      <c r="AX715" s="580"/>
      <c r="AY715" s="580">
        <v>0</v>
      </c>
      <c r="AZ715" s="580"/>
      <c r="BA715" s="580"/>
      <c r="BB715" s="580">
        <v>0</v>
      </c>
      <c r="BC715" s="580"/>
      <c r="BD715" s="580"/>
      <c r="BE715" s="580">
        <v>0</v>
      </c>
      <c r="BF715" s="580"/>
      <c r="BG715" s="580"/>
      <c r="BH715" s="580">
        <v>0</v>
      </c>
      <c r="BI715" s="580"/>
      <c r="BJ715" s="580"/>
      <c r="BK715" s="13">
        <v>30000000</v>
      </c>
      <c r="BL715" s="601"/>
      <c r="BM715" s="601"/>
      <c r="BN715" s="580">
        <v>40000000</v>
      </c>
      <c r="BO715" s="580">
        <v>24850000</v>
      </c>
      <c r="BP715" s="580">
        <v>4000000</v>
      </c>
      <c r="BQ715" s="580">
        <v>0</v>
      </c>
      <c r="BR715" s="613"/>
      <c r="BS715" s="613"/>
      <c r="BT715" s="613"/>
      <c r="BU715" s="613"/>
      <c r="BV715" s="613"/>
      <c r="BW715" s="662">
        <v>79747962</v>
      </c>
      <c r="BX715" s="662"/>
      <c r="BY715" s="662"/>
      <c r="BZ715" s="539">
        <f t="shared" ref="BZ715" si="675">R715+U715+X715+AA715+AD715+AG715+AJ715+AM715+AP715+AS715+AV715+AY715+BB715+BE715+BH715+BK715+BN715+BQ715+BT715+BW715</f>
        <v>149747962</v>
      </c>
      <c r="CA715" s="539">
        <f t="shared" ref="CA715" si="676">S715+V715+Y715+AB715+AE715+AH715+AK715+AN715+AQ715+AT715+AW715+AZ715+BC715+BF715+BI715+BL715+BO715+BR715+BU715+BX715</f>
        <v>24850000</v>
      </c>
      <c r="CB715" s="539">
        <f t="shared" ref="CB715" si="677">T715+W715+Z715+AC715+AF715+AI715+AL715+AO715+AR715+AU715+AX715+BA715+BD715+BG715+BJ715+BM715+BP715+BS715+BV715+BY715</f>
        <v>4000000</v>
      </c>
    </row>
    <row r="716" spans="1:89" s="2" customFormat="1" ht="20.25" x14ac:dyDescent="0.25">
      <c r="A716" s="54"/>
      <c r="B716" s="872"/>
      <c r="C716" s="259"/>
      <c r="D716" s="209"/>
      <c r="E716" s="259"/>
      <c r="F716" s="259"/>
      <c r="G716" s="116"/>
      <c r="H716" s="117"/>
      <c r="I716" s="116"/>
      <c r="J716" s="431"/>
      <c r="K716" s="432"/>
      <c r="L716" s="432"/>
      <c r="M716" s="432"/>
      <c r="N716" s="431"/>
      <c r="O716" s="431"/>
      <c r="P716" s="433"/>
      <c r="Q716" s="431"/>
      <c r="R716" s="593">
        <f t="shared" ref="R716:BK716" si="678">SUM(R715)</f>
        <v>0</v>
      </c>
      <c r="S716" s="593"/>
      <c r="T716" s="593"/>
      <c r="U716" s="593">
        <f t="shared" ref="U716" si="679">SUM(U715)</f>
        <v>0</v>
      </c>
      <c r="V716" s="593"/>
      <c r="W716" s="593"/>
      <c r="X716" s="593">
        <f t="shared" si="678"/>
        <v>0</v>
      </c>
      <c r="Y716" s="593"/>
      <c r="Z716" s="593"/>
      <c r="AA716" s="593">
        <f t="shared" si="678"/>
        <v>0</v>
      </c>
      <c r="AB716" s="593"/>
      <c r="AC716" s="593"/>
      <c r="AD716" s="593">
        <f t="shared" si="678"/>
        <v>0</v>
      </c>
      <c r="AE716" s="593"/>
      <c r="AF716" s="593"/>
      <c r="AG716" s="593">
        <f t="shared" si="678"/>
        <v>0</v>
      </c>
      <c r="AH716" s="593"/>
      <c r="AI716" s="593"/>
      <c r="AJ716" s="593">
        <f t="shared" si="678"/>
        <v>0</v>
      </c>
      <c r="AK716" s="593"/>
      <c r="AL716" s="593"/>
      <c r="AM716" s="593"/>
      <c r="AN716" s="593"/>
      <c r="AO716" s="593"/>
      <c r="AP716" s="593"/>
      <c r="AQ716" s="593"/>
      <c r="AR716" s="593"/>
      <c r="AS716" s="593">
        <f t="shared" si="678"/>
        <v>0</v>
      </c>
      <c r="AT716" s="593"/>
      <c r="AU716" s="593"/>
      <c r="AV716" s="593">
        <f t="shared" si="678"/>
        <v>0</v>
      </c>
      <c r="AW716" s="593"/>
      <c r="AX716" s="593"/>
      <c r="AY716" s="593">
        <f t="shared" si="678"/>
        <v>0</v>
      </c>
      <c r="AZ716" s="593"/>
      <c r="BA716" s="593"/>
      <c r="BB716" s="593">
        <f t="shared" si="678"/>
        <v>0</v>
      </c>
      <c r="BC716" s="593"/>
      <c r="BD716" s="593"/>
      <c r="BE716" s="593">
        <f t="shared" si="678"/>
        <v>0</v>
      </c>
      <c r="BF716" s="593"/>
      <c r="BG716" s="593"/>
      <c r="BH716" s="593">
        <f t="shared" si="678"/>
        <v>0</v>
      </c>
      <c r="BI716" s="593"/>
      <c r="BJ716" s="593"/>
      <c r="BK716" s="664">
        <f t="shared" si="678"/>
        <v>30000000</v>
      </c>
      <c r="BL716" s="664"/>
      <c r="BM716" s="664"/>
      <c r="BN716" s="665">
        <f>SUM(BN715)</f>
        <v>40000000</v>
      </c>
      <c r="BO716" s="665"/>
      <c r="BP716" s="665"/>
      <c r="BQ716" s="665">
        <f>SUM(BQ715)</f>
        <v>0</v>
      </c>
      <c r="BR716" s="665"/>
      <c r="BS716" s="665"/>
      <c r="BT716" s="665">
        <f t="shared" ref="BT716:BW716" si="680">SUM(BT715)</f>
        <v>0</v>
      </c>
      <c r="BU716" s="665"/>
      <c r="BV716" s="665"/>
      <c r="BW716" s="665">
        <f t="shared" si="680"/>
        <v>79747962</v>
      </c>
      <c r="BX716" s="665"/>
      <c r="BY716" s="665"/>
      <c r="BZ716" s="665">
        <f>SUM(BZ715)</f>
        <v>149747962</v>
      </c>
      <c r="CA716" s="665">
        <f t="shared" ref="CA716:CB716" si="681">SUM(CA715)</f>
        <v>24850000</v>
      </c>
      <c r="CB716" s="665">
        <f t="shared" si="681"/>
        <v>4000000</v>
      </c>
    </row>
    <row r="717" spans="1:89" s="11" customFormat="1" ht="15.75" x14ac:dyDescent="0.2">
      <c r="A717" s="54"/>
      <c r="B717" s="323"/>
      <c r="C717" s="122"/>
      <c r="D717" s="121"/>
      <c r="E717" s="122"/>
      <c r="F717" s="122"/>
      <c r="G717" s="121"/>
      <c r="H717" s="122"/>
      <c r="I717" s="121"/>
      <c r="J717" s="434"/>
      <c r="K717" s="435"/>
      <c r="L717" s="435"/>
      <c r="M717" s="435"/>
      <c r="N717" s="434"/>
      <c r="O717" s="434"/>
      <c r="P717" s="436"/>
      <c r="Q717" s="434"/>
      <c r="R717" s="615">
        <f t="shared" ref="R717:BK717" si="682">R716+R712</f>
        <v>0</v>
      </c>
      <c r="S717" s="615"/>
      <c r="T717" s="615"/>
      <c r="U717" s="615">
        <f t="shared" si="682"/>
        <v>0</v>
      </c>
      <c r="V717" s="615"/>
      <c r="W717" s="615"/>
      <c r="X717" s="615">
        <f t="shared" si="682"/>
        <v>0</v>
      </c>
      <c r="Y717" s="615"/>
      <c r="Z717" s="615"/>
      <c r="AA717" s="615">
        <f t="shared" si="682"/>
        <v>0</v>
      </c>
      <c r="AB717" s="615"/>
      <c r="AC717" s="615"/>
      <c r="AD717" s="615">
        <f t="shared" si="682"/>
        <v>0</v>
      </c>
      <c r="AE717" s="615"/>
      <c r="AF717" s="615"/>
      <c r="AG717" s="615">
        <f t="shared" si="682"/>
        <v>0</v>
      </c>
      <c r="AH717" s="615"/>
      <c r="AI717" s="615"/>
      <c r="AJ717" s="615">
        <f t="shared" si="682"/>
        <v>0</v>
      </c>
      <c r="AK717" s="615"/>
      <c r="AL717" s="615"/>
      <c r="AM717" s="615"/>
      <c r="AN717" s="615"/>
      <c r="AO717" s="615"/>
      <c r="AP717" s="615"/>
      <c r="AQ717" s="615"/>
      <c r="AR717" s="615"/>
      <c r="AS717" s="615">
        <f t="shared" si="682"/>
        <v>0</v>
      </c>
      <c r="AT717" s="615"/>
      <c r="AU717" s="615"/>
      <c r="AV717" s="615">
        <f t="shared" si="682"/>
        <v>0</v>
      </c>
      <c r="AW717" s="615"/>
      <c r="AX717" s="615"/>
      <c r="AY717" s="615">
        <f t="shared" si="682"/>
        <v>0</v>
      </c>
      <c r="AZ717" s="615"/>
      <c r="BA717" s="615"/>
      <c r="BB717" s="615">
        <f t="shared" si="682"/>
        <v>0</v>
      </c>
      <c r="BC717" s="615"/>
      <c r="BD717" s="615"/>
      <c r="BE717" s="615">
        <f t="shared" si="682"/>
        <v>0</v>
      </c>
      <c r="BF717" s="615"/>
      <c r="BG717" s="615"/>
      <c r="BH717" s="615">
        <f t="shared" si="682"/>
        <v>0</v>
      </c>
      <c r="BI717" s="615"/>
      <c r="BJ717" s="615"/>
      <c r="BK717" s="666">
        <f t="shared" si="682"/>
        <v>130079925</v>
      </c>
      <c r="BL717" s="666"/>
      <c r="BM717" s="666"/>
      <c r="BN717" s="667">
        <f>BN716+BN712</f>
        <v>116100000</v>
      </c>
      <c r="BO717" s="667"/>
      <c r="BP717" s="667"/>
      <c r="BQ717" s="667">
        <f>BQ716+BQ712</f>
        <v>0</v>
      </c>
      <c r="BR717" s="667"/>
      <c r="BS717" s="667"/>
      <c r="BT717" s="667">
        <f t="shared" ref="BT717:BW717" si="683">BT716+BT712</f>
        <v>0</v>
      </c>
      <c r="BU717" s="667"/>
      <c r="BV717" s="667"/>
      <c r="BW717" s="667">
        <f t="shared" si="683"/>
        <v>142520320</v>
      </c>
      <c r="BX717" s="667"/>
      <c r="BY717" s="667"/>
      <c r="BZ717" s="667">
        <f>BZ716+BZ712</f>
        <v>388700245</v>
      </c>
      <c r="CA717" s="667">
        <f t="shared" ref="CA717:CB717" si="684">CA716+CA712</f>
        <v>80750000</v>
      </c>
      <c r="CB717" s="667">
        <f t="shared" si="684"/>
        <v>11350000</v>
      </c>
    </row>
    <row r="718" spans="1:89" s="11" customFormat="1" ht="15.75" x14ac:dyDescent="0.2">
      <c r="A718" s="54"/>
      <c r="B718" s="91"/>
      <c r="C718" s="92"/>
      <c r="D718" s="91"/>
      <c r="E718" s="92"/>
      <c r="F718" s="92"/>
      <c r="G718" s="91"/>
      <c r="H718" s="92"/>
      <c r="I718" s="91"/>
      <c r="J718" s="92"/>
      <c r="K718" s="184"/>
      <c r="L718" s="334"/>
      <c r="M718" s="334"/>
      <c r="N718" s="125"/>
      <c r="O718" s="499"/>
      <c r="P718" s="124"/>
      <c r="Q718" s="92"/>
      <c r="R718" s="543"/>
      <c r="S718" s="543"/>
      <c r="T718" s="543"/>
      <c r="U718" s="543"/>
      <c r="V718" s="543"/>
      <c r="W718" s="543"/>
      <c r="X718" s="543"/>
      <c r="Y718" s="543"/>
      <c r="Z718" s="543"/>
      <c r="AA718" s="543"/>
      <c r="AB718" s="543"/>
      <c r="AC718" s="543"/>
      <c r="AD718" s="543"/>
      <c r="AE718" s="543"/>
      <c r="AF718" s="543"/>
      <c r="AG718" s="543"/>
      <c r="AH718" s="543"/>
      <c r="AI718" s="543"/>
      <c r="AJ718" s="543"/>
      <c r="AK718" s="543"/>
      <c r="AL718" s="543"/>
      <c r="AM718" s="543"/>
      <c r="AN718" s="543"/>
      <c r="AO718" s="543"/>
      <c r="AP718" s="543"/>
      <c r="AQ718" s="543"/>
      <c r="AR718" s="543"/>
      <c r="AS718" s="543"/>
      <c r="AT718" s="543"/>
      <c r="AU718" s="543"/>
      <c r="AV718" s="543"/>
      <c r="AW718" s="543"/>
      <c r="AX718" s="543"/>
      <c r="AY718" s="544"/>
      <c r="AZ718" s="544"/>
      <c r="BA718" s="544"/>
      <c r="BB718" s="544"/>
      <c r="BC718" s="544"/>
      <c r="BD718" s="544"/>
      <c r="BE718" s="543"/>
      <c r="BF718" s="543"/>
      <c r="BG718" s="543"/>
      <c r="BH718" s="543"/>
      <c r="BI718" s="543"/>
      <c r="BJ718" s="543"/>
      <c r="BK718" s="545"/>
      <c r="BL718" s="545"/>
      <c r="BM718" s="545"/>
      <c r="BN718" s="543"/>
      <c r="BO718" s="543"/>
      <c r="BP718" s="543"/>
      <c r="BQ718" s="543"/>
      <c r="BR718" s="543"/>
      <c r="BS718" s="543"/>
      <c r="BT718" s="543"/>
      <c r="BU718" s="543"/>
      <c r="BV718" s="543"/>
      <c r="BW718" s="543"/>
      <c r="BX718" s="543"/>
      <c r="BY718" s="543"/>
      <c r="BZ718" s="539"/>
      <c r="CA718" s="539"/>
      <c r="CB718" s="539"/>
    </row>
    <row r="719" spans="1:89" s="11" customFormat="1" ht="15.75" x14ac:dyDescent="0.2">
      <c r="A719" s="54"/>
      <c r="B719" s="437">
        <v>22</v>
      </c>
      <c r="C719" s="49" t="s">
        <v>850</v>
      </c>
      <c r="D719" s="50"/>
      <c r="E719" s="50"/>
      <c r="F719" s="50"/>
      <c r="G719" s="50"/>
      <c r="H719" s="51"/>
      <c r="I719" s="50"/>
      <c r="J719" s="50"/>
      <c r="K719" s="153"/>
      <c r="L719" s="153"/>
      <c r="M719" s="153"/>
      <c r="N719" s="50"/>
      <c r="O719" s="51"/>
      <c r="P719" s="50"/>
      <c r="Q719" s="50"/>
      <c r="R719" s="550"/>
      <c r="S719" s="550"/>
      <c r="T719" s="550"/>
      <c r="U719" s="550"/>
      <c r="V719" s="550"/>
      <c r="W719" s="550"/>
      <c r="X719" s="550"/>
      <c r="Y719" s="550"/>
      <c r="Z719" s="550"/>
      <c r="AA719" s="550"/>
      <c r="AB719" s="550"/>
      <c r="AC719" s="550"/>
      <c r="AD719" s="550"/>
      <c r="AE719" s="550"/>
      <c r="AF719" s="550"/>
      <c r="AG719" s="550"/>
      <c r="AH719" s="550"/>
      <c r="AI719" s="550"/>
      <c r="AJ719" s="550"/>
      <c r="AK719" s="550"/>
      <c r="AL719" s="550"/>
      <c r="AM719" s="550"/>
      <c r="AN719" s="550"/>
      <c r="AO719" s="550"/>
      <c r="AP719" s="550"/>
      <c r="AQ719" s="550"/>
      <c r="AR719" s="550"/>
      <c r="AS719" s="550"/>
      <c r="AT719" s="550"/>
      <c r="AU719" s="550"/>
      <c r="AV719" s="550"/>
      <c r="AW719" s="550"/>
      <c r="AX719" s="550"/>
      <c r="AY719" s="550"/>
      <c r="AZ719" s="550"/>
      <c r="BA719" s="550"/>
      <c r="BB719" s="550"/>
      <c r="BC719" s="550"/>
      <c r="BD719" s="550"/>
      <c r="BE719" s="550"/>
      <c r="BF719" s="550"/>
      <c r="BG719" s="550"/>
      <c r="BH719" s="550"/>
      <c r="BI719" s="550"/>
      <c r="BJ719" s="550"/>
      <c r="BK719" s="551"/>
      <c r="BL719" s="551"/>
      <c r="BM719" s="551"/>
      <c r="BN719" s="550"/>
      <c r="BO719" s="550"/>
      <c r="BP719" s="550"/>
      <c r="BQ719" s="550"/>
      <c r="BR719" s="550"/>
      <c r="BS719" s="550"/>
      <c r="BT719" s="550"/>
      <c r="BU719" s="550"/>
      <c r="BV719" s="550"/>
      <c r="BW719" s="550"/>
      <c r="BX719" s="550"/>
      <c r="BY719" s="550"/>
      <c r="BZ719" s="659"/>
      <c r="CA719" s="659"/>
      <c r="CB719" s="659"/>
    </row>
    <row r="720" spans="1:89" s="11" customFormat="1" ht="15.75" x14ac:dyDescent="0.2">
      <c r="A720" s="54"/>
      <c r="B720" s="872"/>
      <c r="C720" s="508"/>
      <c r="D720" s="516"/>
      <c r="E720" s="508"/>
      <c r="F720" s="508"/>
      <c r="G720" s="274">
        <v>74</v>
      </c>
      <c r="H720" s="100" t="s">
        <v>851</v>
      </c>
      <c r="I720" s="100"/>
      <c r="J720" s="100"/>
      <c r="K720" s="155"/>
      <c r="L720" s="155"/>
      <c r="M720" s="155"/>
      <c r="N720" s="100"/>
      <c r="O720" s="212"/>
      <c r="P720" s="100"/>
      <c r="Q720" s="100"/>
      <c r="R720" s="336"/>
      <c r="S720" s="336"/>
      <c r="T720" s="336"/>
      <c r="U720" s="336"/>
      <c r="V720" s="336"/>
      <c r="W720" s="336"/>
      <c r="X720" s="336"/>
      <c r="Y720" s="336"/>
      <c r="Z720" s="336"/>
      <c r="AA720" s="336"/>
      <c r="AB720" s="336"/>
      <c r="AC720" s="336"/>
      <c r="AD720" s="336"/>
      <c r="AE720" s="336"/>
      <c r="AF720" s="336"/>
      <c r="AG720" s="336"/>
      <c r="AH720" s="336"/>
      <c r="AI720" s="336"/>
      <c r="AJ720" s="336"/>
      <c r="AK720" s="336"/>
      <c r="AL720" s="336"/>
      <c r="AM720" s="336"/>
      <c r="AN720" s="336"/>
      <c r="AO720" s="336"/>
      <c r="AP720" s="336"/>
      <c r="AQ720" s="336"/>
      <c r="AR720" s="336"/>
      <c r="AS720" s="336"/>
      <c r="AT720" s="336"/>
      <c r="AU720" s="336"/>
      <c r="AV720" s="336"/>
      <c r="AW720" s="336"/>
      <c r="AX720" s="336"/>
      <c r="AY720" s="336"/>
      <c r="AZ720" s="336"/>
      <c r="BA720" s="336"/>
      <c r="BB720" s="336"/>
      <c r="BC720" s="336"/>
      <c r="BD720" s="336"/>
      <c r="BE720" s="336"/>
      <c r="BF720" s="336"/>
      <c r="BG720" s="336"/>
      <c r="BH720" s="336"/>
      <c r="BI720" s="336"/>
      <c r="BJ720" s="336"/>
      <c r="BK720" s="552"/>
      <c r="BL720" s="552"/>
      <c r="BM720" s="552"/>
      <c r="BN720" s="336"/>
      <c r="BO720" s="336"/>
      <c r="BP720" s="336"/>
      <c r="BQ720" s="336"/>
      <c r="BR720" s="336"/>
      <c r="BS720" s="336"/>
      <c r="BT720" s="336"/>
      <c r="BU720" s="336"/>
      <c r="BV720" s="336"/>
      <c r="BW720" s="336"/>
      <c r="BX720" s="336"/>
      <c r="BY720" s="336"/>
      <c r="BZ720" s="658"/>
      <c r="CA720" s="658"/>
      <c r="CB720" s="658"/>
    </row>
    <row r="721" spans="1:80" s="11" customFormat="1" ht="75" customHeight="1" x14ac:dyDescent="0.2">
      <c r="A721" s="54"/>
      <c r="B721" s="872"/>
      <c r="C721" s="509">
        <v>36</v>
      </c>
      <c r="D721" s="517" t="s">
        <v>821</v>
      </c>
      <c r="E721" s="521">
        <v>0.4</v>
      </c>
      <c r="F721" s="523">
        <v>0.6</v>
      </c>
      <c r="G721" s="56"/>
      <c r="H721" s="57">
        <v>213</v>
      </c>
      <c r="I721" s="56" t="s">
        <v>852</v>
      </c>
      <c r="J721" s="65">
        <v>12</v>
      </c>
      <c r="K721" s="60">
        <v>12</v>
      </c>
      <c r="L721" s="60"/>
      <c r="M721" s="61">
        <v>201700360042</v>
      </c>
      <c r="N721" s="65" t="s">
        <v>823</v>
      </c>
      <c r="O721" s="501" t="s">
        <v>853</v>
      </c>
      <c r="P721" s="56" t="s">
        <v>854</v>
      </c>
      <c r="Q721" s="65" t="s">
        <v>51</v>
      </c>
      <c r="R721" s="539"/>
      <c r="S721" s="539"/>
      <c r="T721" s="539"/>
      <c r="U721" s="539"/>
      <c r="V721" s="539"/>
      <c r="W721" s="539"/>
      <c r="X721" s="539"/>
      <c r="Y721" s="539"/>
      <c r="Z721" s="539"/>
      <c r="AA721" s="539"/>
      <c r="AB721" s="539"/>
      <c r="AC721" s="539"/>
      <c r="AD721" s="539"/>
      <c r="AE721" s="539"/>
      <c r="AF721" s="539"/>
      <c r="AG721" s="539"/>
      <c r="AH721" s="539"/>
      <c r="AI721" s="539"/>
      <c r="AJ721" s="539"/>
      <c r="AK721" s="539"/>
      <c r="AL721" s="539"/>
      <c r="AM721" s="539"/>
      <c r="AN721" s="539"/>
      <c r="AO721" s="539"/>
      <c r="AP721" s="539"/>
      <c r="AQ721" s="539"/>
      <c r="AR721" s="539"/>
      <c r="AS721" s="539"/>
      <c r="AT721" s="539"/>
      <c r="AU721" s="539"/>
      <c r="AV721" s="539"/>
      <c r="AW721" s="539"/>
      <c r="AX721" s="539"/>
      <c r="AY721" s="539"/>
      <c r="AZ721" s="539"/>
      <c r="BA721" s="539"/>
      <c r="BB721" s="539"/>
      <c r="BC721" s="539"/>
      <c r="BD721" s="539"/>
      <c r="BE721" s="539"/>
      <c r="BF721" s="539"/>
      <c r="BG721" s="539"/>
      <c r="BH721" s="539"/>
      <c r="BI721" s="539"/>
      <c r="BJ721" s="539"/>
      <c r="BK721" s="540"/>
      <c r="BL721" s="540"/>
      <c r="BM721" s="540"/>
      <c r="BN721" s="553"/>
      <c r="BO721" s="553"/>
      <c r="BP721" s="553"/>
      <c r="BQ721" s="540">
        <v>244500000</v>
      </c>
      <c r="BR721" s="542"/>
      <c r="BS721" s="542"/>
      <c r="BT721" s="541"/>
      <c r="BU721" s="541"/>
      <c r="BV721" s="541"/>
      <c r="BW721" s="541"/>
      <c r="BX721" s="541"/>
      <c r="BY721" s="541"/>
      <c r="BZ721" s="539">
        <f t="shared" ref="BZ721" si="685">R721+U721+X721+AA721+AD721+AG721+AJ721+AM721+AP721+AS721+AV721+AY721+BB721+BE721+BH721+BK721+BN721+BQ721+BT721+BW721</f>
        <v>244500000</v>
      </c>
      <c r="CA721" s="539">
        <f t="shared" ref="CA721" si="686">S721+V721+Y721+AB721+AE721+AH721+AK721+AN721+AQ721+AT721+AW721+AZ721+BC721+BF721+BI721+BL721+BO721+BR721+BU721+BX721</f>
        <v>0</v>
      </c>
      <c r="CB721" s="539">
        <f t="shared" ref="CB721" si="687">T721+W721+Z721+AC721+AF721+AI721+AL721+AO721+AR721+AU721+AX721+BA721+BD721+BG721+BJ721+BM721+BP721+BS721+BV721+BY721</f>
        <v>0</v>
      </c>
    </row>
    <row r="722" spans="1:80" s="11" customFormat="1" ht="15.75" x14ac:dyDescent="0.2">
      <c r="A722" s="54"/>
      <c r="B722" s="872"/>
      <c r="C722" s="259"/>
      <c r="D722" s="209"/>
      <c r="E722" s="259"/>
      <c r="F722" s="259"/>
      <c r="G722" s="77"/>
      <c r="H722" s="78"/>
      <c r="I722" s="77"/>
      <c r="J722" s="239"/>
      <c r="K722" s="140"/>
      <c r="L722" s="140"/>
      <c r="M722" s="140"/>
      <c r="N722" s="239"/>
      <c r="O722" s="239"/>
      <c r="P722" s="234"/>
      <c r="Q722" s="239"/>
      <c r="R722" s="548">
        <f t="shared" ref="R722:BK722" si="688">SUM(R721)</f>
        <v>0</v>
      </c>
      <c r="S722" s="548"/>
      <c r="T722" s="548"/>
      <c r="U722" s="548">
        <f t="shared" ref="U722" si="689">SUM(U721)</f>
        <v>0</v>
      </c>
      <c r="V722" s="548"/>
      <c r="W722" s="548"/>
      <c r="X722" s="548">
        <f t="shared" si="688"/>
        <v>0</v>
      </c>
      <c r="Y722" s="548"/>
      <c r="Z722" s="548"/>
      <c r="AA722" s="548">
        <f t="shared" si="688"/>
        <v>0</v>
      </c>
      <c r="AB722" s="548"/>
      <c r="AC722" s="548"/>
      <c r="AD722" s="548">
        <f t="shared" si="688"/>
        <v>0</v>
      </c>
      <c r="AE722" s="548"/>
      <c r="AF722" s="548"/>
      <c r="AG722" s="548">
        <f t="shared" si="688"/>
        <v>0</v>
      </c>
      <c r="AH722" s="548"/>
      <c r="AI722" s="548"/>
      <c r="AJ722" s="548">
        <f t="shared" si="688"/>
        <v>0</v>
      </c>
      <c r="AK722" s="548"/>
      <c r="AL722" s="548"/>
      <c r="AM722" s="548"/>
      <c r="AN722" s="548"/>
      <c r="AO722" s="548"/>
      <c r="AP722" s="548"/>
      <c r="AQ722" s="548"/>
      <c r="AR722" s="548"/>
      <c r="AS722" s="548">
        <f t="shared" si="688"/>
        <v>0</v>
      </c>
      <c r="AT722" s="548"/>
      <c r="AU722" s="548"/>
      <c r="AV722" s="548">
        <f t="shared" si="688"/>
        <v>0</v>
      </c>
      <c r="AW722" s="548"/>
      <c r="AX722" s="548"/>
      <c r="AY722" s="548">
        <f t="shared" si="688"/>
        <v>0</v>
      </c>
      <c r="AZ722" s="548"/>
      <c r="BA722" s="548"/>
      <c r="BB722" s="548">
        <f t="shared" si="688"/>
        <v>0</v>
      </c>
      <c r="BC722" s="548"/>
      <c r="BD722" s="548"/>
      <c r="BE722" s="548">
        <f t="shared" si="688"/>
        <v>0</v>
      </c>
      <c r="BF722" s="548"/>
      <c r="BG722" s="548"/>
      <c r="BH722" s="548">
        <f t="shared" si="688"/>
        <v>0</v>
      </c>
      <c r="BI722" s="548"/>
      <c r="BJ722" s="548"/>
      <c r="BK722" s="621">
        <f t="shared" si="688"/>
        <v>0</v>
      </c>
      <c r="BL722" s="621"/>
      <c r="BM722" s="621"/>
      <c r="BN722" s="548">
        <f>SUM(BN721)</f>
        <v>0</v>
      </c>
      <c r="BO722" s="548"/>
      <c r="BP722" s="548"/>
      <c r="BQ722" s="548">
        <f t="shared" ref="BQ722:BW722" si="690">SUM(BQ721)</f>
        <v>244500000</v>
      </c>
      <c r="BR722" s="548"/>
      <c r="BS722" s="548"/>
      <c r="BT722" s="548">
        <f t="shared" si="690"/>
        <v>0</v>
      </c>
      <c r="BU722" s="548"/>
      <c r="BV722" s="548"/>
      <c r="BW722" s="548">
        <f t="shared" si="690"/>
        <v>0</v>
      </c>
      <c r="BX722" s="548"/>
      <c r="BY722" s="548"/>
      <c r="BZ722" s="548">
        <f>SUM(BZ721)</f>
        <v>244500000</v>
      </c>
      <c r="CA722" s="548">
        <f t="shared" ref="CA722:CB722" si="691">SUM(CA721)</f>
        <v>0</v>
      </c>
      <c r="CB722" s="548">
        <f t="shared" si="691"/>
        <v>0</v>
      </c>
    </row>
    <row r="723" spans="1:80" s="11" customFormat="1" ht="15.75" x14ac:dyDescent="0.2">
      <c r="A723" s="74"/>
      <c r="B723" s="118"/>
      <c r="C723" s="82"/>
      <c r="D723" s="81"/>
      <c r="E723" s="82"/>
      <c r="F723" s="82"/>
      <c r="G723" s="81"/>
      <c r="H723" s="82"/>
      <c r="I723" s="81"/>
      <c r="J723" s="250"/>
      <c r="K723" s="142"/>
      <c r="L723" s="142"/>
      <c r="M723" s="142"/>
      <c r="N723" s="250"/>
      <c r="O723" s="250"/>
      <c r="P723" s="429"/>
      <c r="Q723" s="250"/>
      <c r="R723" s="554">
        <f t="shared" ref="R723:BK723" si="692">R722</f>
        <v>0</v>
      </c>
      <c r="S723" s="554"/>
      <c r="T723" s="554"/>
      <c r="U723" s="554">
        <f t="shared" si="692"/>
        <v>0</v>
      </c>
      <c r="V723" s="554"/>
      <c r="W723" s="554"/>
      <c r="X723" s="554">
        <f t="shared" si="692"/>
        <v>0</v>
      </c>
      <c r="Y723" s="554"/>
      <c r="Z723" s="554"/>
      <c r="AA723" s="554">
        <f t="shared" si="692"/>
        <v>0</v>
      </c>
      <c r="AB723" s="554"/>
      <c r="AC723" s="554"/>
      <c r="AD723" s="554">
        <f t="shared" si="692"/>
        <v>0</v>
      </c>
      <c r="AE723" s="554"/>
      <c r="AF723" s="554"/>
      <c r="AG723" s="554">
        <f t="shared" si="692"/>
        <v>0</v>
      </c>
      <c r="AH723" s="554"/>
      <c r="AI723" s="554"/>
      <c r="AJ723" s="554">
        <f t="shared" si="692"/>
        <v>0</v>
      </c>
      <c r="AK723" s="554"/>
      <c r="AL723" s="554"/>
      <c r="AM723" s="554"/>
      <c r="AN723" s="554"/>
      <c r="AO723" s="554"/>
      <c r="AP723" s="554"/>
      <c r="AQ723" s="554"/>
      <c r="AR723" s="554"/>
      <c r="AS723" s="554">
        <f t="shared" si="692"/>
        <v>0</v>
      </c>
      <c r="AT723" s="554"/>
      <c r="AU723" s="554"/>
      <c r="AV723" s="554">
        <f t="shared" si="692"/>
        <v>0</v>
      </c>
      <c r="AW723" s="554"/>
      <c r="AX723" s="554"/>
      <c r="AY723" s="554">
        <f t="shared" si="692"/>
        <v>0</v>
      </c>
      <c r="AZ723" s="554"/>
      <c r="BA723" s="554"/>
      <c r="BB723" s="554">
        <f t="shared" si="692"/>
        <v>0</v>
      </c>
      <c r="BC723" s="554"/>
      <c r="BD723" s="554"/>
      <c r="BE723" s="554">
        <f t="shared" si="692"/>
        <v>0</v>
      </c>
      <c r="BF723" s="554"/>
      <c r="BG723" s="554"/>
      <c r="BH723" s="554">
        <f t="shared" si="692"/>
        <v>0</v>
      </c>
      <c r="BI723" s="554"/>
      <c r="BJ723" s="554"/>
      <c r="BK723" s="622">
        <f t="shared" si="692"/>
        <v>0</v>
      </c>
      <c r="BL723" s="622"/>
      <c r="BM723" s="622"/>
      <c r="BN723" s="554">
        <f>BN722</f>
        <v>0</v>
      </c>
      <c r="BO723" s="554"/>
      <c r="BP723" s="554"/>
      <c r="BQ723" s="554">
        <f t="shared" ref="BQ723:BW723" si="693">BQ722</f>
        <v>244500000</v>
      </c>
      <c r="BR723" s="554"/>
      <c r="BS723" s="554"/>
      <c r="BT723" s="554">
        <f t="shared" si="693"/>
        <v>0</v>
      </c>
      <c r="BU723" s="554"/>
      <c r="BV723" s="554"/>
      <c r="BW723" s="554">
        <f t="shared" si="693"/>
        <v>0</v>
      </c>
      <c r="BX723" s="554"/>
      <c r="BY723" s="554"/>
      <c r="BZ723" s="554">
        <f>BZ722</f>
        <v>244500000</v>
      </c>
      <c r="CA723" s="554">
        <f t="shared" ref="CA723:CB723" si="694">CA722</f>
        <v>0</v>
      </c>
      <c r="CB723" s="554">
        <f t="shared" si="694"/>
        <v>0</v>
      </c>
    </row>
    <row r="724" spans="1:80" s="11" customFormat="1" x14ac:dyDescent="0.2">
      <c r="A724" s="84"/>
      <c r="B724" s="84"/>
      <c r="C724" s="85"/>
      <c r="D724" s="84"/>
      <c r="E724" s="85"/>
      <c r="F724" s="85"/>
      <c r="G724" s="84"/>
      <c r="H724" s="85"/>
      <c r="I724" s="84"/>
      <c r="J724" s="264"/>
      <c r="K724" s="143"/>
      <c r="L724" s="143"/>
      <c r="M724" s="143"/>
      <c r="N724" s="264"/>
      <c r="O724" s="264"/>
      <c r="P724" s="438"/>
      <c r="Q724" s="264"/>
      <c r="R724" s="560">
        <f t="shared" ref="R724:AJ724" si="695">R723+R717+R705</f>
        <v>0</v>
      </c>
      <c r="S724" s="560"/>
      <c r="T724" s="560"/>
      <c r="U724" s="560">
        <f t="shared" si="695"/>
        <v>0</v>
      </c>
      <c r="V724" s="560"/>
      <c r="W724" s="560"/>
      <c r="X724" s="560">
        <f t="shared" si="695"/>
        <v>0</v>
      </c>
      <c r="Y724" s="560"/>
      <c r="Z724" s="560"/>
      <c r="AA724" s="560">
        <f t="shared" si="695"/>
        <v>0</v>
      </c>
      <c r="AB724" s="560"/>
      <c r="AC724" s="560"/>
      <c r="AD724" s="560">
        <f t="shared" si="695"/>
        <v>0</v>
      </c>
      <c r="AE724" s="560"/>
      <c r="AF724" s="560"/>
      <c r="AG724" s="560">
        <f t="shared" si="695"/>
        <v>0</v>
      </c>
      <c r="AH724" s="560"/>
      <c r="AI724" s="560"/>
      <c r="AJ724" s="560">
        <f t="shared" si="695"/>
        <v>0</v>
      </c>
      <c r="AK724" s="560"/>
      <c r="AL724" s="560"/>
      <c r="AM724" s="560"/>
      <c r="AN724" s="560"/>
      <c r="AO724" s="560"/>
      <c r="AP724" s="560"/>
      <c r="AQ724" s="560"/>
      <c r="AR724" s="560"/>
      <c r="AS724" s="560">
        <f t="shared" ref="AS724:BK724" si="696">AS723+AS717+AS705</f>
        <v>0</v>
      </c>
      <c r="AT724" s="560"/>
      <c r="AU724" s="560"/>
      <c r="AV724" s="560">
        <f t="shared" si="696"/>
        <v>0</v>
      </c>
      <c r="AW724" s="560"/>
      <c r="AX724" s="560"/>
      <c r="AY724" s="560">
        <f t="shared" si="696"/>
        <v>0</v>
      </c>
      <c r="AZ724" s="560"/>
      <c r="BA724" s="560"/>
      <c r="BB724" s="560">
        <f t="shared" si="696"/>
        <v>0</v>
      </c>
      <c r="BC724" s="560"/>
      <c r="BD724" s="560"/>
      <c r="BE724" s="560">
        <f t="shared" si="696"/>
        <v>0</v>
      </c>
      <c r="BF724" s="560"/>
      <c r="BG724" s="560"/>
      <c r="BH724" s="560">
        <f t="shared" si="696"/>
        <v>0</v>
      </c>
      <c r="BI724" s="560"/>
      <c r="BJ724" s="560"/>
      <c r="BK724" s="623">
        <f t="shared" si="696"/>
        <v>839854602</v>
      </c>
      <c r="BL724" s="623"/>
      <c r="BM724" s="623"/>
      <c r="BN724" s="560">
        <f>BN723+BN717+BN705</f>
        <v>1734579742.49</v>
      </c>
      <c r="BO724" s="560"/>
      <c r="BP724" s="560"/>
      <c r="BQ724" s="560">
        <f t="shared" ref="BQ724:BW724" si="697">BQ723+BQ717+BQ705</f>
        <v>276728160</v>
      </c>
      <c r="BR724" s="560"/>
      <c r="BS724" s="560"/>
      <c r="BT724" s="560">
        <f t="shared" si="697"/>
        <v>0</v>
      </c>
      <c r="BU724" s="560"/>
      <c r="BV724" s="560"/>
      <c r="BW724" s="560">
        <f t="shared" si="697"/>
        <v>251747962</v>
      </c>
      <c r="BX724" s="560"/>
      <c r="BY724" s="560"/>
      <c r="BZ724" s="560">
        <f>BZ723+BZ717+BZ705</f>
        <v>3102910466.4899998</v>
      </c>
      <c r="CA724" s="560">
        <f t="shared" ref="CA724:CB724" si="698">CA723+CA717+CA705</f>
        <v>938746000</v>
      </c>
      <c r="CB724" s="560">
        <f t="shared" si="698"/>
        <v>147666000</v>
      </c>
    </row>
    <row r="725" spans="1:80" s="2" customFormat="1" ht="20.25" x14ac:dyDescent="0.25">
      <c r="A725" s="87"/>
      <c r="B725" s="87"/>
      <c r="C725" s="88"/>
      <c r="D725" s="87"/>
      <c r="E725" s="88"/>
      <c r="F725" s="88"/>
      <c r="G725" s="87"/>
      <c r="H725" s="88"/>
      <c r="I725" s="87"/>
      <c r="J725" s="268"/>
      <c r="K725" s="144"/>
      <c r="L725" s="144"/>
      <c r="M725" s="144"/>
      <c r="N725" s="268"/>
      <c r="O725" s="268"/>
      <c r="P725" s="406"/>
      <c r="Q725" s="268"/>
      <c r="R725" s="561">
        <f t="shared" ref="R725:AJ725" si="699">R724</f>
        <v>0</v>
      </c>
      <c r="S725" s="561"/>
      <c r="T725" s="561"/>
      <c r="U725" s="561">
        <f t="shared" si="699"/>
        <v>0</v>
      </c>
      <c r="V725" s="561"/>
      <c r="W725" s="561"/>
      <c r="X725" s="561">
        <f t="shared" si="699"/>
        <v>0</v>
      </c>
      <c r="Y725" s="561"/>
      <c r="Z725" s="561"/>
      <c r="AA725" s="561">
        <f t="shared" si="699"/>
        <v>0</v>
      </c>
      <c r="AB725" s="561"/>
      <c r="AC725" s="561"/>
      <c r="AD725" s="561">
        <f t="shared" si="699"/>
        <v>0</v>
      </c>
      <c r="AE725" s="561"/>
      <c r="AF725" s="561"/>
      <c r="AG725" s="561">
        <f t="shared" si="699"/>
        <v>0</v>
      </c>
      <c r="AH725" s="561"/>
      <c r="AI725" s="561"/>
      <c r="AJ725" s="561">
        <f t="shared" si="699"/>
        <v>0</v>
      </c>
      <c r="AK725" s="561"/>
      <c r="AL725" s="561"/>
      <c r="AM725" s="561"/>
      <c r="AN725" s="561"/>
      <c r="AO725" s="561"/>
      <c r="AP725" s="561"/>
      <c r="AQ725" s="561"/>
      <c r="AR725" s="561"/>
      <c r="AS725" s="561">
        <f t="shared" ref="AS725:BB725" si="700">AS724</f>
        <v>0</v>
      </c>
      <c r="AT725" s="561"/>
      <c r="AU725" s="561"/>
      <c r="AV725" s="561">
        <f t="shared" si="700"/>
        <v>0</v>
      </c>
      <c r="AW725" s="561"/>
      <c r="AX725" s="561"/>
      <c r="AY725" s="561">
        <f t="shared" si="700"/>
        <v>0</v>
      </c>
      <c r="AZ725" s="561"/>
      <c r="BA725" s="561"/>
      <c r="BB725" s="561">
        <f t="shared" si="700"/>
        <v>0</v>
      </c>
      <c r="BC725" s="561"/>
      <c r="BD725" s="561"/>
      <c r="BE725" s="561">
        <f t="shared" ref="BE725:BK725" si="701">BE724</f>
        <v>0</v>
      </c>
      <c r="BF725" s="561"/>
      <c r="BG725" s="561"/>
      <c r="BH725" s="561">
        <f t="shared" si="701"/>
        <v>0</v>
      </c>
      <c r="BI725" s="561"/>
      <c r="BJ725" s="561"/>
      <c r="BK725" s="624">
        <f t="shared" si="701"/>
        <v>839854602</v>
      </c>
      <c r="BL725" s="624"/>
      <c r="BM725" s="624"/>
      <c r="BN725" s="561">
        <f>BN724</f>
        <v>1734579742.49</v>
      </c>
      <c r="BO725" s="561"/>
      <c r="BP725" s="561"/>
      <c r="BQ725" s="561">
        <f t="shared" ref="BQ725:BW725" si="702">BQ724</f>
        <v>276728160</v>
      </c>
      <c r="BR725" s="561"/>
      <c r="BS725" s="561"/>
      <c r="BT725" s="561">
        <f t="shared" si="702"/>
        <v>0</v>
      </c>
      <c r="BU725" s="561"/>
      <c r="BV725" s="561"/>
      <c r="BW725" s="561">
        <f t="shared" si="702"/>
        <v>251747962</v>
      </c>
      <c r="BX725" s="561"/>
      <c r="BY725" s="561"/>
      <c r="BZ725" s="561">
        <f>BZ724</f>
        <v>3102910466.4899998</v>
      </c>
      <c r="CA725" s="561">
        <f t="shared" ref="CA725:CB725" si="703">CA724</f>
        <v>938746000</v>
      </c>
      <c r="CB725" s="561">
        <f t="shared" si="703"/>
        <v>147666000</v>
      </c>
    </row>
    <row r="726" spans="1:80" s="2" customFormat="1" ht="20.25" x14ac:dyDescent="0.25">
      <c r="A726" s="90"/>
      <c r="B726" s="91"/>
      <c r="C726" s="532"/>
      <c r="D726" s="91"/>
      <c r="E726" s="532"/>
      <c r="F726" s="532"/>
      <c r="G726" s="91"/>
      <c r="H726" s="532"/>
      <c r="I726" s="91"/>
      <c r="J726" s="244"/>
      <c r="K726" s="329"/>
      <c r="L726" s="329"/>
      <c r="M726" s="329"/>
      <c r="N726" s="244"/>
      <c r="O726" s="244"/>
      <c r="P726" s="202"/>
      <c r="Q726" s="244"/>
      <c r="R726" s="543"/>
      <c r="S726" s="543"/>
      <c r="T726" s="543"/>
      <c r="U726" s="544"/>
      <c r="V726" s="544"/>
      <c r="W726" s="544"/>
      <c r="X726" s="543"/>
      <c r="Y726" s="543"/>
      <c r="Z726" s="543"/>
      <c r="AA726" s="543"/>
      <c r="AB726" s="543"/>
      <c r="AC726" s="543"/>
      <c r="AD726" s="543"/>
      <c r="AE726" s="543"/>
      <c r="AF726" s="543"/>
      <c r="AG726" s="543"/>
      <c r="AH726" s="543"/>
      <c r="AI726" s="543"/>
      <c r="AJ726" s="543"/>
      <c r="AK726" s="543"/>
      <c r="AL726" s="543"/>
      <c r="AM726" s="543"/>
      <c r="AN726" s="543"/>
      <c r="AO726" s="543"/>
      <c r="AP726" s="543"/>
      <c r="AQ726" s="543"/>
      <c r="AR726" s="543"/>
      <c r="AS726" s="543"/>
      <c r="AT726" s="543"/>
      <c r="AU726" s="543"/>
      <c r="AV726" s="543"/>
      <c r="AW726" s="543"/>
      <c r="AX726" s="543"/>
      <c r="AY726" s="543"/>
      <c r="AZ726" s="543"/>
      <c r="BA726" s="543"/>
      <c r="BB726" s="543"/>
      <c r="BC726" s="543"/>
      <c r="BD726" s="543"/>
      <c r="BE726" s="543"/>
      <c r="BF726" s="543"/>
      <c r="BG726" s="543"/>
      <c r="BH726" s="543"/>
      <c r="BI726" s="543"/>
      <c r="BJ726" s="543"/>
      <c r="BK726" s="543"/>
      <c r="BL726" s="543"/>
      <c r="BM726" s="543"/>
      <c r="BN726" s="543"/>
      <c r="BO726" s="543"/>
      <c r="BP726" s="543"/>
      <c r="BQ726" s="543"/>
      <c r="BR726" s="543"/>
      <c r="BS726" s="543"/>
      <c r="BT726" s="543"/>
      <c r="BU726" s="543"/>
      <c r="BV726" s="543"/>
      <c r="BW726" s="544"/>
      <c r="BX726" s="544"/>
      <c r="BY726" s="544"/>
      <c r="BZ726" s="543"/>
      <c r="CA726" s="543"/>
      <c r="CB726" s="547"/>
    </row>
    <row r="727" spans="1:80" s="459" customFormat="1" ht="15.75" x14ac:dyDescent="0.2">
      <c r="A727" s="439" t="s">
        <v>855</v>
      </c>
      <c r="B727" s="439"/>
      <c r="C727" s="440"/>
      <c r="D727" s="439"/>
      <c r="E727" s="439"/>
      <c r="F727" s="439"/>
      <c r="G727" s="441"/>
      <c r="H727" s="442"/>
      <c r="I727" s="441"/>
      <c r="J727" s="441"/>
      <c r="K727" s="443"/>
      <c r="L727" s="443"/>
      <c r="M727" s="443"/>
      <c r="N727" s="441"/>
      <c r="O727" s="442"/>
      <c r="P727" s="441"/>
      <c r="Q727" s="442"/>
      <c r="R727" s="668"/>
      <c r="S727" s="668"/>
      <c r="T727" s="668"/>
      <c r="U727" s="668"/>
      <c r="V727" s="668"/>
      <c r="W727" s="668"/>
      <c r="X727" s="668"/>
      <c r="Y727" s="668"/>
      <c r="Z727" s="668"/>
      <c r="AA727" s="668"/>
      <c r="AB727" s="668"/>
      <c r="AC727" s="668"/>
      <c r="AD727" s="668"/>
      <c r="AE727" s="668"/>
      <c r="AF727" s="668"/>
      <c r="AG727" s="668"/>
      <c r="AH727" s="668"/>
      <c r="AI727" s="668"/>
      <c r="AJ727" s="668"/>
      <c r="AK727" s="668"/>
      <c r="AL727" s="668"/>
      <c r="AM727" s="668"/>
      <c r="AN727" s="668"/>
      <c r="AO727" s="668"/>
      <c r="AP727" s="668"/>
      <c r="AQ727" s="668"/>
      <c r="AR727" s="668"/>
      <c r="AS727" s="668"/>
      <c r="AT727" s="668"/>
      <c r="AU727" s="668"/>
      <c r="AV727" s="668"/>
      <c r="AW727" s="668"/>
      <c r="AX727" s="668"/>
      <c r="AY727" s="668"/>
      <c r="AZ727" s="668"/>
      <c r="BA727" s="668"/>
      <c r="BB727" s="668"/>
      <c r="BC727" s="668"/>
      <c r="BD727" s="668"/>
      <c r="BE727" s="668"/>
      <c r="BF727" s="668"/>
      <c r="BG727" s="668"/>
      <c r="BH727" s="668"/>
      <c r="BI727" s="668"/>
      <c r="BJ727" s="668"/>
      <c r="BK727" s="669"/>
      <c r="BL727" s="669"/>
      <c r="BM727" s="669"/>
      <c r="BN727" s="670"/>
      <c r="BO727" s="670"/>
      <c r="BP727" s="670"/>
      <c r="BQ727" s="668"/>
      <c r="BR727" s="668"/>
      <c r="BS727" s="668"/>
      <c r="BT727" s="668"/>
      <c r="BU727" s="668"/>
      <c r="BV727" s="668"/>
      <c r="BW727" s="668"/>
      <c r="BX727" s="668"/>
      <c r="BY727" s="668"/>
      <c r="BZ727" s="671"/>
      <c r="CA727" s="671"/>
      <c r="CB727" s="671"/>
    </row>
    <row r="728" spans="1:80" s="459" customFormat="1" ht="15.75" x14ac:dyDescent="0.2">
      <c r="A728" s="297">
        <v>2</v>
      </c>
      <c r="B728" s="947" t="s">
        <v>129</v>
      </c>
      <c r="C728" s="947"/>
      <c r="D728" s="947"/>
      <c r="E728" s="947"/>
      <c r="F728" s="298"/>
      <c r="G728" s="444"/>
      <c r="H728" s="445"/>
      <c r="I728" s="444"/>
      <c r="J728" s="444"/>
      <c r="K728" s="446"/>
      <c r="L728" s="446"/>
      <c r="M728" s="446"/>
      <c r="N728" s="444"/>
      <c r="O728" s="445"/>
      <c r="P728" s="444"/>
      <c r="Q728" s="444"/>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2"/>
      <c r="AY728" s="672"/>
      <c r="AZ728" s="672"/>
      <c r="BA728" s="672"/>
      <c r="BB728" s="672"/>
      <c r="BC728" s="672"/>
      <c r="BD728" s="672"/>
      <c r="BE728" s="672"/>
      <c r="BF728" s="672"/>
      <c r="BG728" s="672"/>
      <c r="BH728" s="672"/>
      <c r="BI728" s="672"/>
      <c r="BJ728" s="672"/>
      <c r="BK728" s="673"/>
      <c r="BL728" s="673"/>
      <c r="BM728" s="673"/>
      <c r="BN728" s="672"/>
      <c r="BO728" s="672"/>
      <c r="BP728" s="672"/>
      <c r="BQ728" s="672"/>
      <c r="BR728" s="672"/>
      <c r="BS728" s="672"/>
      <c r="BT728" s="672"/>
      <c r="BU728" s="672"/>
      <c r="BV728" s="672"/>
      <c r="BW728" s="672"/>
      <c r="BX728" s="672"/>
      <c r="BY728" s="672"/>
      <c r="BZ728" s="610"/>
      <c r="CA728" s="610"/>
      <c r="CB728" s="610"/>
    </row>
    <row r="729" spans="1:80" s="459" customFormat="1" ht="15.75" x14ac:dyDescent="0.2">
      <c r="A729" s="484"/>
      <c r="B729" s="185">
        <v>4</v>
      </c>
      <c r="C729" s="948" t="s">
        <v>130</v>
      </c>
      <c r="D729" s="948"/>
      <c r="E729" s="948"/>
      <c r="F729" s="948"/>
      <c r="G729" s="447"/>
      <c r="H729" s="448"/>
      <c r="I729" s="447"/>
      <c r="J729" s="447"/>
      <c r="K729" s="449"/>
      <c r="L729" s="449"/>
      <c r="M729" s="449"/>
      <c r="N729" s="447"/>
      <c r="O729" s="448"/>
      <c r="P729" s="447"/>
      <c r="Q729" s="447"/>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4"/>
      <c r="AY729" s="674"/>
      <c r="AZ729" s="674"/>
      <c r="BA729" s="674"/>
      <c r="BB729" s="674"/>
      <c r="BC729" s="674"/>
      <c r="BD729" s="674"/>
      <c r="BE729" s="674"/>
      <c r="BF729" s="674"/>
      <c r="BG729" s="674"/>
      <c r="BH729" s="674"/>
      <c r="BI729" s="674"/>
      <c r="BJ729" s="674"/>
      <c r="BK729" s="675"/>
      <c r="BL729" s="675"/>
      <c r="BM729" s="675"/>
      <c r="BN729" s="674"/>
      <c r="BO729" s="674"/>
      <c r="BP729" s="674"/>
      <c r="BQ729" s="674"/>
      <c r="BR729" s="674"/>
      <c r="BS729" s="674"/>
      <c r="BT729" s="674"/>
      <c r="BU729" s="674"/>
      <c r="BV729" s="674"/>
      <c r="BW729" s="674"/>
      <c r="BX729" s="674"/>
      <c r="BY729" s="674"/>
      <c r="BZ729" s="676"/>
      <c r="CA729" s="676"/>
      <c r="CB729" s="676"/>
    </row>
    <row r="730" spans="1:80" s="11" customFormat="1" ht="15.75" x14ac:dyDescent="0.2">
      <c r="A730" s="54"/>
      <c r="B730" s="96"/>
      <c r="C730" s="36"/>
      <c r="D730" s="96"/>
      <c r="E730" s="96"/>
      <c r="F730" s="96"/>
      <c r="G730" s="274">
        <v>14</v>
      </c>
      <c r="H730" s="212" t="s">
        <v>131</v>
      </c>
      <c r="I730" s="100"/>
      <c r="J730" s="100"/>
      <c r="K730" s="155"/>
      <c r="L730" s="155"/>
      <c r="M730" s="155"/>
      <c r="N730" s="100"/>
      <c r="O730" s="212"/>
      <c r="P730" s="100"/>
      <c r="Q730" s="100"/>
      <c r="R730" s="336"/>
      <c r="S730" s="336"/>
      <c r="T730" s="336"/>
      <c r="U730" s="336"/>
      <c r="V730" s="336"/>
      <c r="W730" s="336"/>
      <c r="X730" s="336"/>
      <c r="Y730" s="336"/>
      <c r="Z730" s="336"/>
      <c r="AA730" s="336"/>
      <c r="AB730" s="336"/>
      <c r="AC730" s="336"/>
      <c r="AD730" s="336"/>
      <c r="AE730" s="336"/>
      <c r="AF730" s="336"/>
      <c r="AG730" s="336"/>
      <c r="AH730" s="336"/>
      <c r="AI730" s="336"/>
      <c r="AJ730" s="336"/>
      <c r="AK730" s="336"/>
      <c r="AL730" s="336"/>
      <c r="AM730" s="336"/>
      <c r="AN730" s="336"/>
      <c r="AO730" s="336"/>
      <c r="AP730" s="336"/>
      <c r="AQ730" s="336"/>
      <c r="AR730" s="336"/>
      <c r="AS730" s="336"/>
      <c r="AT730" s="336"/>
      <c r="AU730" s="336"/>
      <c r="AV730" s="336"/>
      <c r="AW730" s="336"/>
      <c r="AX730" s="336"/>
      <c r="AY730" s="336"/>
      <c r="AZ730" s="336"/>
      <c r="BA730" s="336"/>
      <c r="BB730" s="336"/>
      <c r="BC730" s="336"/>
      <c r="BD730" s="336"/>
      <c r="BE730" s="336"/>
      <c r="BF730" s="336"/>
      <c r="BG730" s="336"/>
      <c r="BH730" s="336"/>
      <c r="BI730" s="336"/>
      <c r="BJ730" s="336"/>
      <c r="BK730" s="552"/>
      <c r="BL730" s="552"/>
      <c r="BM730" s="552"/>
      <c r="BN730" s="336"/>
      <c r="BO730" s="336"/>
      <c r="BP730" s="336"/>
      <c r="BQ730" s="336"/>
      <c r="BR730" s="336"/>
      <c r="BS730" s="336"/>
      <c r="BT730" s="336"/>
      <c r="BU730" s="336"/>
      <c r="BV730" s="336"/>
      <c r="BW730" s="336"/>
      <c r="BX730" s="336"/>
      <c r="BY730" s="336"/>
      <c r="BZ730" s="338"/>
      <c r="CA730" s="338"/>
      <c r="CB730" s="338"/>
    </row>
    <row r="731" spans="1:80" s="11" customFormat="1" ht="102" customHeight="1" x14ac:dyDescent="0.2">
      <c r="A731" s="54"/>
      <c r="B731" s="54"/>
      <c r="C731" s="509">
        <v>7</v>
      </c>
      <c r="D731" s="517" t="s">
        <v>856</v>
      </c>
      <c r="E731" s="526">
        <v>0.317</v>
      </c>
      <c r="F731" s="523">
        <v>0.27</v>
      </c>
      <c r="G731" s="68"/>
      <c r="H731" s="162">
        <v>54</v>
      </c>
      <c r="I731" s="56" t="s">
        <v>133</v>
      </c>
      <c r="J731" s="131">
        <v>129.85</v>
      </c>
      <c r="K731" s="132">
        <v>130</v>
      </c>
      <c r="L731" s="132">
        <v>0</v>
      </c>
      <c r="M731" s="61">
        <v>2017003630058</v>
      </c>
      <c r="N731" s="131" t="s">
        <v>857</v>
      </c>
      <c r="O731" s="501" t="s">
        <v>858</v>
      </c>
      <c r="P731" s="450" t="s">
        <v>859</v>
      </c>
      <c r="Q731" s="57" t="s">
        <v>51</v>
      </c>
      <c r="R731" s="539"/>
      <c r="S731" s="539"/>
      <c r="T731" s="539"/>
      <c r="U731" s="539"/>
      <c r="V731" s="539"/>
      <c r="W731" s="539"/>
      <c r="X731" s="539"/>
      <c r="Y731" s="539"/>
      <c r="Z731" s="539"/>
      <c r="AA731" s="539"/>
      <c r="AB731" s="539"/>
      <c r="AC731" s="539"/>
      <c r="AD731" s="539"/>
      <c r="AE731" s="541"/>
      <c r="AF731" s="541"/>
      <c r="AG731" s="542"/>
      <c r="AH731" s="542"/>
      <c r="AI731" s="542"/>
      <c r="AJ731" s="539"/>
      <c r="AK731" s="539"/>
      <c r="AL731" s="539"/>
      <c r="AM731" s="539"/>
      <c r="AN731" s="539"/>
      <c r="AO731" s="539"/>
      <c r="AP731" s="539"/>
      <c r="AQ731" s="539"/>
      <c r="AR731" s="539"/>
      <c r="AS731" s="539"/>
      <c r="AT731" s="539"/>
      <c r="AU731" s="539"/>
      <c r="AV731" s="539"/>
      <c r="AW731" s="539"/>
      <c r="AX731" s="539"/>
      <c r="AY731" s="539"/>
      <c r="AZ731" s="539"/>
      <c r="BA731" s="539"/>
      <c r="BB731" s="539"/>
      <c r="BC731" s="539"/>
      <c r="BD731" s="539"/>
      <c r="BE731" s="539"/>
      <c r="BF731" s="539"/>
      <c r="BG731" s="539"/>
      <c r="BH731" s="539"/>
      <c r="BI731" s="539"/>
      <c r="BJ731" s="539"/>
      <c r="BK731" s="540">
        <v>0</v>
      </c>
      <c r="BL731" s="540"/>
      <c r="BM731" s="540"/>
      <c r="BN731" s="553"/>
      <c r="BO731" s="581"/>
      <c r="BP731" s="581"/>
      <c r="BQ731" s="451">
        <v>240000000</v>
      </c>
      <c r="BR731" s="452">
        <v>64825000</v>
      </c>
      <c r="BS731" s="452">
        <v>24307400</v>
      </c>
      <c r="BT731" s="452"/>
      <c r="BU731" s="452"/>
      <c r="BV731" s="452"/>
      <c r="BW731" s="541"/>
      <c r="BX731" s="541"/>
      <c r="BY731" s="541"/>
      <c r="BZ731" s="539">
        <f t="shared" ref="BZ731" si="704">R731+U731+X731+AA731+AD731+AG731+AJ731+AM731+AP731+AS731+AV731+AY731+BB731+BE731+BH731+BK731+BN731+BQ731+BT731+BW731</f>
        <v>240000000</v>
      </c>
      <c r="CA731" s="539">
        <f t="shared" ref="CA731" si="705">S731+V731+Y731+AB731+AE731+AH731+AK731+AN731+AQ731+AT731+AW731+AZ731+BC731+BF731+BI731+BL731+BO731+BR731+BU731+BX731</f>
        <v>64825000</v>
      </c>
      <c r="CB731" s="539">
        <f t="shared" ref="CB731" si="706">T731+W731+Z731+AC731+AF731+AI731+AL731+AO731+AR731+AU731+AX731+BA731+BD731+BG731+BJ731+BM731+BP731+BS731+BV731+BY731</f>
        <v>24307400</v>
      </c>
    </row>
    <row r="732" spans="1:80" s="11" customFormat="1" ht="15.75" x14ac:dyDescent="0.2">
      <c r="A732" s="54"/>
      <c r="B732" s="54"/>
      <c r="C732" s="509"/>
      <c r="D732" s="64"/>
      <c r="E732" s="64"/>
      <c r="F732" s="64"/>
      <c r="G732" s="727">
        <v>15</v>
      </c>
      <c r="H732" s="196" t="s">
        <v>139</v>
      </c>
      <c r="I732" s="197"/>
      <c r="J732" s="197"/>
      <c r="K732" s="706"/>
      <c r="L732" s="706"/>
      <c r="M732" s="706"/>
      <c r="N732" s="197"/>
      <c r="O732" s="505"/>
      <c r="P732" s="197"/>
      <c r="Q732" s="197"/>
      <c r="R732" s="585">
        <f>SUM(R731)</f>
        <v>0</v>
      </c>
      <c r="S732" s="585"/>
      <c r="T732" s="585"/>
      <c r="U732" s="585">
        <f>SUM(U731)</f>
        <v>0</v>
      </c>
      <c r="V732" s="585"/>
      <c r="W732" s="585"/>
      <c r="X732" s="585">
        <f t="shared" ref="X732:BW732" si="707">SUM(X731)</f>
        <v>0</v>
      </c>
      <c r="Y732" s="585"/>
      <c r="Z732" s="585"/>
      <c r="AA732" s="585">
        <f t="shared" si="707"/>
        <v>0</v>
      </c>
      <c r="AB732" s="585"/>
      <c r="AC732" s="585"/>
      <c r="AD732" s="585">
        <f t="shared" si="707"/>
        <v>0</v>
      </c>
      <c r="AE732" s="585"/>
      <c r="AF732" s="585"/>
      <c r="AG732" s="585">
        <f t="shared" si="707"/>
        <v>0</v>
      </c>
      <c r="AH732" s="585"/>
      <c r="AI732" s="585"/>
      <c r="AJ732" s="585">
        <f t="shared" si="707"/>
        <v>0</v>
      </c>
      <c r="AK732" s="585"/>
      <c r="AL732" s="585"/>
      <c r="AM732" s="585">
        <f t="shared" si="707"/>
        <v>0</v>
      </c>
      <c r="AN732" s="585"/>
      <c r="AO732" s="585"/>
      <c r="AP732" s="585">
        <f t="shared" si="707"/>
        <v>0</v>
      </c>
      <c r="AQ732" s="585"/>
      <c r="AR732" s="585"/>
      <c r="AS732" s="585">
        <f t="shared" si="707"/>
        <v>0</v>
      </c>
      <c r="AT732" s="585"/>
      <c r="AU732" s="585"/>
      <c r="AV732" s="585">
        <f t="shared" si="707"/>
        <v>0</v>
      </c>
      <c r="AW732" s="585"/>
      <c r="AX732" s="585"/>
      <c r="AY732" s="585">
        <f t="shared" si="707"/>
        <v>0</v>
      </c>
      <c r="AZ732" s="585"/>
      <c r="BA732" s="585"/>
      <c r="BB732" s="585">
        <f t="shared" si="707"/>
        <v>0</v>
      </c>
      <c r="BC732" s="585"/>
      <c r="BD732" s="585"/>
      <c r="BE732" s="585">
        <f t="shared" si="707"/>
        <v>0</v>
      </c>
      <c r="BF732" s="585"/>
      <c r="BG732" s="585"/>
      <c r="BH732" s="585">
        <f t="shared" si="707"/>
        <v>0</v>
      </c>
      <c r="BI732" s="585"/>
      <c r="BJ732" s="585"/>
      <c r="BK732" s="586">
        <f t="shared" si="707"/>
        <v>0</v>
      </c>
      <c r="BL732" s="586"/>
      <c r="BM732" s="586"/>
      <c r="BN732" s="586">
        <f t="shared" si="707"/>
        <v>0</v>
      </c>
      <c r="BO732" s="586"/>
      <c r="BP732" s="586"/>
      <c r="BQ732" s="728">
        <f t="shared" si="707"/>
        <v>240000000</v>
      </c>
      <c r="BR732" s="586"/>
      <c r="BS732" s="586"/>
      <c r="BT732" s="586">
        <f t="shared" si="707"/>
        <v>0</v>
      </c>
      <c r="BU732" s="586"/>
      <c r="BV732" s="586"/>
      <c r="BW732" s="586">
        <f t="shared" si="707"/>
        <v>0</v>
      </c>
      <c r="BX732" s="586"/>
      <c r="BY732" s="586"/>
      <c r="BZ732" s="816">
        <f>SUM(BZ731)</f>
        <v>240000000</v>
      </c>
      <c r="CA732" s="816">
        <f t="shared" ref="CA732:CB732" si="708">SUM(CA731)</f>
        <v>64825000</v>
      </c>
      <c r="CB732" s="816">
        <f t="shared" si="708"/>
        <v>24307400</v>
      </c>
    </row>
    <row r="733" spans="1:80" s="11" customFormat="1" ht="15.75" x14ac:dyDescent="0.2">
      <c r="A733" s="54"/>
      <c r="B733" s="256"/>
      <c r="C733" s="166"/>
      <c r="D733" s="167"/>
      <c r="E733" s="167"/>
      <c r="F733" s="167"/>
      <c r="G733" s="311"/>
      <c r="H733" s="53"/>
      <c r="I733" s="53"/>
      <c r="J733" s="53"/>
      <c r="K733" s="707"/>
      <c r="L733" s="707"/>
      <c r="M733" s="707"/>
      <c r="N733" s="53"/>
      <c r="O733" s="271"/>
      <c r="P733" s="53"/>
      <c r="Q733" s="53"/>
      <c r="R733" s="708"/>
      <c r="S733" s="708"/>
      <c r="T733" s="708"/>
      <c r="U733" s="708"/>
      <c r="V733" s="708"/>
      <c r="W733" s="708"/>
      <c r="X733" s="708"/>
      <c r="Y733" s="708"/>
      <c r="Z733" s="708"/>
      <c r="AA733" s="708"/>
      <c r="AB733" s="708"/>
      <c r="AC733" s="708"/>
      <c r="AD733" s="708"/>
      <c r="AE733" s="708"/>
      <c r="AF733" s="708"/>
      <c r="AG733" s="708"/>
      <c r="AH733" s="708"/>
      <c r="AI733" s="708"/>
      <c r="AJ733" s="708"/>
      <c r="AK733" s="708"/>
      <c r="AL733" s="708"/>
      <c r="AM733" s="708"/>
      <c r="AN733" s="708"/>
      <c r="AO733" s="708"/>
      <c r="AP733" s="708"/>
      <c r="AQ733" s="708"/>
      <c r="AR733" s="708"/>
      <c r="AS733" s="708"/>
      <c r="AT733" s="708"/>
      <c r="AU733" s="708"/>
      <c r="AV733" s="708"/>
      <c r="AW733" s="708"/>
      <c r="AX733" s="708"/>
      <c r="AY733" s="708"/>
      <c r="AZ733" s="708"/>
      <c r="BA733" s="708"/>
      <c r="BB733" s="708"/>
      <c r="BC733" s="708"/>
      <c r="BD733" s="708"/>
      <c r="BE733" s="708"/>
      <c r="BF733" s="708"/>
      <c r="BG733" s="708"/>
      <c r="BH733" s="708"/>
      <c r="BI733" s="708"/>
      <c r="BJ733" s="708"/>
      <c r="BK733" s="709"/>
      <c r="BL733" s="709"/>
      <c r="BM733" s="709"/>
      <c r="BN733" s="709"/>
      <c r="BO733" s="709"/>
      <c r="BP733" s="709"/>
      <c r="BQ733" s="709"/>
      <c r="BR733" s="709"/>
      <c r="BS733" s="709"/>
      <c r="BT733" s="709"/>
      <c r="BU733" s="709"/>
      <c r="BV733" s="709"/>
      <c r="BW733" s="709"/>
      <c r="BX733" s="709"/>
      <c r="BY733" s="709"/>
      <c r="BZ733" s="708"/>
      <c r="CA733" s="708"/>
      <c r="CB733" s="731"/>
    </row>
    <row r="734" spans="1:80" s="11" customFormat="1" ht="95.25" customHeight="1" x14ac:dyDescent="0.2">
      <c r="A734" s="54"/>
      <c r="B734" s="54"/>
      <c r="C734" s="510">
        <v>7</v>
      </c>
      <c r="D734" s="518" t="s">
        <v>856</v>
      </c>
      <c r="E734" s="527">
        <v>0.317</v>
      </c>
      <c r="F734" s="524">
        <v>0.27</v>
      </c>
      <c r="G734" s="68"/>
      <c r="H734" s="510">
        <v>59</v>
      </c>
      <c r="I734" s="518" t="s">
        <v>147</v>
      </c>
      <c r="J734" s="533">
        <v>82</v>
      </c>
      <c r="K734" s="512">
        <v>12</v>
      </c>
      <c r="L734" s="512">
        <v>0</v>
      </c>
      <c r="M734" s="941">
        <v>2017003630058</v>
      </c>
      <c r="N734" s="313" t="s">
        <v>146</v>
      </c>
      <c r="O734" s="943" t="s">
        <v>858</v>
      </c>
      <c r="P734" s="945" t="s">
        <v>859</v>
      </c>
      <c r="Q734" s="510" t="s">
        <v>67</v>
      </c>
      <c r="R734" s="564">
        <v>0</v>
      </c>
      <c r="S734" s="564"/>
      <c r="T734" s="564"/>
      <c r="U734" s="564">
        <v>0</v>
      </c>
      <c r="V734" s="564"/>
      <c r="W734" s="564"/>
      <c r="X734" s="729">
        <v>550000000</v>
      </c>
      <c r="Y734" s="729">
        <v>115700000</v>
      </c>
      <c r="Z734" s="729">
        <v>49364000</v>
      </c>
      <c r="AA734" s="564">
        <v>0</v>
      </c>
      <c r="AB734" s="564"/>
      <c r="AC734" s="564"/>
      <c r="AD734" s="564">
        <v>0</v>
      </c>
      <c r="AE734" s="564"/>
      <c r="AF734" s="564"/>
      <c r="AG734" s="564">
        <v>0</v>
      </c>
      <c r="AH734" s="564"/>
      <c r="AI734" s="564"/>
      <c r="AJ734" s="564">
        <v>0</v>
      </c>
      <c r="AK734" s="564"/>
      <c r="AL734" s="564"/>
      <c r="AM734" s="564"/>
      <c r="AN734" s="564"/>
      <c r="AO734" s="564"/>
      <c r="AP734" s="564"/>
      <c r="AQ734" s="564"/>
      <c r="AR734" s="564"/>
      <c r="AS734" s="564">
        <v>0</v>
      </c>
      <c r="AT734" s="564"/>
      <c r="AU734" s="564"/>
      <c r="AV734" s="564">
        <v>0</v>
      </c>
      <c r="AW734" s="564"/>
      <c r="AX734" s="564"/>
      <c r="AY734" s="564"/>
      <c r="AZ734" s="564"/>
      <c r="BA734" s="564"/>
      <c r="BB734" s="564"/>
      <c r="BC734" s="564"/>
      <c r="BD734" s="564"/>
      <c r="BE734" s="564">
        <v>0</v>
      </c>
      <c r="BF734" s="564"/>
      <c r="BG734" s="564"/>
      <c r="BH734" s="564">
        <v>0</v>
      </c>
      <c r="BI734" s="564"/>
      <c r="BJ734" s="564"/>
      <c r="BK734" s="596">
        <v>0</v>
      </c>
      <c r="BL734" s="596"/>
      <c r="BM734" s="596"/>
      <c r="BN734" s="595"/>
      <c r="BO734" s="595"/>
      <c r="BP734" s="595"/>
      <c r="BQ734" s="729">
        <v>0</v>
      </c>
      <c r="BR734" s="730"/>
      <c r="BS734" s="730"/>
      <c r="BT734" s="730">
        <v>0</v>
      </c>
      <c r="BU734" s="730"/>
      <c r="BV734" s="730"/>
      <c r="BW734" s="600">
        <v>0</v>
      </c>
      <c r="BX734" s="600"/>
      <c r="BY734" s="600"/>
      <c r="BZ734" s="539">
        <f t="shared" ref="BZ734:BZ737" si="709">R734+U734+X734+AA734+AD734+AG734+AJ734+AM734+AP734+AS734+AV734+AY734+BB734+BE734+BH734+BK734+BN734+BQ734+BT734+BW734</f>
        <v>550000000</v>
      </c>
      <c r="CA734" s="539">
        <f t="shared" ref="CA734:CA737" si="710">S734+V734+Y734+AB734+AE734+AH734+AK734+AN734+AQ734+AT734+AW734+AZ734+BC734+BF734+BI734+BL734+BO734+BR734+BU734+BX734</f>
        <v>115700000</v>
      </c>
      <c r="CB734" s="539">
        <f t="shared" ref="CB734:CB737" si="711">T734+W734+Z734+AC734+AF734+AI734+AL734+AO734+AR734+AU734+AX734+BA734+BD734+BG734+BJ734+BM734+BP734+BS734+BV734+BY734</f>
        <v>49364000</v>
      </c>
    </row>
    <row r="735" spans="1:80" s="11" customFormat="1" ht="85.5" customHeight="1" x14ac:dyDescent="0.2">
      <c r="A735" s="54"/>
      <c r="B735" s="54"/>
      <c r="C735" s="57">
        <v>7</v>
      </c>
      <c r="D735" s="56" t="s">
        <v>856</v>
      </c>
      <c r="E735" s="331">
        <v>0.317</v>
      </c>
      <c r="F735" s="319">
        <v>0.27</v>
      </c>
      <c r="G735" s="68"/>
      <c r="H735" s="57">
        <v>57</v>
      </c>
      <c r="I735" s="56" t="s">
        <v>141</v>
      </c>
      <c r="J735" s="131">
        <v>103</v>
      </c>
      <c r="K735" s="132">
        <v>12</v>
      </c>
      <c r="L735" s="132">
        <v>0</v>
      </c>
      <c r="M735" s="941"/>
      <c r="N735" s="453" t="s">
        <v>142</v>
      </c>
      <c r="O735" s="943"/>
      <c r="P735" s="945"/>
      <c r="Q735" s="57" t="s">
        <v>67</v>
      </c>
      <c r="R735" s="539"/>
      <c r="S735" s="539"/>
      <c r="T735" s="539"/>
      <c r="U735" s="539"/>
      <c r="V735" s="539"/>
      <c r="W735" s="539"/>
      <c r="X735" s="454">
        <v>550000000</v>
      </c>
      <c r="Y735" s="454">
        <v>115700000</v>
      </c>
      <c r="Z735" s="454">
        <v>49364000</v>
      </c>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39"/>
      <c r="AY735" s="539"/>
      <c r="AZ735" s="539"/>
      <c r="BA735" s="539"/>
      <c r="BB735" s="539"/>
      <c r="BC735" s="539"/>
      <c r="BD735" s="539"/>
      <c r="BE735" s="539"/>
      <c r="BF735" s="539"/>
      <c r="BG735" s="539"/>
      <c r="BH735" s="539"/>
      <c r="BI735" s="539"/>
      <c r="BJ735" s="539"/>
      <c r="BK735" s="540"/>
      <c r="BL735" s="540"/>
      <c r="BM735" s="540"/>
      <c r="BN735" s="553"/>
      <c r="BO735" s="569"/>
      <c r="BP735" s="569"/>
      <c r="BQ735" s="541">
        <v>0</v>
      </c>
      <c r="BR735" s="541"/>
      <c r="BS735" s="541"/>
      <c r="BT735" s="541"/>
      <c r="BU735" s="541"/>
      <c r="BV735" s="541"/>
      <c r="BW735" s="567"/>
      <c r="BX735" s="567"/>
      <c r="BY735" s="567"/>
      <c r="BZ735" s="539">
        <f t="shared" si="709"/>
        <v>550000000</v>
      </c>
      <c r="CA735" s="539">
        <f t="shared" si="710"/>
        <v>115700000</v>
      </c>
      <c r="CB735" s="539">
        <f t="shared" si="711"/>
        <v>49364000</v>
      </c>
    </row>
    <row r="736" spans="1:80" s="11" customFormat="1" ht="106.5" customHeight="1" x14ac:dyDescent="0.2">
      <c r="A736" s="54"/>
      <c r="B736" s="54"/>
      <c r="C736" s="57">
        <v>7</v>
      </c>
      <c r="D736" s="56" t="s">
        <v>856</v>
      </c>
      <c r="E736" s="331">
        <v>0.317</v>
      </c>
      <c r="F736" s="319">
        <v>0.27</v>
      </c>
      <c r="G736" s="68"/>
      <c r="H736" s="57">
        <v>60</v>
      </c>
      <c r="I736" s="56" t="s">
        <v>148</v>
      </c>
      <c r="J736" s="131">
        <v>9</v>
      </c>
      <c r="K736" s="132">
        <v>12</v>
      </c>
      <c r="L736" s="132">
        <v>0</v>
      </c>
      <c r="M736" s="941"/>
      <c r="N736" s="453" t="s">
        <v>146</v>
      </c>
      <c r="O736" s="943"/>
      <c r="P736" s="945"/>
      <c r="Q736" s="57" t="s">
        <v>67</v>
      </c>
      <c r="R736" s="539">
        <v>0</v>
      </c>
      <c r="S736" s="539"/>
      <c r="T736" s="539"/>
      <c r="U736" s="539">
        <v>0</v>
      </c>
      <c r="V736" s="539"/>
      <c r="W736" s="539"/>
      <c r="X736" s="454">
        <v>0</v>
      </c>
      <c r="Y736" s="454"/>
      <c r="Z736" s="454"/>
      <c r="AA736" s="539">
        <v>0</v>
      </c>
      <c r="AB736" s="539"/>
      <c r="AC736" s="539"/>
      <c r="AD736" s="539">
        <v>0</v>
      </c>
      <c r="AE736" s="539"/>
      <c r="AF736" s="539"/>
      <c r="AG736" s="539">
        <v>0</v>
      </c>
      <c r="AH736" s="539"/>
      <c r="AI736" s="539"/>
      <c r="AJ736" s="539">
        <v>0</v>
      </c>
      <c r="AK736" s="539"/>
      <c r="AL736" s="539"/>
      <c r="AM736" s="539"/>
      <c r="AN736" s="539"/>
      <c r="AO736" s="539"/>
      <c r="AP736" s="539"/>
      <c r="AQ736" s="539"/>
      <c r="AR736" s="539"/>
      <c r="AS736" s="539">
        <v>0</v>
      </c>
      <c r="AT736" s="539"/>
      <c r="AU736" s="539"/>
      <c r="AV736" s="539">
        <v>0</v>
      </c>
      <c r="AW736" s="539"/>
      <c r="AX736" s="539"/>
      <c r="AY736" s="539"/>
      <c r="AZ736" s="539"/>
      <c r="BA736" s="539"/>
      <c r="BB736" s="539"/>
      <c r="BC736" s="539"/>
      <c r="BD736" s="539"/>
      <c r="BE736" s="539">
        <v>0</v>
      </c>
      <c r="BF736" s="539"/>
      <c r="BG736" s="539"/>
      <c r="BH736" s="539">
        <v>0</v>
      </c>
      <c r="BI736" s="539"/>
      <c r="BJ736" s="539"/>
      <c r="BK736" s="540"/>
      <c r="BL736" s="540"/>
      <c r="BM736" s="540"/>
      <c r="BN736" s="553"/>
      <c r="BO736" s="553"/>
      <c r="BP736" s="553"/>
      <c r="BQ736" s="625">
        <f>388000000+49642368</f>
        <v>437642368</v>
      </c>
      <c r="BR736" s="628">
        <v>64825000</v>
      </c>
      <c r="BS736" s="628">
        <v>24307400</v>
      </c>
      <c r="BT736" s="628"/>
      <c r="BU736" s="628"/>
      <c r="BV736" s="628"/>
      <c r="BW736" s="541">
        <v>0</v>
      </c>
      <c r="BX736" s="541"/>
      <c r="BY736" s="541"/>
      <c r="BZ736" s="539">
        <f t="shared" si="709"/>
        <v>437642368</v>
      </c>
      <c r="CA736" s="539">
        <f t="shared" si="710"/>
        <v>64825000</v>
      </c>
      <c r="CB736" s="539">
        <f t="shared" si="711"/>
        <v>24307400</v>
      </c>
    </row>
    <row r="737" spans="1:80" s="11" customFormat="1" ht="75" customHeight="1" thickBot="1" x14ac:dyDescent="0.25">
      <c r="A737" s="54"/>
      <c r="B737" s="54"/>
      <c r="C737" s="508">
        <v>7</v>
      </c>
      <c r="D737" s="516" t="s">
        <v>856</v>
      </c>
      <c r="E737" s="525">
        <v>0.317</v>
      </c>
      <c r="F737" s="522">
        <v>0.27</v>
      </c>
      <c r="G737" s="68"/>
      <c r="H737" s="57">
        <v>63</v>
      </c>
      <c r="I737" s="56" t="s">
        <v>150</v>
      </c>
      <c r="J737" s="131" t="s">
        <v>42</v>
      </c>
      <c r="K737" s="132">
        <v>250</v>
      </c>
      <c r="L737" s="132">
        <v>0</v>
      </c>
      <c r="M737" s="942"/>
      <c r="N737" s="453" t="s">
        <v>151</v>
      </c>
      <c r="O737" s="944"/>
      <c r="P737" s="946"/>
      <c r="Q737" s="57" t="s">
        <v>67</v>
      </c>
      <c r="R737" s="539"/>
      <c r="S737" s="539"/>
      <c r="T737" s="539"/>
      <c r="U737" s="539"/>
      <c r="V737" s="539"/>
      <c r="W737" s="539"/>
      <c r="X737" s="625">
        <v>550000000</v>
      </c>
      <c r="Y737" s="625">
        <v>115700000</v>
      </c>
      <c r="Z737" s="625">
        <v>49364000</v>
      </c>
      <c r="AA737" s="539"/>
      <c r="AB737" s="539"/>
      <c r="AC737" s="539"/>
      <c r="AD737" s="539"/>
      <c r="AE737" s="539"/>
      <c r="AF737" s="539"/>
      <c r="AG737" s="539"/>
      <c r="AH737" s="539"/>
      <c r="AI737" s="539"/>
      <c r="AJ737" s="539"/>
      <c r="AK737" s="539"/>
      <c r="AL737" s="539"/>
      <c r="AM737" s="539"/>
      <c r="AN737" s="539"/>
      <c r="AO737" s="539"/>
      <c r="AP737" s="539"/>
      <c r="AQ737" s="539"/>
      <c r="AR737" s="539"/>
      <c r="AS737" s="539"/>
      <c r="AT737" s="539"/>
      <c r="AU737" s="539"/>
      <c r="AV737" s="539"/>
      <c r="AW737" s="539"/>
      <c r="AX737" s="539"/>
      <c r="AY737" s="539"/>
      <c r="AZ737" s="539"/>
      <c r="BA737" s="539"/>
      <c r="BB737" s="539"/>
      <c r="BC737" s="539"/>
      <c r="BD737" s="539"/>
      <c r="BE737" s="539"/>
      <c r="BF737" s="539"/>
      <c r="BG737" s="539"/>
      <c r="BH737" s="539"/>
      <c r="BI737" s="580"/>
      <c r="BJ737" s="580"/>
      <c r="BK737" s="677"/>
      <c r="BL737" s="678"/>
      <c r="BM737" s="678"/>
      <c r="BN737" s="678"/>
      <c r="BO737" s="678"/>
      <c r="BP737" s="678"/>
      <c r="BQ737" s="625">
        <v>140000000</v>
      </c>
      <c r="BR737" s="628">
        <v>64825000</v>
      </c>
      <c r="BS737" s="628">
        <v>24307400</v>
      </c>
      <c r="BT737" s="628"/>
      <c r="BU737" s="628"/>
      <c r="BV737" s="628"/>
      <c r="BW737" s="541"/>
      <c r="BX737" s="541"/>
      <c r="BY737" s="541"/>
      <c r="BZ737" s="539">
        <f t="shared" si="709"/>
        <v>690000000</v>
      </c>
      <c r="CA737" s="539">
        <f t="shared" si="710"/>
        <v>180525000</v>
      </c>
      <c r="CB737" s="539">
        <f t="shared" si="711"/>
        <v>73671400</v>
      </c>
    </row>
    <row r="738" spans="1:80" s="459" customFormat="1" ht="15.75" x14ac:dyDescent="0.2">
      <c r="A738" s="485"/>
      <c r="B738" s="74"/>
      <c r="C738" s="510"/>
      <c r="D738" s="518"/>
      <c r="E738" s="510"/>
      <c r="F738" s="510"/>
      <c r="G738" s="350"/>
      <c r="H738" s="78"/>
      <c r="I738" s="77"/>
      <c r="J738" s="164"/>
      <c r="K738" s="165"/>
      <c r="L738" s="165"/>
      <c r="M738" s="165"/>
      <c r="N738" s="455"/>
      <c r="O738" s="78"/>
      <c r="P738" s="77"/>
      <c r="Q738" s="78"/>
      <c r="R738" s="548">
        <f>SUM(R734:R737)</f>
        <v>0</v>
      </c>
      <c r="S738" s="548"/>
      <c r="T738" s="548"/>
      <c r="U738" s="548">
        <f>SUM(U734:U737)</f>
        <v>0</v>
      </c>
      <c r="V738" s="548"/>
      <c r="W738" s="548"/>
      <c r="X738" s="548">
        <f>SUM(X734:X737)</f>
        <v>1650000000</v>
      </c>
      <c r="Y738" s="548"/>
      <c r="Z738" s="548"/>
      <c r="AA738" s="548">
        <f t="shared" ref="AA738:BK738" si="712">SUM(AA734:AA737)</f>
        <v>0</v>
      </c>
      <c r="AB738" s="548"/>
      <c r="AC738" s="548"/>
      <c r="AD738" s="548">
        <f t="shared" si="712"/>
        <v>0</v>
      </c>
      <c r="AE738" s="548"/>
      <c r="AF738" s="548"/>
      <c r="AG738" s="548">
        <f t="shared" si="712"/>
        <v>0</v>
      </c>
      <c r="AH738" s="548"/>
      <c r="AI738" s="548"/>
      <c r="AJ738" s="548">
        <f t="shared" si="712"/>
        <v>0</v>
      </c>
      <c r="AK738" s="548"/>
      <c r="AL738" s="548"/>
      <c r="AM738" s="548">
        <f t="shared" si="712"/>
        <v>0</v>
      </c>
      <c r="AN738" s="548"/>
      <c r="AO738" s="548"/>
      <c r="AP738" s="548">
        <f t="shared" si="712"/>
        <v>0</v>
      </c>
      <c r="AQ738" s="548"/>
      <c r="AR738" s="548"/>
      <c r="AS738" s="548">
        <f t="shared" si="712"/>
        <v>0</v>
      </c>
      <c r="AT738" s="548"/>
      <c r="AU738" s="548"/>
      <c r="AV738" s="548">
        <f t="shared" si="712"/>
        <v>0</v>
      </c>
      <c r="AW738" s="548"/>
      <c r="AX738" s="548"/>
      <c r="AY738" s="548">
        <f t="shared" si="712"/>
        <v>0</v>
      </c>
      <c r="AZ738" s="548"/>
      <c r="BA738" s="548"/>
      <c r="BB738" s="548">
        <f t="shared" si="712"/>
        <v>0</v>
      </c>
      <c r="BC738" s="548"/>
      <c r="BD738" s="548"/>
      <c r="BE738" s="548">
        <f t="shared" si="712"/>
        <v>0</v>
      </c>
      <c r="BF738" s="548"/>
      <c r="BG738" s="548"/>
      <c r="BH738" s="548">
        <f t="shared" si="712"/>
        <v>0</v>
      </c>
      <c r="BI738" s="548"/>
      <c r="BJ738" s="548"/>
      <c r="BK738" s="621">
        <f t="shared" si="712"/>
        <v>0</v>
      </c>
      <c r="BL738" s="621"/>
      <c r="BM738" s="621"/>
      <c r="BN738" s="548"/>
      <c r="BO738" s="548"/>
      <c r="BP738" s="548"/>
      <c r="BQ738" s="548">
        <f>SUM(BQ734:BQ737)</f>
        <v>577642368</v>
      </c>
      <c r="BR738" s="548"/>
      <c r="BS738" s="548"/>
      <c r="BT738" s="548">
        <f>SUM(BT734:BT737)</f>
        <v>0</v>
      </c>
      <c r="BU738" s="548"/>
      <c r="BV738" s="548"/>
      <c r="BW738" s="548">
        <f>SUM(BW734:BW737)</f>
        <v>0</v>
      </c>
      <c r="BX738" s="548"/>
      <c r="BY738" s="548"/>
      <c r="BZ738" s="548">
        <f>SUM(BZ734:BZ737)</f>
        <v>2227642368</v>
      </c>
      <c r="CA738" s="548">
        <f t="shared" ref="CA738:CB738" si="713">SUM(CA734:CA737)</f>
        <v>476750000</v>
      </c>
      <c r="CB738" s="548">
        <f t="shared" si="713"/>
        <v>196706800</v>
      </c>
    </row>
    <row r="739" spans="1:80" s="459" customFormat="1" ht="15.75" x14ac:dyDescent="0.2">
      <c r="A739" s="486"/>
      <c r="B739" s="81"/>
      <c r="C739" s="82"/>
      <c r="D739" s="81"/>
      <c r="E739" s="82"/>
      <c r="F739" s="82"/>
      <c r="G739" s="118"/>
      <c r="H739" s="82"/>
      <c r="I739" s="81"/>
      <c r="J739" s="178"/>
      <c r="K739" s="179"/>
      <c r="L739" s="179"/>
      <c r="M739" s="179"/>
      <c r="N739" s="178"/>
      <c r="O739" s="82"/>
      <c r="P739" s="81"/>
      <c r="Q739" s="82"/>
      <c r="R739" s="554">
        <f t="shared" ref="R739:BZ741" si="714">R738</f>
        <v>0</v>
      </c>
      <c r="S739" s="554"/>
      <c r="T739" s="554"/>
      <c r="U739" s="554">
        <f t="shared" si="714"/>
        <v>0</v>
      </c>
      <c r="V739" s="554"/>
      <c r="W739" s="554"/>
      <c r="X739" s="554">
        <f t="shared" si="714"/>
        <v>1650000000</v>
      </c>
      <c r="Y739" s="554"/>
      <c r="Z739" s="554"/>
      <c r="AA739" s="554">
        <f t="shared" si="714"/>
        <v>0</v>
      </c>
      <c r="AB739" s="554"/>
      <c r="AC739" s="554"/>
      <c r="AD739" s="554">
        <f t="shared" si="714"/>
        <v>0</v>
      </c>
      <c r="AE739" s="554"/>
      <c r="AF739" s="554"/>
      <c r="AG739" s="554">
        <f t="shared" si="714"/>
        <v>0</v>
      </c>
      <c r="AH739" s="554"/>
      <c r="AI739" s="554"/>
      <c r="AJ739" s="554">
        <f t="shared" si="714"/>
        <v>0</v>
      </c>
      <c r="AK739" s="554"/>
      <c r="AL739" s="554"/>
      <c r="AM739" s="554"/>
      <c r="AN739" s="554"/>
      <c r="AO739" s="554"/>
      <c r="AP739" s="554"/>
      <c r="AQ739" s="554"/>
      <c r="AR739" s="554"/>
      <c r="AS739" s="554">
        <f t="shared" si="714"/>
        <v>0</v>
      </c>
      <c r="AT739" s="554"/>
      <c r="AU739" s="554"/>
      <c r="AV739" s="554">
        <f t="shared" si="714"/>
        <v>0</v>
      </c>
      <c r="AW739" s="554"/>
      <c r="AX739" s="554"/>
      <c r="AY739" s="554">
        <f t="shared" si="714"/>
        <v>0</v>
      </c>
      <c r="AZ739" s="554"/>
      <c r="BA739" s="554"/>
      <c r="BB739" s="554">
        <f t="shared" si="714"/>
        <v>0</v>
      </c>
      <c r="BC739" s="554"/>
      <c r="BD739" s="554"/>
      <c r="BE739" s="554">
        <f t="shared" si="714"/>
        <v>0</v>
      </c>
      <c r="BF739" s="554"/>
      <c r="BG739" s="554"/>
      <c r="BH739" s="554">
        <f t="shared" si="714"/>
        <v>0</v>
      </c>
      <c r="BI739" s="554"/>
      <c r="BJ739" s="554"/>
      <c r="BK739" s="622">
        <f>BK738+BK732</f>
        <v>0</v>
      </c>
      <c r="BL739" s="622"/>
      <c r="BM739" s="622"/>
      <c r="BN739" s="554"/>
      <c r="BO739" s="554"/>
      <c r="BP739" s="554"/>
      <c r="BQ739" s="554">
        <f>BQ738+BQ732</f>
        <v>817642368</v>
      </c>
      <c r="BR739" s="554"/>
      <c r="BS739" s="554"/>
      <c r="BT739" s="554">
        <f>BT738+BT732</f>
        <v>0</v>
      </c>
      <c r="BU739" s="554"/>
      <c r="BV739" s="554"/>
      <c r="BW739" s="554">
        <f>BW738+BW732</f>
        <v>0</v>
      </c>
      <c r="BX739" s="554"/>
      <c r="BY739" s="554"/>
      <c r="BZ739" s="554">
        <f>BZ738+BZ732</f>
        <v>2467642368</v>
      </c>
      <c r="CA739" s="554">
        <f t="shared" ref="CA739:CB739" si="715">CA738+CA732</f>
        <v>541575000</v>
      </c>
      <c r="CB739" s="554">
        <f t="shared" si="715"/>
        <v>221014200</v>
      </c>
    </row>
    <row r="740" spans="1:80" s="459" customFormat="1" x14ac:dyDescent="0.2">
      <c r="A740" s="84"/>
      <c r="B740" s="84"/>
      <c r="C740" s="85"/>
      <c r="D740" s="84"/>
      <c r="E740" s="85"/>
      <c r="F740" s="85"/>
      <c r="G740" s="180"/>
      <c r="H740" s="85"/>
      <c r="I740" s="84"/>
      <c r="J740" s="181"/>
      <c r="K740" s="182"/>
      <c r="L740" s="182"/>
      <c r="M740" s="182"/>
      <c r="N740" s="181"/>
      <c r="O740" s="85"/>
      <c r="P740" s="84"/>
      <c r="Q740" s="85"/>
      <c r="R740" s="560">
        <f t="shared" si="714"/>
        <v>0</v>
      </c>
      <c r="S740" s="560"/>
      <c r="T740" s="560"/>
      <c r="U740" s="560">
        <f t="shared" si="714"/>
        <v>0</v>
      </c>
      <c r="V740" s="560"/>
      <c r="W740" s="560"/>
      <c r="X740" s="560">
        <f t="shared" si="714"/>
        <v>1650000000</v>
      </c>
      <c r="Y740" s="560"/>
      <c r="Z740" s="560"/>
      <c r="AA740" s="560">
        <f t="shared" si="714"/>
        <v>0</v>
      </c>
      <c r="AB740" s="560"/>
      <c r="AC740" s="560"/>
      <c r="AD740" s="560">
        <f t="shared" si="714"/>
        <v>0</v>
      </c>
      <c r="AE740" s="560"/>
      <c r="AF740" s="560"/>
      <c r="AG740" s="560">
        <f t="shared" si="714"/>
        <v>0</v>
      </c>
      <c r="AH740" s="560"/>
      <c r="AI740" s="560"/>
      <c r="AJ740" s="560">
        <f t="shared" si="714"/>
        <v>0</v>
      </c>
      <c r="AK740" s="560"/>
      <c r="AL740" s="560"/>
      <c r="AM740" s="560"/>
      <c r="AN740" s="560"/>
      <c r="AO740" s="560"/>
      <c r="AP740" s="560"/>
      <c r="AQ740" s="560"/>
      <c r="AR740" s="560"/>
      <c r="AS740" s="560">
        <f t="shared" si="714"/>
        <v>0</v>
      </c>
      <c r="AT740" s="560"/>
      <c r="AU740" s="560"/>
      <c r="AV740" s="560">
        <f t="shared" si="714"/>
        <v>0</v>
      </c>
      <c r="AW740" s="560"/>
      <c r="AX740" s="560"/>
      <c r="AY740" s="560">
        <f t="shared" si="714"/>
        <v>0</v>
      </c>
      <c r="AZ740" s="560"/>
      <c r="BA740" s="560"/>
      <c r="BB740" s="560">
        <f t="shared" si="714"/>
        <v>0</v>
      </c>
      <c r="BC740" s="560"/>
      <c r="BD740" s="560"/>
      <c r="BE740" s="560">
        <f t="shared" si="714"/>
        <v>0</v>
      </c>
      <c r="BF740" s="560"/>
      <c r="BG740" s="560"/>
      <c r="BH740" s="560">
        <f t="shared" si="714"/>
        <v>0</v>
      </c>
      <c r="BI740" s="560"/>
      <c r="BJ740" s="560"/>
      <c r="BK740" s="623">
        <f t="shared" si="714"/>
        <v>0</v>
      </c>
      <c r="BL740" s="623"/>
      <c r="BM740" s="623"/>
      <c r="BN740" s="560"/>
      <c r="BO740" s="560"/>
      <c r="BP740" s="560"/>
      <c r="BQ740" s="560">
        <f t="shared" si="714"/>
        <v>817642368</v>
      </c>
      <c r="BR740" s="560"/>
      <c r="BS740" s="560"/>
      <c r="BT740" s="560">
        <f>BT739</f>
        <v>0</v>
      </c>
      <c r="BU740" s="560"/>
      <c r="BV740" s="560"/>
      <c r="BW740" s="560">
        <f>BW739</f>
        <v>0</v>
      </c>
      <c r="BX740" s="560"/>
      <c r="BY740" s="560"/>
      <c r="BZ740" s="560">
        <f t="shared" si="714"/>
        <v>2467642368</v>
      </c>
      <c r="CA740" s="560">
        <f t="shared" ref="CA740:CB740" si="716">CA739</f>
        <v>541575000</v>
      </c>
      <c r="CB740" s="560">
        <f t="shared" si="716"/>
        <v>221014200</v>
      </c>
    </row>
    <row r="741" spans="1:80" s="459" customFormat="1" x14ac:dyDescent="0.2">
      <c r="A741" s="710"/>
      <c r="B741" s="710"/>
      <c r="C741" s="711"/>
      <c r="D741" s="710"/>
      <c r="E741" s="711"/>
      <c r="F741" s="711"/>
      <c r="G741" s="712"/>
      <c r="H741" s="711"/>
      <c r="I741" s="710"/>
      <c r="J741" s="713"/>
      <c r="K741" s="714"/>
      <c r="L741" s="714"/>
      <c r="M741" s="714"/>
      <c r="N741" s="713"/>
      <c r="O741" s="711"/>
      <c r="P741" s="710"/>
      <c r="Q741" s="711"/>
      <c r="R741" s="715">
        <f t="shared" si="714"/>
        <v>0</v>
      </c>
      <c r="S741" s="715"/>
      <c r="T741" s="715"/>
      <c r="U741" s="715">
        <f t="shared" si="714"/>
        <v>0</v>
      </c>
      <c r="V741" s="715"/>
      <c r="W741" s="715"/>
      <c r="X741" s="715">
        <f t="shared" si="714"/>
        <v>1650000000</v>
      </c>
      <c r="Y741" s="715"/>
      <c r="Z741" s="715"/>
      <c r="AA741" s="715">
        <f t="shared" si="714"/>
        <v>0</v>
      </c>
      <c r="AB741" s="715"/>
      <c r="AC741" s="715"/>
      <c r="AD741" s="715">
        <f t="shared" si="714"/>
        <v>0</v>
      </c>
      <c r="AE741" s="715"/>
      <c r="AF741" s="715"/>
      <c r="AG741" s="715">
        <f t="shared" si="714"/>
        <v>0</v>
      </c>
      <c r="AH741" s="715"/>
      <c r="AI741" s="715"/>
      <c r="AJ741" s="715">
        <f t="shared" si="714"/>
        <v>0</v>
      </c>
      <c r="AK741" s="715"/>
      <c r="AL741" s="715"/>
      <c r="AM741" s="715"/>
      <c r="AN741" s="715"/>
      <c r="AO741" s="715"/>
      <c r="AP741" s="715"/>
      <c r="AQ741" s="715"/>
      <c r="AR741" s="715"/>
      <c r="AS741" s="715">
        <f t="shared" si="714"/>
        <v>0</v>
      </c>
      <c r="AT741" s="715"/>
      <c r="AU741" s="715"/>
      <c r="AV741" s="715">
        <f t="shared" si="714"/>
        <v>0</v>
      </c>
      <c r="AW741" s="715"/>
      <c r="AX741" s="715"/>
      <c r="AY741" s="715">
        <f t="shared" si="714"/>
        <v>0</v>
      </c>
      <c r="AZ741" s="715"/>
      <c r="BA741" s="715"/>
      <c r="BB741" s="715">
        <f t="shared" si="714"/>
        <v>0</v>
      </c>
      <c r="BC741" s="715"/>
      <c r="BD741" s="715"/>
      <c r="BE741" s="715">
        <f t="shared" si="714"/>
        <v>0</v>
      </c>
      <c r="BF741" s="715"/>
      <c r="BG741" s="715"/>
      <c r="BH741" s="715">
        <f t="shared" si="714"/>
        <v>0</v>
      </c>
      <c r="BI741" s="715"/>
      <c r="BJ741" s="715"/>
      <c r="BK741" s="716">
        <f t="shared" si="714"/>
        <v>0</v>
      </c>
      <c r="BL741" s="716"/>
      <c r="BM741" s="716"/>
      <c r="BN741" s="715"/>
      <c r="BO741" s="715"/>
      <c r="BP741" s="715"/>
      <c r="BQ741" s="715">
        <f t="shared" si="714"/>
        <v>817642368</v>
      </c>
      <c r="BR741" s="715"/>
      <c r="BS741" s="715"/>
      <c r="BT741" s="715">
        <f>BT740</f>
        <v>0</v>
      </c>
      <c r="BU741" s="715"/>
      <c r="BV741" s="715"/>
      <c r="BW741" s="715">
        <f>BW740</f>
        <v>0</v>
      </c>
      <c r="BX741" s="715"/>
      <c r="BY741" s="715"/>
      <c r="BZ741" s="715">
        <f t="shared" si="714"/>
        <v>2467642368</v>
      </c>
      <c r="CA741" s="715">
        <f t="shared" ref="CA741:CB741" si="717">CA740</f>
        <v>541575000</v>
      </c>
      <c r="CB741" s="715">
        <f t="shared" si="717"/>
        <v>221014200</v>
      </c>
    </row>
    <row r="742" spans="1:80" s="471" customFormat="1" ht="19.5" customHeight="1" x14ac:dyDescent="0.2">
      <c r="A742" s="717"/>
      <c r="B742" s="718"/>
      <c r="C742" s="719"/>
      <c r="D742" s="718"/>
      <c r="E742" s="719"/>
      <c r="F742" s="719"/>
      <c r="G742" s="718"/>
      <c r="H742" s="719"/>
      <c r="I742" s="718"/>
      <c r="J742" s="720"/>
      <c r="K742" s="721"/>
      <c r="L742" s="721"/>
      <c r="M742" s="721"/>
      <c r="N742" s="720"/>
      <c r="O742" s="719"/>
      <c r="P742" s="718"/>
      <c r="Q742" s="719"/>
      <c r="R742" s="544"/>
      <c r="S742" s="544"/>
      <c r="T742" s="544"/>
      <c r="U742" s="544"/>
      <c r="V742" s="544"/>
      <c r="W742" s="544"/>
      <c r="X742" s="544"/>
      <c r="Y742" s="544"/>
      <c r="Z742" s="544"/>
      <c r="AA742" s="544"/>
      <c r="AB742" s="544"/>
      <c r="AC742" s="544"/>
      <c r="AD742" s="544"/>
      <c r="AE742" s="544"/>
      <c r="AF742" s="544"/>
      <c r="AG742" s="544"/>
      <c r="AH742" s="544"/>
      <c r="AI742" s="544"/>
      <c r="AJ742" s="544"/>
      <c r="AK742" s="544"/>
      <c r="AL742" s="544"/>
      <c r="AM742" s="544"/>
      <c r="AN742" s="544"/>
      <c r="AO742" s="544"/>
      <c r="AP742" s="544"/>
      <c r="AQ742" s="544"/>
      <c r="AR742" s="544"/>
      <c r="AS742" s="544"/>
      <c r="AT742" s="544"/>
      <c r="AU742" s="544"/>
      <c r="AV742" s="544"/>
      <c r="AW742" s="544"/>
      <c r="AX742" s="544"/>
      <c r="AY742" s="544"/>
      <c r="AZ742" s="544"/>
      <c r="BA742" s="544"/>
      <c r="BB742" s="544"/>
      <c r="BC742" s="544"/>
      <c r="BD742" s="544"/>
      <c r="BE742" s="544"/>
      <c r="BF742" s="544"/>
      <c r="BG742" s="544"/>
      <c r="BH742" s="544"/>
      <c r="BI742" s="544"/>
      <c r="BJ742" s="544"/>
      <c r="BK742" s="722"/>
      <c r="BL742" s="722"/>
      <c r="BM742" s="722"/>
      <c r="BN742" s="544"/>
      <c r="BO742" s="544"/>
      <c r="BP742" s="544"/>
      <c r="BQ742" s="544"/>
      <c r="BR742" s="544"/>
      <c r="BS742" s="544"/>
      <c r="BT742" s="544"/>
      <c r="BU742" s="544"/>
      <c r="BV742" s="544"/>
      <c r="BW742" s="544"/>
      <c r="BX742" s="544"/>
      <c r="BY742" s="544"/>
      <c r="BZ742" s="544"/>
      <c r="CA742" s="544"/>
      <c r="CB742" s="723"/>
    </row>
    <row r="743" spans="1:80" s="459" customFormat="1" ht="36.75" customHeight="1" x14ac:dyDescent="0.2">
      <c r="A743" s="439" t="s">
        <v>860</v>
      </c>
      <c r="B743" s="439"/>
      <c r="C743" s="440"/>
      <c r="D743" s="439"/>
      <c r="E743" s="439"/>
      <c r="F743" s="439"/>
      <c r="G743" s="441"/>
      <c r="H743" s="442"/>
      <c r="I743" s="441"/>
      <c r="J743" s="441"/>
      <c r="K743" s="443"/>
      <c r="L743" s="443"/>
      <c r="M743" s="443"/>
      <c r="N743" s="441"/>
      <c r="O743" s="442"/>
      <c r="P743" s="441"/>
      <c r="Q743" s="442"/>
      <c r="R743" s="668"/>
      <c r="S743" s="668"/>
      <c r="T743" s="668"/>
      <c r="U743" s="668"/>
      <c r="V743" s="668"/>
      <c r="W743" s="668"/>
      <c r="X743" s="668"/>
      <c r="Y743" s="668"/>
      <c r="Z743" s="668"/>
      <c r="AA743" s="668"/>
      <c r="AB743" s="668"/>
      <c r="AC743" s="668"/>
      <c r="AD743" s="668"/>
      <c r="AE743" s="668"/>
      <c r="AF743" s="668"/>
      <c r="AG743" s="668"/>
      <c r="AH743" s="668"/>
      <c r="AI743" s="668"/>
      <c r="AJ743" s="668"/>
      <c r="AK743" s="668"/>
      <c r="AL743" s="668"/>
      <c r="AM743" s="668"/>
      <c r="AN743" s="668"/>
      <c r="AO743" s="668"/>
      <c r="AP743" s="668"/>
      <c r="AQ743" s="668"/>
      <c r="AR743" s="668"/>
      <c r="AS743" s="668"/>
      <c r="AT743" s="668"/>
      <c r="AU743" s="668"/>
      <c r="AV743" s="668"/>
      <c r="AW743" s="668"/>
      <c r="AX743" s="668"/>
      <c r="AY743" s="668"/>
      <c r="AZ743" s="668"/>
      <c r="BA743" s="668"/>
      <c r="BB743" s="668"/>
      <c r="BC743" s="668"/>
      <c r="BD743" s="668"/>
      <c r="BE743" s="668"/>
      <c r="BF743" s="668"/>
      <c r="BG743" s="668"/>
      <c r="BH743" s="668"/>
      <c r="BI743" s="668"/>
      <c r="BJ743" s="668"/>
      <c r="BK743" s="669"/>
      <c r="BL743" s="669"/>
      <c r="BM743" s="669"/>
      <c r="BN743" s="670"/>
      <c r="BO743" s="670"/>
      <c r="BP743" s="670"/>
      <c r="BQ743" s="668"/>
      <c r="BR743" s="668"/>
      <c r="BS743" s="668"/>
      <c r="BT743" s="668"/>
      <c r="BU743" s="668"/>
      <c r="BV743" s="668"/>
      <c r="BW743" s="668"/>
      <c r="BX743" s="668"/>
      <c r="BY743" s="668"/>
      <c r="BZ743" s="671"/>
      <c r="CA743" s="671"/>
      <c r="CB743" s="671"/>
    </row>
    <row r="744" spans="1:80" s="459" customFormat="1" ht="24.75" customHeight="1" x14ac:dyDescent="0.2">
      <c r="A744" s="297">
        <v>4</v>
      </c>
      <c r="B744" s="428" t="s">
        <v>861</v>
      </c>
      <c r="C744" s="263"/>
      <c r="D744" s="428"/>
      <c r="E744" s="428"/>
      <c r="F744" s="298"/>
      <c r="G744" s="444"/>
      <c r="H744" s="445"/>
      <c r="I744" s="444"/>
      <c r="J744" s="444"/>
      <c r="K744" s="446"/>
      <c r="L744" s="446"/>
      <c r="M744" s="446"/>
      <c r="N744" s="444"/>
      <c r="O744" s="445"/>
      <c r="P744" s="444"/>
      <c r="Q744" s="444"/>
      <c r="R744" s="672"/>
      <c r="S744" s="672"/>
      <c r="T744" s="672"/>
      <c r="U744" s="672"/>
      <c r="V744" s="672"/>
      <c r="W744" s="672"/>
      <c r="X744" s="672"/>
      <c r="Y744" s="672"/>
      <c r="Z744" s="672"/>
      <c r="AA744" s="672"/>
      <c r="AB744" s="672"/>
      <c r="AC744" s="672"/>
      <c r="AD744" s="672"/>
      <c r="AE744" s="672"/>
      <c r="AF744" s="672"/>
      <c r="AG744" s="672"/>
      <c r="AH744" s="672"/>
      <c r="AI744" s="672"/>
      <c r="AJ744" s="672"/>
      <c r="AK744" s="672"/>
      <c r="AL744" s="672"/>
      <c r="AM744" s="672"/>
      <c r="AN744" s="672"/>
      <c r="AO744" s="672"/>
      <c r="AP744" s="672"/>
      <c r="AQ744" s="672"/>
      <c r="AR744" s="672"/>
      <c r="AS744" s="672"/>
      <c r="AT744" s="672"/>
      <c r="AU744" s="672"/>
      <c r="AV744" s="672"/>
      <c r="AW744" s="672"/>
      <c r="AX744" s="672"/>
      <c r="AY744" s="672"/>
      <c r="AZ744" s="672"/>
      <c r="BA744" s="672"/>
      <c r="BB744" s="672"/>
      <c r="BC744" s="672"/>
      <c r="BD744" s="672"/>
      <c r="BE744" s="672"/>
      <c r="BF744" s="672"/>
      <c r="BG744" s="672"/>
      <c r="BH744" s="672"/>
      <c r="BI744" s="672"/>
      <c r="BJ744" s="672"/>
      <c r="BK744" s="673"/>
      <c r="BL744" s="673"/>
      <c r="BM744" s="673"/>
      <c r="BN744" s="672"/>
      <c r="BO744" s="672"/>
      <c r="BP744" s="672"/>
      <c r="BQ744" s="672"/>
      <c r="BR744" s="672"/>
      <c r="BS744" s="672"/>
      <c r="BT744" s="672"/>
      <c r="BU744" s="672"/>
      <c r="BV744" s="672"/>
      <c r="BW744" s="672"/>
      <c r="BX744" s="672"/>
      <c r="BY744" s="672"/>
      <c r="BZ744" s="610"/>
      <c r="CA744" s="610"/>
      <c r="CB744" s="610"/>
    </row>
    <row r="745" spans="1:80" s="459" customFormat="1" ht="24.75" customHeight="1" x14ac:dyDescent="0.2">
      <c r="A745" s="96"/>
      <c r="B745" s="185">
        <v>23</v>
      </c>
      <c r="C745" s="249" t="s">
        <v>179</v>
      </c>
      <c r="D745" s="419"/>
      <c r="E745" s="419"/>
      <c r="F745" s="419"/>
      <c r="G745" s="50"/>
      <c r="H745" s="51"/>
      <c r="I745" s="50"/>
      <c r="J745" s="50"/>
      <c r="K745" s="153"/>
      <c r="L745" s="153"/>
      <c r="M745" s="153"/>
      <c r="N745" s="447"/>
      <c r="O745" s="448"/>
      <c r="P745" s="447"/>
      <c r="Q745" s="447"/>
      <c r="R745" s="674"/>
      <c r="S745" s="674"/>
      <c r="T745" s="674"/>
      <c r="U745" s="674"/>
      <c r="V745" s="674"/>
      <c r="W745" s="674"/>
      <c r="X745" s="674"/>
      <c r="Y745" s="674"/>
      <c r="Z745" s="674"/>
      <c r="AA745" s="674"/>
      <c r="AB745" s="674"/>
      <c r="AC745" s="674"/>
      <c r="AD745" s="674"/>
      <c r="AE745" s="674"/>
      <c r="AF745" s="674"/>
      <c r="AG745" s="674"/>
      <c r="AH745" s="674"/>
      <c r="AI745" s="674"/>
      <c r="AJ745" s="674"/>
      <c r="AK745" s="674"/>
      <c r="AL745" s="674"/>
      <c r="AM745" s="674"/>
      <c r="AN745" s="674"/>
      <c r="AO745" s="674"/>
      <c r="AP745" s="674"/>
      <c r="AQ745" s="674"/>
      <c r="AR745" s="674"/>
      <c r="AS745" s="674"/>
      <c r="AT745" s="674"/>
      <c r="AU745" s="674"/>
      <c r="AV745" s="674"/>
      <c r="AW745" s="674"/>
      <c r="AX745" s="674"/>
      <c r="AY745" s="674"/>
      <c r="AZ745" s="674"/>
      <c r="BA745" s="674"/>
      <c r="BB745" s="674"/>
      <c r="BC745" s="674"/>
      <c r="BD745" s="674"/>
      <c r="BE745" s="674"/>
      <c r="BF745" s="674"/>
      <c r="BG745" s="674"/>
      <c r="BH745" s="674"/>
      <c r="BI745" s="674"/>
      <c r="BJ745" s="674"/>
      <c r="BK745" s="675"/>
      <c r="BL745" s="675"/>
      <c r="BM745" s="675"/>
      <c r="BN745" s="674"/>
      <c r="BO745" s="674"/>
      <c r="BP745" s="674"/>
      <c r="BQ745" s="674"/>
      <c r="BR745" s="674"/>
      <c r="BS745" s="674"/>
      <c r="BT745" s="674"/>
      <c r="BU745" s="674"/>
      <c r="BV745" s="674"/>
      <c r="BW745" s="674"/>
      <c r="BX745" s="674"/>
      <c r="BY745" s="674"/>
      <c r="BZ745" s="676"/>
      <c r="CA745" s="676"/>
      <c r="CB745" s="676"/>
    </row>
    <row r="746" spans="1:80" s="459" customFormat="1" ht="24.75" customHeight="1" x14ac:dyDescent="0.2">
      <c r="A746" s="54"/>
      <c r="B746" s="484"/>
      <c r="C746" s="27"/>
      <c r="D746" s="67"/>
      <c r="E746" s="27"/>
      <c r="F746" s="27"/>
      <c r="G746" s="274">
        <v>77</v>
      </c>
      <c r="H746" s="99" t="s">
        <v>862</v>
      </c>
      <c r="I746" s="100"/>
      <c r="J746" s="100"/>
      <c r="K746" s="155"/>
      <c r="L746" s="155"/>
      <c r="M746" s="155"/>
      <c r="N746" s="100"/>
      <c r="O746" s="212"/>
      <c r="P746" s="100"/>
      <c r="Q746" s="100"/>
      <c r="R746" s="336"/>
      <c r="S746" s="336"/>
      <c r="T746" s="336"/>
      <c r="U746" s="336"/>
      <c r="V746" s="336"/>
      <c r="W746" s="336"/>
      <c r="X746" s="336"/>
      <c r="Y746" s="336"/>
      <c r="Z746" s="336"/>
      <c r="AA746" s="336"/>
      <c r="AB746" s="336"/>
      <c r="AC746" s="336"/>
      <c r="AD746" s="336"/>
      <c r="AE746" s="336"/>
      <c r="AF746" s="336"/>
      <c r="AG746" s="336"/>
      <c r="AH746" s="336"/>
      <c r="AI746" s="336"/>
      <c r="AJ746" s="336"/>
      <c r="AK746" s="336"/>
      <c r="AL746" s="336"/>
      <c r="AM746" s="336"/>
      <c r="AN746" s="336"/>
      <c r="AO746" s="336"/>
      <c r="AP746" s="336"/>
      <c r="AQ746" s="336"/>
      <c r="AR746" s="336"/>
      <c r="AS746" s="336"/>
      <c r="AT746" s="336"/>
      <c r="AU746" s="336"/>
      <c r="AV746" s="336"/>
      <c r="AW746" s="336"/>
      <c r="AX746" s="336"/>
      <c r="AY746" s="336"/>
      <c r="AZ746" s="336"/>
      <c r="BA746" s="336"/>
      <c r="BB746" s="336"/>
      <c r="BC746" s="336"/>
      <c r="BD746" s="336"/>
      <c r="BE746" s="336"/>
      <c r="BF746" s="336"/>
      <c r="BG746" s="336"/>
      <c r="BH746" s="336"/>
      <c r="BI746" s="336"/>
      <c r="BJ746" s="336"/>
      <c r="BK746" s="552"/>
      <c r="BL746" s="552"/>
      <c r="BM746" s="552"/>
      <c r="BN746" s="336"/>
      <c r="BO746" s="336"/>
      <c r="BP746" s="336"/>
      <c r="BQ746" s="336"/>
      <c r="BR746" s="336"/>
      <c r="BS746" s="336"/>
      <c r="BT746" s="336"/>
      <c r="BU746" s="336"/>
      <c r="BV746" s="336"/>
      <c r="BW746" s="336"/>
      <c r="BX746" s="336"/>
      <c r="BY746" s="336"/>
      <c r="BZ746" s="658"/>
      <c r="CA746" s="658"/>
      <c r="CB746" s="658"/>
    </row>
    <row r="747" spans="1:80" s="11" customFormat="1" ht="51" customHeight="1" x14ac:dyDescent="0.2">
      <c r="A747" s="54"/>
      <c r="B747" s="485"/>
      <c r="C747" s="857">
        <v>11</v>
      </c>
      <c r="D747" s="857" t="s">
        <v>863</v>
      </c>
      <c r="E747" s="857" t="s">
        <v>864</v>
      </c>
      <c r="F747" s="857" t="s">
        <v>865</v>
      </c>
      <c r="G747" s="200"/>
      <c r="H747" s="57">
        <v>223</v>
      </c>
      <c r="I747" s="56" t="s">
        <v>866</v>
      </c>
      <c r="J747" s="59" t="s">
        <v>42</v>
      </c>
      <c r="K747" s="60">
        <v>1</v>
      </c>
      <c r="L747" s="138">
        <v>0.3</v>
      </c>
      <c r="M747" s="850">
        <v>2017003630054</v>
      </c>
      <c r="N747" s="59" t="s">
        <v>134</v>
      </c>
      <c r="O747" s="927" t="s">
        <v>867</v>
      </c>
      <c r="P747" s="853" t="s">
        <v>868</v>
      </c>
      <c r="Q747" s="57" t="s">
        <v>51</v>
      </c>
      <c r="R747" s="539">
        <v>0</v>
      </c>
      <c r="S747" s="539"/>
      <c r="T747" s="539"/>
      <c r="U747" s="539">
        <v>0</v>
      </c>
      <c r="V747" s="539"/>
      <c r="W747" s="539"/>
      <c r="X747" s="539">
        <v>0</v>
      </c>
      <c r="Y747" s="539"/>
      <c r="Z747" s="539"/>
      <c r="AA747" s="539">
        <v>0</v>
      </c>
      <c r="AB747" s="539"/>
      <c r="AC747" s="539"/>
      <c r="AD747" s="539">
        <v>0</v>
      </c>
      <c r="AE747" s="539"/>
      <c r="AF747" s="539"/>
      <c r="AG747" s="539">
        <v>0</v>
      </c>
      <c r="AH747" s="539"/>
      <c r="AI747" s="539"/>
      <c r="AJ747" s="539">
        <v>0</v>
      </c>
      <c r="AK747" s="539"/>
      <c r="AL747" s="539"/>
      <c r="AM747" s="539"/>
      <c r="AN747" s="539"/>
      <c r="AO747" s="539"/>
      <c r="AP747" s="539"/>
      <c r="AQ747" s="539"/>
      <c r="AR747" s="539"/>
      <c r="AS747" s="539">
        <v>0</v>
      </c>
      <c r="AT747" s="539"/>
      <c r="AU747" s="539"/>
      <c r="AV747" s="539">
        <v>0</v>
      </c>
      <c r="AW747" s="539"/>
      <c r="AX747" s="539"/>
      <c r="AY747" s="539"/>
      <c r="AZ747" s="539"/>
      <c r="BA747" s="539"/>
      <c r="BB747" s="539"/>
      <c r="BC747" s="539"/>
      <c r="BD747" s="539"/>
      <c r="BE747" s="539">
        <v>0</v>
      </c>
      <c r="BF747" s="539"/>
      <c r="BG747" s="539"/>
      <c r="BH747" s="539">
        <v>0</v>
      </c>
      <c r="BI747" s="539"/>
      <c r="BJ747" s="539"/>
      <c r="BK747" s="540">
        <v>0</v>
      </c>
      <c r="BL747" s="540"/>
      <c r="BM747" s="540"/>
      <c r="BN747" s="553"/>
      <c r="BO747" s="553"/>
      <c r="BP747" s="553"/>
      <c r="BQ747" s="540">
        <v>102733200</v>
      </c>
      <c r="BR747" s="542">
        <v>52406665</v>
      </c>
      <c r="BS747" s="542">
        <v>18806665</v>
      </c>
      <c r="BT747" s="542"/>
      <c r="BU747" s="542"/>
      <c r="BV747" s="542"/>
      <c r="BW747" s="541">
        <v>0</v>
      </c>
      <c r="BX747" s="541"/>
      <c r="BY747" s="541"/>
      <c r="BZ747" s="539">
        <f>R747+U747+X747+AA747+AD747+AG747+AJ747+AM747+AP747+AS747+AV747+AY747+BB747+BE747+BH747+BK747+BN747+BQ747+BT747+BW747</f>
        <v>102733200</v>
      </c>
      <c r="CA747" s="539">
        <f t="shared" ref="CA747:CB747" si="718">S747+V747+Y747+AB747+AE747+AH747+AK747+AN747+AQ747+AT747+AW747+AZ747+BC747+BF747+BI747+BL747+BO747+BR747+BU747+BX747</f>
        <v>52406665</v>
      </c>
      <c r="CB747" s="539">
        <f t="shared" si="718"/>
        <v>18806665</v>
      </c>
    </row>
    <row r="748" spans="1:80" s="11" customFormat="1" ht="52.5" customHeight="1" x14ac:dyDescent="0.2">
      <c r="A748" s="54"/>
      <c r="B748" s="485"/>
      <c r="C748" s="857"/>
      <c r="D748" s="857"/>
      <c r="E748" s="857"/>
      <c r="F748" s="857"/>
      <c r="G748" s="68"/>
      <c r="H748" s="57">
        <v>224</v>
      </c>
      <c r="I748" s="56" t="s">
        <v>869</v>
      </c>
      <c r="J748" s="59">
        <v>0</v>
      </c>
      <c r="K748" s="60">
        <v>1</v>
      </c>
      <c r="L748" s="60">
        <v>0</v>
      </c>
      <c r="M748" s="851"/>
      <c r="N748" s="59" t="s">
        <v>134</v>
      </c>
      <c r="O748" s="925"/>
      <c r="P748" s="854"/>
      <c r="Q748" s="57" t="s">
        <v>51</v>
      </c>
      <c r="R748" s="539">
        <v>0</v>
      </c>
      <c r="S748" s="539"/>
      <c r="T748" s="539"/>
      <c r="U748" s="539">
        <v>0</v>
      </c>
      <c r="V748" s="539"/>
      <c r="W748" s="539"/>
      <c r="X748" s="539">
        <v>0</v>
      </c>
      <c r="Y748" s="539"/>
      <c r="Z748" s="539"/>
      <c r="AA748" s="539">
        <v>0</v>
      </c>
      <c r="AB748" s="539"/>
      <c r="AC748" s="539"/>
      <c r="AD748" s="539">
        <v>0</v>
      </c>
      <c r="AE748" s="539"/>
      <c r="AF748" s="539"/>
      <c r="AG748" s="539">
        <v>0</v>
      </c>
      <c r="AH748" s="539"/>
      <c r="AI748" s="539"/>
      <c r="AJ748" s="539">
        <v>0</v>
      </c>
      <c r="AK748" s="539"/>
      <c r="AL748" s="539"/>
      <c r="AM748" s="539"/>
      <c r="AN748" s="539"/>
      <c r="AO748" s="539"/>
      <c r="AP748" s="539"/>
      <c r="AQ748" s="539"/>
      <c r="AR748" s="539"/>
      <c r="AS748" s="539">
        <v>0</v>
      </c>
      <c r="AT748" s="539"/>
      <c r="AU748" s="539"/>
      <c r="AV748" s="539">
        <v>0</v>
      </c>
      <c r="AW748" s="539"/>
      <c r="AX748" s="539"/>
      <c r="AY748" s="539"/>
      <c r="AZ748" s="539"/>
      <c r="BA748" s="539"/>
      <c r="BB748" s="539"/>
      <c r="BC748" s="539"/>
      <c r="BD748" s="539"/>
      <c r="BE748" s="539">
        <v>0</v>
      </c>
      <c r="BF748" s="539"/>
      <c r="BG748" s="539"/>
      <c r="BH748" s="539">
        <v>0</v>
      </c>
      <c r="BI748" s="539"/>
      <c r="BJ748" s="539"/>
      <c r="BK748" s="540">
        <v>0</v>
      </c>
      <c r="BL748" s="540"/>
      <c r="BM748" s="540"/>
      <c r="BN748" s="553"/>
      <c r="BO748" s="553"/>
      <c r="BP748" s="553"/>
      <c r="BQ748" s="540">
        <v>10600000</v>
      </c>
      <c r="BR748" s="542"/>
      <c r="BS748" s="542"/>
      <c r="BT748" s="542"/>
      <c r="BU748" s="542"/>
      <c r="BV748" s="542"/>
      <c r="BW748" s="541">
        <v>0</v>
      </c>
      <c r="BX748" s="541"/>
      <c r="BY748" s="541"/>
      <c r="BZ748" s="539">
        <f t="shared" ref="BZ748:BZ749" si="719">R748+U748+X748+AA748+AD748+AG748+AJ748+AM748+AP748+AS748+AV748+AY748+BB748+BE748+BH748+BK748+BN748+BQ748+BT748+BW748</f>
        <v>10600000</v>
      </c>
      <c r="CA748" s="539">
        <f t="shared" ref="CA748:CA749" si="720">S748+V748+Y748+AB748+AE748+AH748+AK748+AN748+AQ748+AT748+AW748+AZ748+BC748+BF748+BI748+BL748+BO748+BR748+BU748+BX748</f>
        <v>0</v>
      </c>
      <c r="CB748" s="539">
        <f t="shared" ref="CB748:CB749" si="721">T748+W748+Z748+AC748+AF748+AI748+AL748+AO748+AR748+AU748+AX748+BA748+BD748+BG748+BJ748+BM748+BP748+BS748+BV748+BY748</f>
        <v>0</v>
      </c>
    </row>
    <row r="749" spans="1:80" s="11" customFormat="1" ht="48" customHeight="1" x14ac:dyDescent="0.2">
      <c r="A749" s="54"/>
      <c r="B749" s="485"/>
      <c r="C749" s="857"/>
      <c r="D749" s="857"/>
      <c r="E749" s="857"/>
      <c r="F749" s="857"/>
      <c r="G749" s="72"/>
      <c r="H749" s="57">
        <v>225</v>
      </c>
      <c r="I749" s="56" t="s">
        <v>870</v>
      </c>
      <c r="J749" s="59">
        <v>0</v>
      </c>
      <c r="K749" s="60">
        <v>1</v>
      </c>
      <c r="L749" s="60">
        <v>0</v>
      </c>
      <c r="M749" s="852"/>
      <c r="N749" s="59" t="s">
        <v>134</v>
      </c>
      <c r="O749" s="926"/>
      <c r="P749" s="855"/>
      <c r="Q749" s="57" t="s">
        <v>51</v>
      </c>
      <c r="R749" s="539">
        <v>0</v>
      </c>
      <c r="S749" s="539"/>
      <c r="T749" s="539"/>
      <c r="U749" s="539">
        <v>0</v>
      </c>
      <c r="V749" s="539"/>
      <c r="W749" s="539"/>
      <c r="X749" s="539">
        <v>0</v>
      </c>
      <c r="Y749" s="539"/>
      <c r="Z749" s="539"/>
      <c r="AA749" s="539">
        <v>0</v>
      </c>
      <c r="AB749" s="539"/>
      <c r="AC749" s="539"/>
      <c r="AD749" s="539">
        <v>0</v>
      </c>
      <c r="AE749" s="539"/>
      <c r="AF749" s="539"/>
      <c r="AG749" s="539">
        <v>0</v>
      </c>
      <c r="AH749" s="539"/>
      <c r="AI749" s="539"/>
      <c r="AJ749" s="539">
        <v>0</v>
      </c>
      <c r="AK749" s="539"/>
      <c r="AL749" s="539"/>
      <c r="AM749" s="539"/>
      <c r="AN749" s="539"/>
      <c r="AO749" s="539"/>
      <c r="AP749" s="539"/>
      <c r="AQ749" s="539"/>
      <c r="AR749" s="539"/>
      <c r="AS749" s="539">
        <v>0</v>
      </c>
      <c r="AT749" s="539"/>
      <c r="AU749" s="539"/>
      <c r="AV749" s="539">
        <v>0</v>
      </c>
      <c r="AW749" s="539"/>
      <c r="AX749" s="539"/>
      <c r="AY749" s="539"/>
      <c r="AZ749" s="539"/>
      <c r="BA749" s="539"/>
      <c r="BB749" s="539"/>
      <c r="BC749" s="539"/>
      <c r="BD749" s="539"/>
      <c r="BE749" s="539">
        <v>0</v>
      </c>
      <c r="BF749" s="539"/>
      <c r="BG749" s="539"/>
      <c r="BH749" s="539">
        <v>0</v>
      </c>
      <c r="BI749" s="539"/>
      <c r="BJ749" s="539"/>
      <c r="BK749" s="540">
        <v>0</v>
      </c>
      <c r="BL749" s="540"/>
      <c r="BM749" s="540"/>
      <c r="BN749" s="553"/>
      <c r="BO749" s="553"/>
      <c r="BP749" s="553"/>
      <c r="BQ749" s="540">
        <v>1666800</v>
      </c>
      <c r="BR749" s="542"/>
      <c r="BS749" s="542"/>
      <c r="BT749" s="542"/>
      <c r="BU749" s="542"/>
      <c r="BV749" s="542"/>
      <c r="BW749" s="541">
        <v>0</v>
      </c>
      <c r="BX749" s="541"/>
      <c r="BY749" s="541"/>
      <c r="BZ749" s="539">
        <f t="shared" si="719"/>
        <v>1666800</v>
      </c>
      <c r="CA749" s="539">
        <f t="shared" si="720"/>
        <v>0</v>
      </c>
      <c r="CB749" s="539">
        <f t="shared" si="721"/>
        <v>0</v>
      </c>
    </row>
    <row r="750" spans="1:80" s="459" customFormat="1" ht="21.75" customHeight="1" x14ac:dyDescent="0.2">
      <c r="A750" s="54"/>
      <c r="B750" s="486"/>
      <c r="C750" s="259"/>
      <c r="D750" s="209"/>
      <c r="E750" s="259"/>
      <c r="F750" s="259"/>
      <c r="G750" s="350"/>
      <c r="H750" s="78"/>
      <c r="I750" s="77"/>
      <c r="J750" s="79"/>
      <c r="K750" s="140"/>
      <c r="L750" s="140"/>
      <c r="M750" s="140"/>
      <c r="N750" s="79"/>
      <c r="O750" s="78"/>
      <c r="P750" s="77"/>
      <c r="Q750" s="78"/>
      <c r="R750" s="548">
        <f t="shared" ref="R750:BQ750" si="722">SUM(R747:R749)</f>
        <v>0</v>
      </c>
      <c r="S750" s="548"/>
      <c r="T750" s="548"/>
      <c r="U750" s="548">
        <f t="shared" si="722"/>
        <v>0</v>
      </c>
      <c r="V750" s="548"/>
      <c r="W750" s="548"/>
      <c r="X750" s="548">
        <f t="shared" si="722"/>
        <v>0</v>
      </c>
      <c r="Y750" s="548"/>
      <c r="Z750" s="548"/>
      <c r="AA750" s="548">
        <f t="shared" si="722"/>
        <v>0</v>
      </c>
      <c r="AB750" s="548"/>
      <c r="AC750" s="548"/>
      <c r="AD750" s="548">
        <f t="shared" si="722"/>
        <v>0</v>
      </c>
      <c r="AE750" s="548"/>
      <c r="AF750" s="548"/>
      <c r="AG750" s="548">
        <f t="shared" si="722"/>
        <v>0</v>
      </c>
      <c r="AH750" s="548"/>
      <c r="AI750" s="548"/>
      <c r="AJ750" s="548">
        <f t="shared" si="722"/>
        <v>0</v>
      </c>
      <c r="AK750" s="548"/>
      <c r="AL750" s="548"/>
      <c r="AM750" s="548"/>
      <c r="AN750" s="548"/>
      <c r="AO750" s="548"/>
      <c r="AP750" s="548"/>
      <c r="AQ750" s="548"/>
      <c r="AR750" s="548"/>
      <c r="AS750" s="548">
        <f t="shared" si="722"/>
        <v>0</v>
      </c>
      <c r="AT750" s="548"/>
      <c r="AU750" s="548"/>
      <c r="AV750" s="548">
        <f t="shared" si="722"/>
        <v>0</v>
      </c>
      <c r="AW750" s="548"/>
      <c r="AX750" s="548"/>
      <c r="AY750" s="548">
        <f t="shared" si="722"/>
        <v>0</v>
      </c>
      <c r="AZ750" s="548"/>
      <c r="BA750" s="548"/>
      <c r="BB750" s="548">
        <f t="shared" si="722"/>
        <v>0</v>
      </c>
      <c r="BC750" s="548"/>
      <c r="BD750" s="548"/>
      <c r="BE750" s="548">
        <f t="shared" si="722"/>
        <v>0</v>
      </c>
      <c r="BF750" s="548"/>
      <c r="BG750" s="548"/>
      <c r="BH750" s="548">
        <f t="shared" si="722"/>
        <v>0</v>
      </c>
      <c r="BI750" s="548"/>
      <c r="BJ750" s="548"/>
      <c r="BK750" s="621">
        <f t="shared" si="722"/>
        <v>0</v>
      </c>
      <c r="BL750" s="621"/>
      <c r="BM750" s="621"/>
      <c r="BN750" s="548"/>
      <c r="BO750" s="548"/>
      <c r="BP750" s="548"/>
      <c r="BQ750" s="548">
        <f t="shared" si="722"/>
        <v>115000000</v>
      </c>
      <c r="BR750" s="548"/>
      <c r="BS750" s="548"/>
      <c r="BT750" s="548">
        <f>SUM(BT747:BT749)</f>
        <v>0</v>
      </c>
      <c r="BU750" s="548"/>
      <c r="BV750" s="548"/>
      <c r="BW750" s="548">
        <f>SUM(BW747:BW749)</f>
        <v>0</v>
      </c>
      <c r="BX750" s="548"/>
      <c r="BY750" s="548"/>
      <c r="BZ750" s="548">
        <f>SUM(BZ747:BZ749)</f>
        <v>115000000</v>
      </c>
      <c r="CA750" s="548">
        <f>SUM(CA747:CA749)</f>
        <v>52406665</v>
      </c>
      <c r="CB750" s="548">
        <f t="shared" ref="CB750" si="723">SUM(CB747:CB749)</f>
        <v>18806665</v>
      </c>
    </row>
    <row r="751" spans="1:80" s="459" customFormat="1" ht="21.75" customHeight="1" x14ac:dyDescent="0.2">
      <c r="A751" s="74"/>
      <c r="B751" s="81"/>
      <c r="C751" s="82"/>
      <c r="D751" s="81"/>
      <c r="E751" s="82"/>
      <c r="F751" s="82"/>
      <c r="G751" s="118"/>
      <c r="H751" s="82"/>
      <c r="I751" s="81"/>
      <c r="J751" s="83"/>
      <c r="K751" s="142"/>
      <c r="L751" s="142"/>
      <c r="M751" s="142"/>
      <c r="N751" s="83"/>
      <c r="O751" s="82"/>
      <c r="P751" s="81"/>
      <c r="Q751" s="82"/>
      <c r="R751" s="554">
        <f t="shared" ref="R751:BZ753" si="724">R750</f>
        <v>0</v>
      </c>
      <c r="S751" s="554"/>
      <c r="T751" s="554"/>
      <c r="U751" s="554">
        <f t="shared" si="724"/>
        <v>0</v>
      </c>
      <c r="V751" s="554"/>
      <c r="W751" s="554"/>
      <c r="X751" s="554">
        <f t="shared" si="724"/>
        <v>0</v>
      </c>
      <c r="Y751" s="554"/>
      <c r="Z751" s="554"/>
      <c r="AA751" s="554">
        <f t="shared" si="724"/>
        <v>0</v>
      </c>
      <c r="AB751" s="554"/>
      <c r="AC751" s="554"/>
      <c r="AD751" s="554">
        <f t="shared" si="724"/>
        <v>0</v>
      </c>
      <c r="AE751" s="554"/>
      <c r="AF751" s="554"/>
      <c r="AG751" s="554">
        <f t="shared" si="724"/>
        <v>0</v>
      </c>
      <c r="AH751" s="554"/>
      <c r="AI751" s="554"/>
      <c r="AJ751" s="554">
        <f t="shared" si="724"/>
        <v>0</v>
      </c>
      <c r="AK751" s="554"/>
      <c r="AL751" s="554"/>
      <c r="AM751" s="554"/>
      <c r="AN751" s="554"/>
      <c r="AO751" s="554"/>
      <c r="AP751" s="554"/>
      <c r="AQ751" s="554"/>
      <c r="AR751" s="554"/>
      <c r="AS751" s="554">
        <f t="shared" si="724"/>
        <v>0</v>
      </c>
      <c r="AT751" s="554"/>
      <c r="AU751" s="554"/>
      <c r="AV751" s="554">
        <f t="shared" si="724"/>
        <v>0</v>
      </c>
      <c r="AW751" s="554"/>
      <c r="AX751" s="554"/>
      <c r="AY751" s="554">
        <f t="shared" si="724"/>
        <v>0</v>
      </c>
      <c r="AZ751" s="554"/>
      <c r="BA751" s="554"/>
      <c r="BB751" s="554">
        <f t="shared" si="724"/>
        <v>0</v>
      </c>
      <c r="BC751" s="554"/>
      <c r="BD751" s="554"/>
      <c r="BE751" s="554">
        <f t="shared" si="724"/>
        <v>0</v>
      </c>
      <c r="BF751" s="554"/>
      <c r="BG751" s="554"/>
      <c r="BH751" s="554">
        <f t="shared" si="724"/>
        <v>0</v>
      </c>
      <c r="BI751" s="554"/>
      <c r="BJ751" s="554"/>
      <c r="BK751" s="622">
        <f t="shared" si="724"/>
        <v>0</v>
      </c>
      <c r="BL751" s="622"/>
      <c r="BM751" s="622"/>
      <c r="BN751" s="554"/>
      <c r="BO751" s="554"/>
      <c r="BP751" s="554"/>
      <c r="BQ751" s="554">
        <f t="shared" si="724"/>
        <v>115000000</v>
      </c>
      <c r="BR751" s="554"/>
      <c r="BS751" s="554"/>
      <c r="BT751" s="554">
        <f t="shared" si="724"/>
        <v>0</v>
      </c>
      <c r="BU751" s="554"/>
      <c r="BV751" s="554"/>
      <c r="BW751" s="554">
        <f t="shared" si="724"/>
        <v>0</v>
      </c>
      <c r="BX751" s="554"/>
      <c r="BY751" s="554"/>
      <c r="BZ751" s="554">
        <f t="shared" si="724"/>
        <v>115000000</v>
      </c>
      <c r="CA751" s="554">
        <f t="shared" ref="CA751:CB751" si="725">CA750</f>
        <v>52406665</v>
      </c>
      <c r="CB751" s="554">
        <f t="shared" si="725"/>
        <v>18806665</v>
      </c>
    </row>
    <row r="752" spans="1:80" s="459" customFormat="1" ht="21.75" customHeight="1" x14ac:dyDescent="0.2">
      <c r="A752" s="84"/>
      <c r="B752" s="84"/>
      <c r="C752" s="85"/>
      <c r="D752" s="84"/>
      <c r="E752" s="85"/>
      <c r="F752" s="85"/>
      <c r="G752" s="180"/>
      <c r="H752" s="85"/>
      <c r="I752" s="84"/>
      <c r="J752" s="86"/>
      <c r="K752" s="143"/>
      <c r="L752" s="143"/>
      <c r="M752" s="143"/>
      <c r="N752" s="86"/>
      <c r="O752" s="85"/>
      <c r="P752" s="84"/>
      <c r="Q752" s="85"/>
      <c r="R752" s="560">
        <f t="shared" si="724"/>
        <v>0</v>
      </c>
      <c r="S752" s="560"/>
      <c r="T752" s="560"/>
      <c r="U752" s="560">
        <f t="shared" si="724"/>
        <v>0</v>
      </c>
      <c r="V752" s="560"/>
      <c r="W752" s="560"/>
      <c r="X752" s="560">
        <f t="shared" si="724"/>
        <v>0</v>
      </c>
      <c r="Y752" s="560"/>
      <c r="Z752" s="560"/>
      <c r="AA752" s="560">
        <f t="shared" si="724"/>
        <v>0</v>
      </c>
      <c r="AB752" s="560"/>
      <c r="AC752" s="560"/>
      <c r="AD752" s="560">
        <f t="shared" si="724"/>
        <v>0</v>
      </c>
      <c r="AE752" s="560"/>
      <c r="AF752" s="560"/>
      <c r="AG752" s="560">
        <f t="shared" si="724"/>
        <v>0</v>
      </c>
      <c r="AH752" s="560"/>
      <c r="AI752" s="560"/>
      <c r="AJ752" s="560">
        <f t="shared" si="724"/>
        <v>0</v>
      </c>
      <c r="AK752" s="560"/>
      <c r="AL752" s="560"/>
      <c r="AM752" s="560"/>
      <c r="AN752" s="560"/>
      <c r="AO752" s="560"/>
      <c r="AP752" s="560"/>
      <c r="AQ752" s="560"/>
      <c r="AR752" s="560"/>
      <c r="AS752" s="560">
        <f t="shared" si="724"/>
        <v>0</v>
      </c>
      <c r="AT752" s="560"/>
      <c r="AU752" s="560"/>
      <c r="AV752" s="560">
        <f t="shared" si="724"/>
        <v>0</v>
      </c>
      <c r="AW752" s="560"/>
      <c r="AX752" s="560"/>
      <c r="AY752" s="560">
        <f t="shared" si="724"/>
        <v>0</v>
      </c>
      <c r="AZ752" s="560"/>
      <c r="BA752" s="560"/>
      <c r="BB752" s="560">
        <f t="shared" si="724"/>
        <v>0</v>
      </c>
      <c r="BC752" s="560"/>
      <c r="BD752" s="560"/>
      <c r="BE752" s="560">
        <f t="shared" si="724"/>
        <v>0</v>
      </c>
      <c r="BF752" s="560"/>
      <c r="BG752" s="560"/>
      <c r="BH752" s="560">
        <f t="shared" si="724"/>
        <v>0</v>
      </c>
      <c r="BI752" s="560"/>
      <c r="BJ752" s="560"/>
      <c r="BK752" s="623">
        <f t="shared" si="724"/>
        <v>0</v>
      </c>
      <c r="BL752" s="623"/>
      <c r="BM752" s="623"/>
      <c r="BN752" s="560"/>
      <c r="BO752" s="560"/>
      <c r="BP752" s="560"/>
      <c r="BQ752" s="560">
        <f t="shared" si="724"/>
        <v>115000000</v>
      </c>
      <c r="BR752" s="560"/>
      <c r="BS752" s="560"/>
      <c r="BT752" s="560">
        <f t="shared" si="724"/>
        <v>0</v>
      </c>
      <c r="BU752" s="560"/>
      <c r="BV752" s="560"/>
      <c r="BW752" s="560">
        <f t="shared" si="724"/>
        <v>0</v>
      </c>
      <c r="BX752" s="560"/>
      <c r="BY752" s="560"/>
      <c r="BZ752" s="560">
        <f t="shared" si="724"/>
        <v>115000000</v>
      </c>
      <c r="CA752" s="560">
        <f t="shared" ref="CA752:CB752" si="726">CA751</f>
        <v>52406665</v>
      </c>
      <c r="CB752" s="560">
        <f t="shared" si="726"/>
        <v>18806665</v>
      </c>
    </row>
    <row r="753" spans="1:92" s="459" customFormat="1" ht="21.75" customHeight="1" x14ac:dyDescent="0.2">
      <c r="A753" s="710"/>
      <c r="B753" s="710"/>
      <c r="C753" s="711"/>
      <c r="D753" s="710"/>
      <c r="E753" s="711"/>
      <c r="F753" s="711"/>
      <c r="G753" s="712"/>
      <c r="H753" s="711"/>
      <c r="I753" s="710"/>
      <c r="J753" s="725"/>
      <c r="K753" s="726"/>
      <c r="L753" s="726"/>
      <c r="M753" s="726"/>
      <c r="N753" s="725"/>
      <c r="O753" s="711"/>
      <c r="P753" s="710"/>
      <c r="Q753" s="711"/>
      <c r="R753" s="715">
        <f t="shared" si="724"/>
        <v>0</v>
      </c>
      <c r="S753" s="715"/>
      <c r="T753" s="715"/>
      <c r="U753" s="715">
        <f t="shared" si="724"/>
        <v>0</v>
      </c>
      <c r="V753" s="715"/>
      <c r="W753" s="715"/>
      <c r="X753" s="561">
        <f t="shared" si="724"/>
        <v>0</v>
      </c>
      <c r="Y753" s="561"/>
      <c r="Z753" s="561"/>
      <c r="AA753" s="561">
        <f t="shared" si="724"/>
        <v>0</v>
      </c>
      <c r="AB753" s="561"/>
      <c r="AC753" s="561"/>
      <c r="AD753" s="561">
        <f t="shared" si="724"/>
        <v>0</v>
      </c>
      <c r="AE753" s="561"/>
      <c r="AF753" s="561"/>
      <c r="AG753" s="561">
        <f t="shared" si="724"/>
        <v>0</v>
      </c>
      <c r="AH753" s="561"/>
      <c r="AI753" s="561"/>
      <c r="AJ753" s="561">
        <f t="shared" si="724"/>
        <v>0</v>
      </c>
      <c r="AK753" s="561"/>
      <c r="AL753" s="561"/>
      <c r="AM753" s="561"/>
      <c r="AN753" s="561"/>
      <c r="AO753" s="561"/>
      <c r="AP753" s="561"/>
      <c r="AQ753" s="561"/>
      <c r="AR753" s="561"/>
      <c r="AS753" s="561">
        <f t="shared" si="724"/>
        <v>0</v>
      </c>
      <c r="AT753" s="561"/>
      <c r="AU753" s="561"/>
      <c r="AV753" s="561">
        <f t="shared" si="724"/>
        <v>0</v>
      </c>
      <c r="AW753" s="561"/>
      <c r="AX753" s="561"/>
      <c r="AY753" s="561">
        <f t="shared" si="724"/>
        <v>0</v>
      </c>
      <c r="AZ753" s="561"/>
      <c r="BA753" s="561"/>
      <c r="BB753" s="561">
        <f t="shared" si="724"/>
        <v>0</v>
      </c>
      <c r="BC753" s="561"/>
      <c r="BD753" s="561"/>
      <c r="BE753" s="561">
        <f t="shared" si="724"/>
        <v>0</v>
      </c>
      <c r="BF753" s="561"/>
      <c r="BG753" s="561"/>
      <c r="BH753" s="561">
        <f t="shared" si="724"/>
        <v>0</v>
      </c>
      <c r="BI753" s="561"/>
      <c r="BJ753" s="561"/>
      <c r="BK753" s="624">
        <f t="shared" si="724"/>
        <v>0</v>
      </c>
      <c r="BL753" s="624"/>
      <c r="BM753" s="624"/>
      <c r="BN753" s="561"/>
      <c r="BO753" s="561"/>
      <c r="BP753" s="561"/>
      <c r="BQ753" s="561">
        <f t="shared" si="724"/>
        <v>115000000</v>
      </c>
      <c r="BR753" s="561"/>
      <c r="BS753" s="561"/>
      <c r="BT753" s="561">
        <f t="shared" si="724"/>
        <v>0</v>
      </c>
      <c r="BU753" s="561"/>
      <c r="BV753" s="561"/>
      <c r="BW753" s="561">
        <f t="shared" si="724"/>
        <v>0</v>
      </c>
      <c r="BX753" s="561"/>
      <c r="BY753" s="561"/>
      <c r="BZ753" s="561">
        <f t="shared" si="724"/>
        <v>115000000</v>
      </c>
      <c r="CA753" s="561">
        <f t="shared" ref="CA753:CB753" si="727">CA752</f>
        <v>52406665</v>
      </c>
      <c r="CB753" s="561">
        <f t="shared" si="727"/>
        <v>18806665</v>
      </c>
    </row>
    <row r="754" spans="1:92" s="2" customFormat="1" ht="29.25" customHeight="1" x14ac:dyDescent="0.25">
      <c r="A754" s="936" t="s">
        <v>871</v>
      </c>
      <c r="B754" s="937"/>
      <c r="C754" s="937"/>
      <c r="D754" s="937"/>
      <c r="E754" s="937"/>
      <c r="F754" s="937"/>
      <c r="G754" s="937"/>
      <c r="H754" s="937"/>
      <c r="I754" s="937"/>
      <c r="J754" s="937"/>
      <c r="K754" s="937"/>
      <c r="L754" s="514"/>
      <c r="M754" s="514"/>
      <c r="N754" s="97"/>
      <c r="O754" s="154"/>
      <c r="P754" s="97"/>
      <c r="Q754" s="97"/>
      <c r="R754" s="679">
        <f t="shared" ref="R754:BZ754" si="728">+R753+R741+R725</f>
        <v>0</v>
      </c>
      <c r="S754" s="679"/>
      <c r="T754" s="679"/>
      <c r="U754" s="679">
        <f t="shared" si="728"/>
        <v>0</v>
      </c>
      <c r="V754" s="679"/>
      <c r="W754" s="679"/>
      <c r="X754" s="724">
        <f t="shared" si="728"/>
        <v>1650000000</v>
      </c>
      <c r="Y754" s="679"/>
      <c r="Z754" s="679"/>
      <c r="AA754" s="679">
        <f t="shared" si="728"/>
        <v>0</v>
      </c>
      <c r="AB754" s="679"/>
      <c r="AC754" s="679"/>
      <c r="AD754" s="679">
        <f t="shared" si="728"/>
        <v>0</v>
      </c>
      <c r="AE754" s="679"/>
      <c r="AF754" s="679"/>
      <c r="AG754" s="679">
        <f t="shared" si="728"/>
        <v>0</v>
      </c>
      <c r="AH754" s="679"/>
      <c r="AI754" s="679"/>
      <c r="AJ754" s="679">
        <f t="shared" si="728"/>
        <v>0</v>
      </c>
      <c r="AK754" s="679"/>
      <c r="AL754" s="679"/>
      <c r="AM754" s="679">
        <f t="shared" si="728"/>
        <v>0</v>
      </c>
      <c r="AN754" s="679"/>
      <c r="AO754" s="679"/>
      <c r="AP754" s="679">
        <f t="shared" si="728"/>
        <v>0</v>
      </c>
      <c r="AQ754" s="679"/>
      <c r="AR754" s="679"/>
      <c r="AS754" s="679">
        <f t="shared" si="728"/>
        <v>0</v>
      </c>
      <c r="AT754" s="679"/>
      <c r="AU754" s="679"/>
      <c r="AV754" s="679">
        <f t="shared" si="728"/>
        <v>0</v>
      </c>
      <c r="AW754" s="679"/>
      <c r="AX754" s="679"/>
      <c r="AY754" s="679">
        <f t="shared" si="728"/>
        <v>0</v>
      </c>
      <c r="AZ754" s="679"/>
      <c r="BA754" s="679"/>
      <c r="BB754" s="679">
        <f t="shared" si="728"/>
        <v>0</v>
      </c>
      <c r="BC754" s="679"/>
      <c r="BD754" s="679"/>
      <c r="BE754" s="679">
        <f t="shared" si="728"/>
        <v>0</v>
      </c>
      <c r="BF754" s="679"/>
      <c r="BG754" s="679"/>
      <c r="BH754" s="679">
        <f t="shared" si="728"/>
        <v>0</v>
      </c>
      <c r="BI754" s="679"/>
      <c r="BJ754" s="679"/>
      <c r="BK754" s="679">
        <f t="shared" si="728"/>
        <v>839854602</v>
      </c>
      <c r="BL754" s="679"/>
      <c r="BM754" s="679"/>
      <c r="BN754" s="679">
        <f t="shared" si="728"/>
        <v>1734579742.49</v>
      </c>
      <c r="BO754" s="679"/>
      <c r="BP754" s="679"/>
      <c r="BQ754" s="679">
        <f t="shared" si="728"/>
        <v>1209370528</v>
      </c>
      <c r="BR754" s="679"/>
      <c r="BS754" s="679"/>
      <c r="BT754" s="679">
        <f t="shared" si="728"/>
        <v>0</v>
      </c>
      <c r="BU754" s="679"/>
      <c r="BV754" s="679"/>
      <c r="BW754" s="679">
        <f t="shared" si="728"/>
        <v>251747962</v>
      </c>
      <c r="BX754" s="679"/>
      <c r="BY754" s="679"/>
      <c r="BZ754" s="679">
        <f t="shared" si="728"/>
        <v>5685552834.4899998</v>
      </c>
      <c r="CA754" s="679">
        <f t="shared" ref="CA754:CB754" si="729">+CA753+CA741+CA725</f>
        <v>1532727665</v>
      </c>
      <c r="CB754" s="679">
        <f t="shared" si="729"/>
        <v>387486865</v>
      </c>
    </row>
    <row r="755" spans="1:92" s="479" customFormat="1" ht="36" customHeight="1" x14ac:dyDescent="0.25">
      <c r="A755" s="938" t="s">
        <v>872</v>
      </c>
      <c r="B755" s="938"/>
      <c r="C755" s="938"/>
      <c r="D755" s="938"/>
      <c r="E755" s="938"/>
      <c r="F755" s="938"/>
      <c r="G755" s="938"/>
      <c r="H755" s="938"/>
      <c r="I755" s="474"/>
      <c r="J755" s="475"/>
      <c r="K755" s="476"/>
      <c r="L755" s="476"/>
      <c r="M755" s="476"/>
      <c r="N755" s="475"/>
      <c r="O755" s="478"/>
      <c r="P755" s="477"/>
      <c r="Q755" s="478"/>
      <c r="R755" s="680">
        <f>+R682+R754</f>
        <v>2963763815</v>
      </c>
      <c r="S755" s="680">
        <f t="shared" ref="S755:T755" si="730">+S682+S754</f>
        <v>50700000</v>
      </c>
      <c r="T755" s="680">
        <f t="shared" si="730"/>
        <v>15420000</v>
      </c>
      <c r="U755" s="680">
        <f>+U682+U754</f>
        <v>3797529092</v>
      </c>
      <c r="V755" s="680">
        <f t="shared" ref="V755:W755" si="731">+V682+V754</f>
        <v>0</v>
      </c>
      <c r="W755" s="680">
        <f t="shared" si="731"/>
        <v>0</v>
      </c>
      <c r="X755" s="680">
        <f>+X682+X754</f>
        <v>12611840365</v>
      </c>
      <c r="Y755" s="680">
        <f t="shared" ref="Y755:Z755" si="732">+Y682+Y754</f>
        <v>2681346078.23</v>
      </c>
      <c r="Z755" s="680">
        <f t="shared" si="732"/>
        <v>245211321.78999999</v>
      </c>
      <c r="AA755" s="680">
        <f>+AA682+AA754</f>
        <v>6994835512.3800001</v>
      </c>
      <c r="AB755" s="680">
        <f t="shared" ref="AB755:AC755" si="733">+AB682+AB754</f>
        <v>850264060</v>
      </c>
      <c r="AC755" s="680">
        <f t="shared" si="733"/>
        <v>208100000</v>
      </c>
      <c r="AD755" s="680">
        <f>+AD682+AD754</f>
        <v>293558736</v>
      </c>
      <c r="AE755" s="680">
        <f t="shared" ref="AE755:AF755" si="734">+AE682+AE754</f>
        <v>119490000</v>
      </c>
      <c r="AF755" s="680">
        <f t="shared" si="734"/>
        <v>34140000</v>
      </c>
      <c r="AG755" s="680">
        <f>+AG682+AG754</f>
        <v>893940463</v>
      </c>
      <c r="AH755" s="680">
        <f t="shared" ref="AH755:AI755" si="735">+AH682+AH754</f>
        <v>548361612</v>
      </c>
      <c r="AI755" s="680">
        <f t="shared" si="735"/>
        <v>168756538</v>
      </c>
      <c r="AJ755" s="680">
        <f>+AJ682+AJ754</f>
        <v>3571563200</v>
      </c>
      <c r="AK755" s="680">
        <f t="shared" ref="AK755:AL755" si="736">+AK682+AK754</f>
        <v>1103369712</v>
      </c>
      <c r="AL755" s="680">
        <f t="shared" si="736"/>
        <v>227021662</v>
      </c>
      <c r="AM755" s="680">
        <f>+AM682+AM754</f>
        <v>4361170623</v>
      </c>
      <c r="AN755" s="680">
        <f t="shared" ref="AN755:AO755" si="737">+AN682+AN754</f>
        <v>2177556296</v>
      </c>
      <c r="AO755" s="680">
        <f t="shared" si="737"/>
        <v>511662000</v>
      </c>
      <c r="AP755" s="680">
        <f>+AP682+AP754</f>
        <v>8603059408</v>
      </c>
      <c r="AQ755" s="680">
        <f t="shared" ref="AQ755:AR755" si="738">+AQ682+AQ754</f>
        <v>4773326700</v>
      </c>
      <c r="AR755" s="680">
        <f t="shared" si="738"/>
        <v>0</v>
      </c>
      <c r="AS755" s="680">
        <f>+AS682+AS754</f>
        <v>17584174779</v>
      </c>
      <c r="AT755" s="680">
        <f t="shared" ref="AT755:AU755" si="739">+AT682+AT754</f>
        <v>8040525497</v>
      </c>
      <c r="AU755" s="680">
        <f t="shared" si="739"/>
        <v>51993368</v>
      </c>
      <c r="AV755" s="680">
        <f>+AV682+AV754</f>
        <v>9177647792</v>
      </c>
      <c r="AW755" s="680">
        <f t="shared" ref="AW755:AX755" si="740">+AW682+AW754</f>
        <v>8344840000</v>
      </c>
      <c r="AX755" s="680">
        <f t="shared" si="740"/>
        <v>1339170696</v>
      </c>
      <c r="AY755" s="680">
        <f>+AY682+AY754</f>
        <v>136503889505</v>
      </c>
      <c r="AZ755" s="680">
        <f t="shared" ref="AZ755:BA755" si="741">+AZ682+AZ754</f>
        <v>21107471740</v>
      </c>
      <c r="BA755" s="680">
        <f t="shared" si="741"/>
        <v>20400558152</v>
      </c>
      <c r="BB755" s="680">
        <f>+BB682+BB754</f>
        <v>26281000000</v>
      </c>
      <c r="BC755" s="680">
        <f t="shared" ref="BC755:BE755" si="742">+BC682+BC754</f>
        <v>4254155507</v>
      </c>
      <c r="BD755" s="680">
        <f t="shared" si="742"/>
        <v>3036703013</v>
      </c>
      <c r="BE755" s="680">
        <f t="shared" si="742"/>
        <v>9045839438</v>
      </c>
      <c r="BF755" s="680">
        <f t="shared" ref="BF755" si="743">+BF682+BF754</f>
        <v>0</v>
      </c>
      <c r="BG755" s="680">
        <f t="shared" ref="BG755" si="744">+BG682+BG754</f>
        <v>0</v>
      </c>
      <c r="BH755" s="680">
        <f>+BH682+BH754</f>
        <v>2398473229</v>
      </c>
      <c r="BI755" s="680">
        <f t="shared" ref="BI755:BJ755" si="745">+BI682+BI754</f>
        <v>0</v>
      </c>
      <c r="BJ755" s="680">
        <f t="shared" si="745"/>
        <v>0</v>
      </c>
      <c r="BK755" s="680">
        <f>+BK682+BK754</f>
        <v>25737915122</v>
      </c>
      <c r="BL755" s="680">
        <f t="shared" ref="BL755:BM755" si="746">+BL682+BL754</f>
        <v>8588224119</v>
      </c>
      <c r="BM755" s="680">
        <f t="shared" si="746"/>
        <v>2237038854</v>
      </c>
      <c r="BN755" s="680">
        <f>+BN682+BN754</f>
        <v>1734579742.49</v>
      </c>
      <c r="BO755" s="680">
        <f t="shared" ref="BO755:BP755" si="747">+BO682+BO754</f>
        <v>0</v>
      </c>
      <c r="BP755" s="680">
        <f t="shared" si="747"/>
        <v>0</v>
      </c>
      <c r="BQ755" s="680">
        <f>+BQ682+BQ754</f>
        <v>2155501758</v>
      </c>
      <c r="BR755" s="680">
        <f t="shared" ref="BR755:BS755" si="748">+BR682+BR754</f>
        <v>24150000</v>
      </c>
      <c r="BS755" s="680">
        <f t="shared" si="748"/>
        <v>0</v>
      </c>
      <c r="BT755" s="680">
        <f>+BT682+BT754</f>
        <v>25000000000</v>
      </c>
      <c r="BU755" s="680">
        <f t="shared" ref="BU755:BV755" si="749">+BU682+BU754</f>
        <v>0</v>
      </c>
      <c r="BV755" s="680">
        <f t="shared" si="749"/>
        <v>0</v>
      </c>
      <c r="BW755" s="680">
        <f>+BW682+BW754</f>
        <v>13652730164</v>
      </c>
      <c r="BX755" s="680">
        <f t="shared" ref="BX755:BY755" si="750">+BX682+BX754</f>
        <v>1062767580</v>
      </c>
      <c r="BY755" s="680">
        <f t="shared" si="750"/>
        <v>31473576</v>
      </c>
      <c r="BZ755" s="680">
        <f>+BZ682+BZ754</f>
        <v>313363012743.87</v>
      </c>
      <c r="CA755" s="680">
        <f>+CA682+CA754</f>
        <v>69256240084.230011</v>
      </c>
      <c r="CB755" s="680">
        <f>+CB682+CB754</f>
        <v>32024136383.790001</v>
      </c>
      <c r="CK755" s="480"/>
      <c r="CL755" s="480"/>
      <c r="CM755" s="480"/>
      <c r="CN755" s="480"/>
    </row>
    <row r="756" spans="1:92" s="15" customFormat="1" ht="26.25" customHeight="1" x14ac:dyDescent="0.2">
      <c r="C756" s="481"/>
      <c r="H756" s="481"/>
      <c r="K756" s="482"/>
      <c r="L756" s="482"/>
      <c r="M756" s="482"/>
      <c r="O756" s="506"/>
      <c r="Q756" s="481"/>
      <c r="BK756" s="16"/>
      <c r="BL756" s="16"/>
      <c r="BM756" s="16"/>
      <c r="BN756" s="17"/>
      <c r="BO756" s="17"/>
      <c r="BP756" s="17"/>
      <c r="BZ756" s="18"/>
      <c r="CA756" s="18"/>
      <c r="CB756" s="18"/>
      <c r="CC756" s="471"/>
      <c r="CD756" s="471"/>
      <c r="CE756" s="471"/>
      <c r="CF756" s="471"/>
      <c r="CG756" s="471"/>
      <c r="CH756" s="471"/>
      <c r="CI756" s="471"/>
      <c r="CJ756" s="471"/>
    </row>
    <row r="757" spans="1:92" s="15" customFormat="1" ht="22.5" customHeight="1" x14ac:dyDescent="0.2">
      <c r="C757" s="481"/>
      <c r="H757" s="481"/>
      <c r="K757" s="482"/>
      <c r="L757" s="482"/>
      <c r="M757" s="482"/>
      <c r="O757" s="506"/>
      <c r="Q757" s="481"/>
      <c r="AM757" s="849"/>
      <c r="AY757" s="849"/>
      <c r="BK757" s="16"/>
      <c r="BL757" s="16"/>
      <c r="BM757" s="16"/>
      <c r="BN757" s="17"/>
      <c r="BO757" s="17"/>
      <c r="BP757" s="17"/>
      <c r="CC757" s="471"/>
      <c r="CD757" s="471"/>
      <c r="CE757" s="471"/>
      <c r="CF757" s="471"/>
      <c r="CG757" s="471"/>
      <c r="CH757" s="471"/>
      <c r="CI757" s="471"/>
      <c r="CJ757" s="471"/>
    </row>
    <row r="758" spans="1:92" s="15" customFormat="1" x14ac:dyDescent="0.2">
      <c r="C758" s="481"/>
      <c r="H758" s="481"/>
      <c r="K758" s="482"/>
      <c r="L758" s="482"/>
      <c r="M758" s="482"/>
      <c r="O758" s="506"/>
      <c r="Q758" s="481"/>
      <c r="AY758" s="849"/>
      <c r="BK758" s="16"/>
      <c r="BL758" s="16"/>
      <c r="BM758" s="16"/>
      <c r="BN758" s="17"/>
      <c r="BO758" s="17"/>
      <c r="BP758" s="17"/>
      <c r="CC758" s="471"/>
      <c r="CD758" s="471"/>
      <c r="CE758" s="471"/>
      <c r="CF758" s="471"/>
      <c r="CG758" s="471"/>
      <c r="CH758" s="471"/>
      <c r="CI758" s="471"/>
      <c r="CJ758" s="471"/>
    </row>
    <row r="759" spans="1:92" s="15" customFormat="1" x14ac:dyDescent="0.2">
      <c r="C759" s="481"/>
      <c r="H759" s="481"/>
      <c r="K759" s="482"/>
      <c r="L759" s="482"/>
      <c r="M759" s="482"/>
      <c r="O759" s="506"/>
      <c r="Q759" s="481"/>
      <c r="BK759" s="16"/>
      <c r="BL759" s="16"/>
      <c r="BM759" s="16"/>
      <c r="BN759" s="17"/>
      <c r="BO759" s="17"/>
      <c r="BP759" s="17"/>
      <c r="BZ759" s="19" t="s">
        <v>62</v>
      </c>
      <c r="CA759" s="19"/>
      <c r="CB759" s="19"/>
      <c r="CC759" s="471"/>
      <c r="CD759" s="471"/>
      <c r="CE759" s="471"/>
      <c r="CF759" s="471"/>
      <c r="CG759" s="471"/>
      <c r="CH759" s="471"/>
      <c r="CI759" s="471"/>
      <c r="CJ759" s="471"/>
    </row>
    <row r="760" spans="1:92" s="15" customFormat="1" x14ac:dyDescent="0.2">
      <c r="C760" s="481"/>
      <c r="H760" s="481"/>
      <c r="K760" s="482"/>
      <c r="L760" s="482"/>
      <c r="M760" s="482"/>
      <c r="O760" s="506"/>
      <c r="Q760" s="481"/>
      <c r="AY760" s="849"/>
      <c r="BK760" s="16"/>
      <c r="BL760" s="16"/>
      <c r="BM760" s="16"/>
      <c r="BN760" s="17"/>
      <c r="BO760" s="17"/>
      <c r="BP760" s="17"/>
      <c r="CC760" s="471"/>
      <c r="CD760" s="471"/>
      <c r="CE760" s="471"/>
      <c r="CF760" s="471"/>
      <c r="CG760" s="471"/>
      <c r="CH760" s="471"/>
      <c r="CI760" s="471"/>
      <c r="CJ760" s="471"/>
    </row>
    <row r="761" spans="1:92" s="15" customFormat="1" x14ac:dyDescent="0.2">
      <c r="C761" s="481"/>
      <c r="H761" s="481"/>
      <c r="K761" s="482"/>
      <c r="L761" s="482"/>
      <c r="M761" s="482"/>
      <c r="O761" s="506"/>
      <c r="Q761" s="481"/>
      <c r="BK761" s="16"/>
      <c r="BL761" s="16"/>
      <c r="BM761" s="16"/>
      <c r="BN761" s="17"/>
      <c r="BO761" s="17"/>
      <c r="BP761" s="17"/>
      <c r="CC761" s="471"/>
      <c r="CD761" s="471"/>
      <c r="CE761" s="471"/>
      <c r="CF761" s="471"/>
      <c r="CG761" s="471"/>
      <c r="CH761" s="471"/>
      <c r="CI761" s="471"/>
      <c r="CJ761" s="471"/>
    </row>
    <row r="762" spans="1:92" s="15" customFormat="1" x14ac:dyDescent="0.2">
      <c r="C762" s="481"/>
      <c r="H762" s="481"/>
      <c r="K762" s="482"/>
      <c r="L762" s="482"/>
      <c r="M762" s="482"/>
      <c r="O762" s="506"/>
      <c r="Q762" s="481"/>
      <c r="BK762" s="16"/>
      <c r="BL762" s="16"/>
      <c r="BM762" s="16"/>
      <c r="BN762" s="17"/>
      <c r="BO762" s="17"/>
      <c r="BP762" s="17"/>
      <c r="CC762" s="471"/>
      <c r="CD762" s="471"/>
      <c r="CE762" s="471"/>
      <c r="CF762" s="471"/>
      <c r="CG762" s="471"/>
      <c r="CH762" s="471"/>
      <c r="CI762" s="471"/>
      <c r="CJ762" s="471"/>
    </row>
    <row r="763" spans="1:92" s="15" customFormat="1" x14ac:dyDescent="0.2">
      <c r="C763" s="481"/>
      <c r="H763" s="481"/>
      <c r="K763" s="482"/>
      <c r="L763" s="482"/>
      <c r="M763" s="482"/>
      <c r="O763" s="506"/>
      <c r="Q763" s="481"/>
      <c r="BK763" s="16"/>
      <c r="BL763" s="16"/>
      <c r="BM763" s="16"/>
      <c r="BN763" s="17"/>
      <c r="BO763" s="17"/>
      <c r="BP763" s="17"/>
      <c r="CC763" s="471"/>
      <c r="CD763" s="471"/>
      <c r="CE763" s="471"/>
      <c r="CF763" s="471"/>
      <c r="CG763" s="471"/>
      <c r="CH763" s="471"/>
      <c r="CI763" s="471"/>
      <c r="CJ763" s="471"/>
    </row>
    <row r="764" spans="1:92" s="15" customFormat="1" x14ac:dyDescent="0.2">
      <c r="C764" s="481"/>
      <c r="H764" s="481"/>
      <c r="K764" s="482"/>
      <c r="L764" s="482"/>
      <c r="M764" s="482"/>
      <c r="O764" s="506"/>
      <c r="Q764" s="481"/>
      <c r="BK764" s="16"/>
      <c r="BL764" s="16"/>
      <c r="BM764" s="16"/>
      <c r="BN764" s="17"/>
      <c r="BO764" s="17"/>
      <c r="BP764" s="17"/>
      <c r="CC764" s="471"/>
      <c r="CD764" s="471"/>
      <c r="CE764" s="471"/>
      <c r="CF764" s="471"/>
      <c r="CG764" s="471"/>
      <c r="CH764" s="471"/>
      <c r="CI764" s="471"/>
      <c r="CJ764" s="471"/>
    </row>
    <row r="765" spans="1:92" s="15" customFormat="1" x14ac:dyDescent="0.2">
      <c r="C765" s="481"/>
      <c r="H765" s="481"/>
      <c r="K765" s="482"/>
      <c r="L765" s="482"/>
      <c r="M765" s="482"/>
      <c r="O765" s="506"/>
      <c r="Q765" s="481"/>
      <c r="BK765" s="16"/>
      <c r="BL765" s="16"/>
      <c r="BM765" s="16"/>
      <c r="BN765" s="17"/>
      <c r="BO765" s="17"/>
      <c r="BP765" s="17"/>
      <c r="CC765" s="471"/>
      <c r="CD765" s="471"/>
      <c r="CE765" s="471"/>
      <c r="CF765" s="471"/>
      <c r="CG765" s="471"/>
      <c r="CH765" s="471"/>
      <c r="CI765" s="471"/>
      <c r="CJ765" s="471"/>
    </row>
    <row r="766" spans="1:92" s="15" customFormat="1" x14ac:dyDescent="0.2">
      <c r="C766" s="481"/>
      <c r="H766" s="481"/>
      <c r="K766" s="482"/>
      <c r="L766" s="482"/>
      <c r="M766" s="482"/>
      <c r="O766" s="506"/>
      <c r="Q766" s="481"/>
      <c r="BK766" s="16"/>
      <c r="BL766" s="16"/>
      <c r="BM766" s="16"/>
      <c r="BN766" s="17"/>
      <c r="BO766" s="17"/>
      <c r="BP766" s="17"/>
      <c r="CC766" s="471"/>
      <c r="CD766" s="471"/>
      <c r="CE766" s="471"/>
      <c r="CF766" s="471"/>
      <c r="CG766" s="471"/>
      <c r="CH766" s="471"/>
      <c r="CI766" s="471"/>
      <c r="CJ766" s="471"/>
    </row>
    <row r="767" spans="1:92" s="15" customFormat="1" x14ac:dyDescent="0.2">
      <c r="C767" s="481"/>
      <c r="H767" s="481"/>
      <c r="K767" s="482"/>
      <c r="L767" s="482"/>
      <c r="M767" s="482"/>
      <c r="O767" s="506"/>
      <c r="Q767" s="481"/>
      <c r="BK767" s="16"/>
      <c r="BL767" s="16"/>
      <c r="BM767" s="16"/>
      <c r="BN767" s="17"/>
      <c r="BO767" s="17"/>
      <c r="BP767" s="17"/>
      <c r="CC767" s="471"/>
      <c r="CD767" s="471"/>
      <c r="CE767" s="471"/>
      <c r="CF767" s="471"/>
      <c r="CG767" s="471"/>
      <c r="CH767" s="471"/>
      <c r="CI767" s="471"/>
      <c r="CJ767" s="471"/>
    </row>
    <row r="768" spans="1:92" s="15" customFormat="1" x14ac:dyDescent="0.2">
      <c r="C768" s="481"/>
      <c r="H768" s="481"/>
      <c r="K768" s="482"/>
      <c r="L768" s="482"/>
      <c r="M768" s="482"/>
      <c r="O768" s="506"/>
      <c r="Q768" s="481"/>
      <c r="BK768" s="16"/>
      <c r="BL768" s="16"/>
      <c r="BM768" s="16"/>
      <c r="BN768" s="17"/>
      <c r="BO768" s="17"/>
      <c r="BP768" s="17"/>
      <c r="CC768" s="471"/>
      <c r="CD768" s="471"/>
      <c r="CE768" s="471"/>
      <c r="CF768" s="471"/>
      <c r="CG768" s="471"/>
      <c r="CH768" s="471"/>
      <c r="CI768" s="471"/>
      <c r="CJ768" s="471"/>
    </row>
    <row r="769" spans="3:88" s="15" customFormat="1" x14ac:dyDescent="0.2">
      <c r="C769" s="481"/>
      <c r="H769" s="481"/>
      <c r="K769" s="482"/>
      <c r="L769" s="482"/>
      <c r="M769" s="482"/>
      <c r="O769" s="506"/>
      <c r="Q769" s="481"/>
      <c r="BK769" s="16"/>
      <c r="BL769" s="16"/>
      <c r="BM769" s="16"/>
      <c r="BN769" s="17"/>
      <c r="BO769" s="17"/>
      <c r="BP769" s="17"/>
      <c r="CC769" s="471"/>
      <c r="CD769" s="471"/>
      <c r="CE769" s="471"/>
      <c r="CF769" s="471"/>
      <c r="CG769" s="471"/>
      <c r="CH769" s="471"/>
      <c r="CI769" s="471"/>
      <c r="CJ769" s="471"/>
    </row>
    <row r="770" spans="3:88" s="15" customFormat="1" x14ac:dyDescent="0.2">
      <c r="C770" s="481"/>
      <c r="H770" s="481"/>
      <c r="K770" s="482"/>
      <c r="L770" s="482"/>
      <c r="M770" s="482"/>
      <c r="O770" s="506"/>
      <c r="Q770" s="481"/>
      <c r="BK770" s="16"/>
      <c r="BL770" s="16"/>
      <c r="BM770" s="16"/>
      <c r="BN770" s="17"/>
      <c r="BO770" s="17"/>
      <c r="BP770" s="17"/>
      <c r="CC770" s="471"/>
      <c r="CD770" s="471"/>
      <c r="CE770" s="471"/>
      <c r="CF770" s="471"/>
      <c r="CG770" s="471"/>
      <c r="CH770" s="471"/>
      <c r="CI770" s="471"/>
      <c r="CJ770" s="471"/>
    </row>
    <row r="771" spans="3:88" s="15" customFormat="1" x14ac:dyDescent="0.2">
      <c r="C771" s="481"/>
      <c r="H771" s="481"/>
      <c r="K771" s="482"/>
      <c r="L771" s="482"/>
      <c r="M771" s="482"/>
      <c r="O771" s="506"/>
      <c r="Q771" s="481"/>
      <c r="BK771" s="16"/>
      <c r="BL771" s="16"/>
      <c r="BM771" s="16"/>
      <c r="BN771" s="17"/>
      <c r="BO771" s="17"/>
      <c r="BP771" s="17"/>
      <c r="CC771" s="471"/>
      <c r="CD771" s="471"/>
      <c r="CE771" s="471"/>
      <c r="CF771" s="471"/>
      <c r="CG771" s="471"/>
      <c r="CH771" s="471"/>
      <c r="CI771" s="471"/>
      <c r="CJ771" s="471"/>
    </row>
    <row r="772" spans="3:88" s="15" customFormat="1" x14ac:dyDescent="0.2">
      <c r="C772" s="481"/>
      <c r="H772" s="481"/>
      <c r="K772" s="482"/>
      <c r="L772" s="482"/>
      <c r="M772" s="482"/>
      <c r="O772" s="506"/>
      <c r="Q772" s="481"/>
      <c r="BK772" s="16"/>
      <c r="BL772" s="16"/>
      <c r="BM772" s="16"/>
      <c r="BN772" s="17"/>
      <c r="BO772" s="17"/>
      <c r="BP772" s="17"/>
      <c r="CC772" s="471"/>
      <c r="CD772" s="471"/>
      <c r="CE772" s="471"/>
      <c r="CF772" s="471"/>
      <c r="CG772" s="471"/>
      <c r="CH772" s="471"/>
      <c r="CI772" s="471"/>
      <c r="CJ772" s="471"/>
    </row>
    <row r="773" spans="3:88" s="15" customFormat="1" x14ac:dyDescent="0.2">
      <c r="C773" s="481"/>
      <c r="H773" s="481"/>
      <c r="K773" s="482"/>
      <c r="L773" s="482"/>
      <c r="M773" s="482"/>
      <c r="O773" s="506"/>
      <c r="Q773" s="481"/>
      <c r="BK773" s="16"/>
      <c r="BL773" s="16"/>
      <c r="BM773" s="16"/>
      <c r="BN773" s="17"/>
      <c r="BO773" s="17"/>
      <c r="BP773" s="17"/>
      <c r="CC773" s="471"/>
      <c r="CD773" s="471"/>
      <c r="CE773" s="471"/>
      <c r="CF773" s="471"/>
      <c r="CG773" s="471"/>
      <c r="CH773" s="471"/>
      <c r="CI773" s="471"/>
      <c r="CJ773" s="471"/>
    </row>
    <row r="774" spans="3:88" s="15" customFormat="1" x14ac:dyDescent="0.2">
      <c r="C774" s="481"/>
      <c r="H774" s="481"/>
      <c r="K774" s="482"/>
      <c r="L774" s="482"/>
      <c r="M774" s="482"/>
      <c r="O774" s="506"/>
      <c r="Q774" s="481"/>
      <c r="BK774" s="16"/>
      <c r="BL774" s="16"/>
      <c r="BM774" s="16"/>
      <c r="BN774" s="17"/>
      <c r="BO774" s="17"/>
      <c r="BP774" s="17"/>
      <c r="CC774" s="471"/>
      <c r="CD774" s="471"/>
      <c r="CE774" s="471"/>
      <c r="CF774" s="471"/>
      <c r="CG774" s="471"/>
      <c r="CH774" s="471"/>
      <c r="CI774" s="471"/>
      <c r="CJ774" s="471"/>
    </row>
    <row r="775" spans="3:88" s="15" customFormat="1" x14ac:dyDescent="0.2">
      <c r="C775" s="481"/>
      <c r="H775" s="481"/>
      <c r="K775" s="482"/>
      <c r="L775" s="482"/>
      <c r="M775" s="482"/>
      <c r="O775" s="506"/>
      <c r="Q775" s="481"/>
      <c r="BK775" s="16"/>
      <c r="BL775" s="16"/>
      <c r="BM775" s="16"/>
      <c r="BN775" s="17"/>
      <c r="BO775" s="17"/>
      <c r="BP775" s="17"/>
      <c r="CC775" s="471"/>
      <c r="CD775" s="471"/>
      <c r="CE775" s="471"/>
      <c r="CF775" s="471"/>
      <c r="CG775" s="471"/>
      <c r="CH775" s="471"/>
      <c r="CI775" s="471"/>
      <c r="CJ775" s="471"/>
    </row>
    <row r="776" spans="3:88" s="15" customFormat="1" x14ac:dyDescent="0.2">
      <c r="C776" s="481"/>
      <c r="H776" s="481"/>
      <c r="K776" s="482"/>
      <c r="L776" s="482"/>
      <c r="M776" s="482"/>
      <c r="O776" s="506"/>
      <c r="Q776" s="481"/>
      <c r="BK776" s="16"/>
      <c r="BL776" s="16"/>
      <c r="BM776" s="16"/>
      <c r="BN776" s="17"/>
      <c r="BO776" s="17"/>
      <c r="BP776" s="17"/>
      <c r="CC776" s="471"/>
      <c r="CD776" s="471"/>
      <c r="CE776" s="471"/>
      <c r="CF776" s="471"/>
      <c r="CG776" s="471"/>
      <c r="CH776" s="471"/>
      <c r="CI776" s="471"/>
      <c r="CJ776" s="471"/>
    </row>
    <row r="777" spans="3:88" s="15" customFormat="1" x14ac:dyDescent="0.2">
      <c r="C777" s="481"/>
      <c r="H777" s="481"/>
      <c r="K777" s="482"/>
      <c r="L777" s="482"/>
      <c r="M777" s="482"/>
      <c r="O777" s="506"/>
      <c r="Q777" s="481"/>
      <c r="BK777" s="16"/>
      <c r="BL777" s="16"/>
      <c r="BM777" s="16"/>
      <c r="BN777" s="17"/>
      <c r="BO777" s="17"/>
      <c r="BP777" s="17"/>
      <c r="CC777" s="471"/>
      <c r="CD777" s="471"/>
      <c r="CE777" s="471"/>
      <c r="CF777" s="471"/>
      <c r="CG777" s="471"/>
      <c r="CH777" s="471"/>
      <c r="CI777" s="471"/>
      <c r="CJ777" s="471"/>
    </row>
    <row r="778" spans="3:88" s="15" customFormat="1" x14ac:dyDescent="0.2">
      <c r="C778" s="481"/>
      <c r="H778" s="481"/>
      <c r="K778" s="482"/>
      <c r="L778" s="482"/>
      <c r="M778" s="482"/>
      <c r="O778" s="506"/>
      <c r="Q778" s="481"/>
      <c r="BK778" s="16"/>
      <c r="BL778" s="16"/>
      <c r="BM778" s="16"/>
      <c r="BN778" s="17"/>
      <c r="BO778" s="17"/>
      <c r="BP778" s="17"/>
      <c r="CC778" s="471"/>
      <c r="CD778" s="471"/>
      <c r="CE778" s="471"/>
      <c r="CF778" s="471"/>
      <c r="CG778" s="471"/>
      <c r="CH778" s="471"/>
      <c r="CI778" s="471"/>
      <c r="CJ778" s="471"/>
    </row>
    <row r="779" spans="3:88" s="15" customFormat="1" x14ac:dyDescent="0.2">
      <c r="C779" s="481"/>
      <c r="H779" s="481"/>
      <c r="K779" s="482"/>
      <c r="L779" s="482"/>
      <c r="M779" s="482"/>
      <c r="O779" s="506"/>
      <c r="Q779" s="481"/>
      <c r="BK779" s="16"/>
      <c r="BL779" s="16"/>
      <c r="BM779" s="16"/>
      <c r="BN779" s="17"/>
      <c r="BO779" s="17"/>
      <c r="BP779" s="17"/>
      <c r="CC779" s="471"/>
      <c r="CD779" s="471"/>
      <c r="CE779" s="471"/>
      <c r="CF779" s="471"/>
      <c r="CG779" s="471"/>
      <c r="CH779" s="471"/>
      <c r="CI779" s="471"/>
      <c r="CJ779" s="471"/>
    </row>
    <row r="780" spans="3:88" s="15" customFormat="1" x14ac:dyDescent="0.2">
      <c r="C780" s="481"/>
      <c r="H780" s="481"/>
      <c r="K780" s="482"/>
      <c r="L780" s="482"/>
      <c r="M780" s="482"/>
      <c r="O780" s="506"/>
      <c r="Q780" s="481"/>
      <c r="BK780" s="16"/>
      <c r="BL780" s="16"/>
      <c r="BM780" s="16"/>
      <c r="BN780" s="17"/>
      <c r="BO780" s="17"/>
      <c r="BP780" s="17"/>
      <c r="CC780" s="471"/>
      <c r="CD780" s="471"/>
      <c r="CE780" s="471"/>
      <c r="CF780" s="471"/>
      <c r="CG780" s="471"/>
      <c r="CH780" s="471"/>
      <c r="CI780" s="471"/>
      <c r="CJ780" s="471"/>
    </row>
    <row r="781" spans="3:88" s="15" customFormat="1" x14ac:dyDescent="0.2">
      <c r="C781" s="481"/>
      <c r="H781" s="481"/>
      <c r="K781" s="482"/>
      <c r="L781" s="482"/>
      <c r="M781" s="482"/>
      <c r="O781" s="506"/>
      <c r="Q781" s="481"/>
      <c r="BK781" s="16"/>
      <c r="BL781" s="16"/>
      <c r="BM781" s="16"/>
      <c r="BN781" s="17"/>
      <c r="BO781" s="17"/>
      <c r="BP781" s="17"/>
      <c r="CC781" s="471"/>
      <c r="CD781" s="471"/>
      <c r="CE781" s="471"/>
      <c r="CF781" s="471"/>
      <c r="CG781" s="471"/>
      <c r="CH781" s="471"/>
      <c r="CI781" s="471"/>
      <c r="CJ781" s="471"/>
    </row>
    <row r="782" spans="3:88" s="15" customFormat="1" x14ac:dyDescent="0.2">
      <c r="C782" s="481"/>
      <c r="H782" s="481"/>
      <c r="K782" s="482"/>
      <c r="L782" s="482"/>
      <c r="M782" s="482"/>
      <c r="O782" s="506"/>
      <c r="Q782" s="481"/>
      <c r="BK782" s="16"/>
      <c r="BL782" s="16"/>
      <c r="BM782" s="16"/>
      <c r="BN782" s="17"/>
      <c r="BO782" s="17"/>
      <c r="BP782" s="17"/>
      <c r="CC782" s="471"/>
      <c r="CD782" s="471"/>
      <c r="CE782" s="471"/>
      <c r="CF782" s="471"/>
      <c r="CG782" s="471"/>
      <c r="CH782" s="471"/>
      <c r="CI782" s="471"/>
      <c r="CJ782" s="471"/>
    </row>
    <row r="783" spans="3:88" s="15" customFormat="1" x14ac:dyDescent="0.2">
      <c r="C783" s="481"/>
      <c r="H783" s="481"/>
      <c r="K783" s="482"/>
      <c r="L783" s="482"/>
      <c r="M783" s="482"/>
      <c r="O783" s="506"/>
      <c r="Q783" s="481"/>
      <c r="BK783" s="16"/>
      <c r="BL783" s="16"/>
      <c r="BM783" s="16"/>
      <c r="BN783" s="17"/>
      <c r="BO783" s="17"/>
      <c r="BP783" s="17"/>
      <c r="CC783" s="471"/>
      <c r="CD783" s="471"/>
      <c r="CE783" s="471"/>
      <c r="CF783" s="471"/>
      <c r="CG783" s="471"/>
      <c r="CH783" s="471"/>
      <c r="CI783" s="471"/>
      <c r="CJ783" s="471"/>
    </row>
    <row r="784" spans="3:88" s="15" customFormat="1" x14ac:dyDescent="0.2">
      <c r="C784" s="481"/>
      <c r="H784" s="481"/>
      <c r="K784" s="482"/>
      <c r="L784" s="482"/>
      <c r="M784" s="482"/>
      <c r="O784" s="506"/>
      <c r="Q784" s="481"/>
      <c r="BK784" s="16"/>
      <c r="BL784" s="16"/>
      <c r="BM784" s="16"/>
      <c r="BN784" s="17"/>
      <c r="BO784" s="17"/>
      <c r="BP784" s="17"/>
      <c r="CC784" s="471"/>
      <c r="CD784" s="471"/>
      <c r="CE784" s="471"/>
      <c r="CF784" s="471"/>
      <c r="CG784" s="471"/>
      <c r="CH784" s="471"/>
      <c r="CI784" s="471"/>
      <c r="CJ784" s="471"/>
    </row>
    <row r="785" spans="3:88" s="15" customFormat="1" x14ac:dyDescent="0.2">
      <c r="C785" s="481"/>
      <c r="H785" s="481"/>
      <c r="K785" s="482"/>
      <c r="L785" s="482"/>
      <c r="M785" s="482"/>
      <c r="O785" s="506"/>
      <c r="Q785" s="481"/>
      <c r="BK785" s="16"/>
      <c r="BL785" s="16"/>
      <c r="BM785" s="16"/>
      <c r="BN785" s="17"/>
      <c r="BO785" s="17"/>
      <c r="BP785" s="17"/>
      <c r="CC785" s="471"/>
      <c r="CD785" s="471"/>
      <c r="CE785" s="471"/>
      <c r="CF785" s="471"/>
      <c r="CG785" s="471"/>
      <c r="CH785" s="471"/>
      <c r="CI785" s="471"/>
      <c r="CJ785" s="471"/>
    </row>
    <row r="786" spans="3:88" s="15" customFormat="1" x14ac:dyDescent="0.2">
      <c r="C786" s="481"/>
      <c r="H786" s="481"/>
      <c r="K786" s="482"/>
      <c r="L786" s="482"/>
      <c r="M786" s="482"/>
      <c r="O786" s="506"/>
      <c r="Q786" s="481"/>
      <c r="BK786" s="16"/>
      <c r="BL786" s="16"/>
      <c r="BM786" s="16"/>
      <c r="BN786" s="17"/>
      <c r="BO786" s="17"/>
      <c r="BP786" s="17"/>
      <c r="CC786" s="471"/>
      <c r="CD786" s="471"/>
      <c r="CE786" s="471"/>
      <c r="CF786" s="471"/>
      <c r="CG786" s="471"/>
      <c r="CH786" s="471"/>
      <c r="CI786" s="471"/>
      <c r="CJ786" s="471"/>
    </row>
    <row r="787" spans="3:88" s="15" customFormat="1" x14ac:dyDescent="0.2">
      <c r="C787" s="481"/>
      <c r="H787" s="481"/>
      <c r="K787" s="482"/>
      <c r="L787" s="482"/>
      <c r="M787" s="482"/>
      <c r="O787" s="506"/>
      <c r="Q787" s="481"/>
      <c r="BK787" s="16"/>
      <c r="BL787" s="16"/>
      <c r="BM787" s="16"/>
      <c r="BN787" s="17"/>
      <c r="BO787" s="17"/>
      <c r="BP787" s="17"/>
      <c r="CC787" s="471"/>
      <c r="CD787" s="471"/>
      <c r="CE787" s="471"/>
      <c r="CF787" s="471"/>
      <c r="CG787" s="471"/>
      <c r="CH787" s="471"/>
      <c r="CI787" s="471"/>
      <c r="CJ787" s="471"/>
    </row>
    <row r="788" spans="3:88" s="15" customFormat="1" x14ac:dyDescent="0.2">
      <c r="C788" s="481"/>
      <c r="H788" s="481"/>
      <c r="K788" s="482"/>
      <c r="L788" s="482"/>
      <c r="M788" s="482"/>
      <c r="O788" s="506"/>
      <c r="Q788" s="481"/>
      <c r="BK788" s="16"/>
      <c r="BL788" s="16"/>
      <c r="BM788" s="16"/>
      <c r="BN788" s="17"/>
      <c r="BO788" s="17"/>
      <c r="BP788" s="17"/>
      <c r="CC788" s="471"/>
      <c r="CD788" s="471"/>
      <c r="CE788" s="471"/>
      <c r="CF788" s="471"/>
      <c r="CG788" s="471"/>
      <c r="CH788" s="471"/>
      <c r="CI788" s="471"/>
      <c r="CJ788" s="471"/>
    </row>
    <row r="789" spans="3:88" s="15" customFormat="1" x14ac:dyDescent="0.2">
      <c r="C789" s="481"/>
      <c r="H789" s="481"/>
      <c r="K789" s="482"/>
      <c r="L789" s="482"/>
      <c r="M789" s="482"/>
      <c r="O789" s="506"/>
      <c r="Q789" s="481"/>
      <c r="BK789" s="16"/>
      <c r="BL789" s="16"/>
      <c r="BM789" s="16"/>
      <c r="BN789" s="17"/>
      <c r="BO789" s="17"/>
      <c r="BP789" s="17"/>
      <c r="CC789" s="471"/>
      <c r="CD789" s="471"/>
      <c r="CE789" s="471"/>
      <c r="CF789" s="471"/>
      <c r="CG789" s="471"/>
      <c r="CH789" s="471"/>
      <c r="CI789" s="471"/>
      <c r="CJ789" s="471"/>
    </row>
    <row r="790" spans="3:88" s="15" customFormat="1" x14ac:dyDescent="0.2">
      <c r="C790" s="481"/>
      <c r="H790" s="481"/>
      <c r="K790" s="482"/>
      <c r="L790" s="482"/>
      <c r="M790" s="482"/>
      <c r="O790" s="506"/>
      <c r="Q790" s="481"/>
      <c r="BK790" s="16"/>
      <c r="BL790" s="16"/>
      <c r="BM790" s="16"/>
      <c r="BN790" s="17"/>
      <c r="BO790" s="17"/>
      <c r="BP790" s="17"/>
      <c r="CC790" s="471"/>
      <c r="CD790" s="471"/>
      <c r="CE790" s="471"/>
      <c r="CF790" s="471"/>
      <c r="CG790" s="471"/>
      <c r="CH790" s="471"/>
      <c r="CI790" s="471"/>
      <c r="CJ790" s="471"/>
    </row>
    <row r="791" spans="3:88" s="15" customFormat="1" x14ac:dyDescent="0.2">
      <c r="C791" s="481"/>
      <c r="H791" s="481"/>
      <c r="K791" s="482"/>
      <c r="L791" s="482"/>
      <c r="M791" s="482"/>
      <c r="O791" s="506"/>
      <c r="Q791" s="481"/>
      <c r="BK791" s="16"/>
      <c r="BL791" s="16"/>
      <c r="BM791" s="16"/>
      <c r="BN791" s="17"/>
      <c r="BO791" s="17"/>
      <c r="BP791" s="17"/>
      <c r="CC791" s="471"/>
      <c r="CD791" s="471"/>
      <c r="CE791" s="471"/>
      <c r="CF791" s="471"/>
      <c r="CG791" s="471"/>
      <c r="CH791" s="471"/>
      <c r="CI791" s="471"/>
      <c r="CJ791" s="471"/>
    </row>
    <row r="792" spans="3:88" s="15" customFormat="1" x14ac:dyDescent="0.2">
      <c r="C792" s="481"/>
      <c r="H792" s="481"/>
      <c r="K792" s="482"/>
      <c r="L792" s="482"/>
      <c r="M792" s="482"/>
      <c r="O792" s="506"/>
      <c r="Q792" s="481"/>
      <c r="BK792" s="16"/>
      <c r="BL792" s="16"/>
      <c r="BM792" s="16"/>
      <c r="BN792" s="17"/>
      <c r="BO792" s="17"/>
      <c r="BP792" s="17"/>
      <c r="CC792" s="471"/>
      <c r="CD792" s="471"/>
      <c r="CE792" s="471"/>
      <c r="CF792" s="471"/>
      <c r="CG792" s="471"/>
      <c r="CH792" s="471"/>
      <c r="CI792" s="471"/>
      <c r="CJ792" s="471"/>
    </row>
    <row r="793" spans="3:88" s="15" customFormat="1" x14ac:dyDescent="0.2">
      <c r="C793" s="481"/>
      <c r="H793" s="481"/>
      <c r="K793" s="482"/>
      <c r="L793" s="482"/>
      <c r="M793" s="482"/>
      <c r="O793" s="506"/>
      <c r="Q793" s="481"/>
      <c r="BK793" s="16"/>
      <c r="BL793" s="16"/>
      <c r="BM793" s="16"/>
      <c r="BN793" s="17"/>
      <c r="BO793" s="17"/>
      <c r="BP793" s="17"/>
      <c r="CC793" s="471"/>
      <c r="CD793" s="471"/>
      <c r="CE793" s="471"/>
      <c r="CF793" s="471"/>
      <c r="CG793" s="471"/>
      <c r="CH793" s="471"/>
      <c r="CI793" s="471"/>
      <c r="CJ793" s="471"/>
    </row>
    <row r="794" spans="3:88" s="15" customFormat="1" x14ac:dyDescent="0.2">
      <c r="C794" s="481"/>
      <c r="H794" s="481"/>
      <c r="K794" s="482"/>
      <c r="L794" s="482"/>
      <c r="M794" s="482"/>
      <c r="O794" s="506"/>
      <c r="Q794" s="481"/>
      <c r="BK794" s="16"/>
      <c r="BL794" s="16"/>
      <c r="BM794" s="16"/>
      <c r="BN794" s="17"/>
      <c r="BO794" s="17"/>
      <c r="BP794" s="17"/>
      <c r="CC794" s="471"/>
      <c r="CD794" s="471"/>
      <c r="CE794" s="471"/>
      <c r="CF794" s="471"/>
      <c r="CG794" s="471"/>
      <c r="CH794" s="471"/>
      <c r="CI794" s="471"/>
      <c r="CJ794" s="471"/>
    </row>
    <row r="795" spans="3:88" s="15" customFormat="1" x14ac:dyDescent="0.2">
      <c r="C795" s="481"/>
      <c r="H795" s="481"/>
      <c r="K795" s="482"/>
      <c r="L795" s="482"/>
      <c r="M795" s="482"/>
      <c r="O795" s="506"/>
      <c r="Q795" s="481"/>
      <c r="BK795" s="16"/>
      <c r="BL795" s="16"/>
      <c r="BM795" s="16"/>
      <c r="BN795" s="17"/>
      <c r="BO795" s="17"/>
      <c r="BP795" s="17"/>
      <c r="CC795" s="471"/>
      <c r="CD795" s="471"/>
      <c r="CE795" s="471"/>
      <c r="CF795" s="471"/>
      <c r="CG795" s="471"/>
      <c r="CH795" s="471"/>
      <c r="CI795" s="471"/>
      <c r="CJ795" s="471"/>
    </row>
    <row r="796" spans="3:88" s="15" customFormat="1" x14ac:dyDescent="0.2">
      <c r="C796" s="481"/>
      <c r="H796" s="481"/>
      <c r="K796" s="482"/>
      <c r="L796" s="482"/>
      <c r="M796" s="482"/>
      <c r="O796" s="506"/>
      <c r="Q796" s="481"/>
      <c r="BK796" s="16"/>
      <c r="BL796" s="16"/>
      <c r="BM796" s="16"/>
      <c r="BN796" s="17"/>
      <c r="BO796" s="17"/>
      <c r="BP796" s="17"/>
      <c r="CC796" s="471"/>
      <c r="CD796" s="471"/>
      <c r="CE796" s="471"/>
      <c r="CF796" s="471"/>
      <c r="CG796" s="471"/>
      <c r="CH796" s="471"/>
      <c r="CI796" s="471"/>
      <c r="CJ796" s="471"/>
    </row>
    <row r="797" spans="3:88" s="15" customFormat="1" x14ac:dyDescent="0.2">
      <c r="C797" s="481"/>
      <c r="H797" s="481"/>
      <c r="K797" s="482"/>
      <c r="L797" s="482"/>
      <c r="M797" s="482"/>
      <c r="O797" s="506"/>
      <c r="Q797" s="481"/>
      <c r="BK797" s="16"/>
      <c r="BL797" s="16"/>
      <c r="BM797" s="16"/>
      <c r="BN797" s="17"/>
      <c r="BO797" s="17"/>
      <c r="BP797" s="17"/>
      <c r="CC797" s="471"/>
      <c r="CD797" s="471"/>
      <c r="CE797" s="471"/>
      <c r="CF797" s="471"/>
      <c r="CG797" s="471"/>
      <c r="CH797" s="471"/>
      <c r="CI797" s="471"/>
      <c r="CJ797" s="471"/>
    </row>
    <row r="798" spans="3:88" s="15" customFormat="1" x14ac:dyDescent="0.2">
      <c r="C798" s="481"/>
      <c r="H798" s="481"/>
      <c r="K798" s="482"/>
      <c r="L798" s="482"/>
      <c r="M798" s="482"/>
      <c r="O798" s="506"/>
      <c r="Q798" s="481"/>
      <c r="BK798" s="16"/>
      <c r="BL798" s="16"/>
      <c r="BM798" s="16"/>
      <c r="BN798" s="17"/>
      <c r="BO798" s="17"/>
      <c r="BP798" s="17"/>
      <c r="CC798" s="471"/>
      <c r="CD798" s="471"/>
      <c r="CE798" s="471"/>
      <c r="CF798" s="471"/>
      <c r="CG798" s="471"/>
      <c r="CH798" s="471"/>
      <c r="CI798" s="471"/>
      <c r="CJ798" s="471"/>
    </row>
    <row r="799" spans="3:88" s="15" customFormat="1" x14ac:dyDescent="0.2">
      <c r="C799" s="481"/>
      <c r="H799" s="481"/>
      <c r="K799" s="482"/>
      <c r="L799" s="482"/>
      <c r="M799" s="482"/>
      <c r="O799" s="506"/>
      <c r="Q799" s="481"/>
      <c r="BK799" s="16"/>
      <c r="BL799" s="16"/>
      <c r="BM799" s="16"/>
      <c r="BN799" s="17"/>
      <c r="BO799" s="17"/>
      <c r="BP799" s="17"/>
      <c r="CC799" s="471"/>
      <c r="CD799" s="471"/>
      <c r="CE799" s="471"/>
      <c r="CF799" s="471"/>
      <c r="CG799" s="471"/>
      <c r="CH799" s="471"/>
      <c r="CI799" s="471"/>
      <c r="CJ799" s="471"/>
    </row>
    <row r="800" spans="3:88" s="15" customFormat="1" x14ac:dyDescent="0.2">
      <c r="C800" s="481"/>
      <c r="H800" s="481"/>
      <c r="K800" s="482"/>
      <c r="L800" s="482"/>
      <c r="M800" s="482"/>
      <c r="O800" s="506"/>
      <c r="Q800" s="481"/>
      <c r="BK800" s="16"/>
      <c r="BL800" s="16"/>
      <c r="BM800" s="16"/>
      <c r="BN800" s="17"/>
      <c r="BO800" s="17"/>
      <c r="BP800" s="17"/>
      <c r="CC800" s="471"/>
      <c r="CD800" s="471"/>
      <c r="CE800" s="471"/>
      <c r="CF800" s="471"/>
      <c r="CG800" s="471"/>
      <c r="CH800" s="471"/>
      <c r="CI800" s="471"/>
      <c r="CJ800" s="471"/>
    </row>
    <row r="801" spans="3:88" s="15" customFormat="1" x14ac:dyDescent="0.2">
      <c r="C801" s="481"/>
      <c r="H801" s="481"/>
      <c r="O801" s="506"/>
      <c r="Q801" s="481"/>
      <c r="BK801" s="16"/>
      <c r="BL801" s="16"/>
      <c r="BM801" s="16"/>
      <c r="BN801" s="17"/>
      <c r="BO801" s="17"/>
      <c r="BP801" s="17"/>
      <c r="CC801" s="471"/>
      <c r="CD801" s="471"/>
      <c r="CE801" s="471"/>
      <c r="CF801" s="471"/>
      <c r="CG801" s="471"/>
      <c r="CH801" s="471"/>
      <c r="CI801" s="471"/>
      <c r="CJ801" s="471"/>
    </row>
    <row r="802" spans="3:88" s="15" customFormat="1" x14ac:dyDescent="0.2">
      <c r="C802" s="481"/>
      <c r="H802" s="481"/>
      <c r="O802" s="506"/>
      <c r="Q802" s="481"/>
      <c r="BK802" s="16"/>
      <c r="BL802" s="16"/>
      <c r="BM802" s="16"/>
      <c r="BN802" s="17"/>
      <c r="BO802" s="17"/>
      <c r="BP802" s="17"/>
      <c r="CC802" s="471"/>
      <c r="CD802" s="471"/>
      <c r="CE802" s="471"/>
      <c r="CF802" s="471"/>
      <c r="CG802" s="471"/>
      <c r="CH802" s="471"/>
      <c r="CI802" s="471"/>
      <c r="CJ802" s="471"/>
    </row>
    <row r="803" spans="3:88" s="15" customFormat="1" x14ac:dyDescent="0.2">
      <c r="C803" s="481"/>
      <c r="H803" s="481"/>
      <c r="O803" s="506"/>
      <c r="Q803" s="481"/>
      <c r="BK803" s="16"/>
      <c r="BL803" s="16"/>
      <c r="BM803" s="16"/>
      <c r="BN803" s="17"/>
      <c r="BO803" s="17"/>
      <c r="BP803" s="17"/>
      <c r="CC803" s="471"/>
      <c r="CD803" s="471"/>
      <c r="CE803" s="471"/>
      <c r="CF803" s="471"/>
      <c r="CG803" s="471"/>
      <c r="CH803" s="471"/>
      <c r="CI803" s="471"/>
      <c r="CJ803" s="471"/>
    </row>
    <row r="804" spans="3:88" s="15" customFormat="1" x14ac:dyDescent="0.2">
      <c r="C804" s="481"/>
      <c r="H804" s="481"/>
      <c r="O804" s="506"/>
      <c r="Q804" s="481"/>
      <c r="BK804" s="16"/>
      <c r="BL804" s="16"/>
      <c r="BM804" s="16"/>
      <c r="BN804" s="17"/>
      <c r="BO804" s="17"/>
      <c r="BP804" s="17"/>
      <c r="CC804" s="471"/>
      <c r="CD804" s="471"/>
      <c r="CE804" s="471"/>
      <c r="CF804" s="471"/>
      <c r="CG804" s="471"/>
      <c r="CH804" s="471"/>
      <c r="CI804" s="471"/>
      <c r="CJ804" s="471"/>
    </row>
    <row r="805" spans="3:88" s="15" customFormat="1" x14ac:dyDescent="0.2">
      <c r="C805" s="481"/>
      <c r="H805" s="481"/>
      <c r="O805" s="506"/>
      <c r="Q805" s="481"/>
      <c r="BK805" s="16"/>
      <c r="BL805" s="16"/>
      <c r="BM805" s="16"/>
      <c r="BN805" s="17"/>
      <c r="BO805" s="17"/>
      <c r="BP805" s="17"/>
      <c r="CC805" s="471"/>
      <c r="CD805" s="471"/>
      <c r="CE805" s="471"/>
      <c r="CF805" s="471"/>
      <c r="CG805" s="471"/>
      <c r="CH805" s="471"/>
      <c r="CI805" s="471"/>
      <c r="CJ805" s="471"/>
    </row>
    <row r="806" spans="3:88" s="15" customFormat="1" x14ac:dyDescent="0.2">
      <c r="C806" s="481"/>
      <c r="H806" s="481"/>
      <c r="O806" s="506"/>
      <c r="Q806" s="481"/>
      <c r="BK806" s="16"/>
      <c r="BL806" s="16"/>
      <c r="BM806" s="16"/>
      <c r="BN806" s="17"/>
      <c r="BO806" s="17"/>
      <c r="BP806" s="17"/>
      <c r="CC806" s="471"/>
      <c r="CD806" s="471"/>
      <c r="CE806" s="471"/>
      <c r="CF806" s="471"/>
      <c r="CG806" s="471"/>
      <c r="CH806" s="471"/>
      <c r="CI806" s="471"/>
      <c r="CJ806" s="471"/>
    </row>
    <row r="807" spans="3:88" s="15" customFormat="1" x14ac:dyDescent="0.2">
      <c r="C807" s="481"/>
      <c r="H807" s="481"/>
      <c r="O807" s="506"/>
      <c r="Q807" s="481"/>
      <c r="BK807" s="16"/>
      <c r="BL807" s="16"/>
      <c r="BM807" s="16"/>
      <c r="BN807" s="17"/>
      <c r="BO807" s="17"/>
      <c r="BP807" s="17"/>
      <c r="CC807" s="471"/>
      <c r="CD807" s="471"/>
      <c r="CE807" s="471"/>
      <c r="CF807" s="471"/>
      <c r="CG807" s="471"/>
      <c r="CH807" s="471"/>
      <c r="CI807" s="471"/>
      <c r="CJ807" s="471"/>
    </row>
    <row r="808" spans="3:88" s="15" customFormat="1" x14ac:dyDescent="0.2">
      <c r="C808" s="481"/>
      <c r="H808" s="481"/>
      <c r="O808" s="506"/>
      <c r="Q808" s="481"/>
      <c r="BK808" s="16"/>
      <c r="BL808" s="16"/>
      <c r="BM808" s="16"/>
      <c r="BN808" s="17"/>
      <c r="BO808" s="17"/>
      <c r="BP808" s="17"/>
      <c r="CC808" s="471"/>
      <c r="CD808" s="471"/>
      <c r="CE808" s="471"/>
      <c r="CF808" s="471"/>
      <c r="CG808" s="471"/>
      <c r="CH808" s="471"/>
      <c r="CI808" s="471"/>
      <c r="CJ808" s="471"/>
    </row>
    <row r="809" spans="3:88" s="15" customFormat="1" x14ac:dyDescent="0.2">
      <c r="C809" s="481"/>
      <c r="H809" s="481"/>
      <c r="O809" s="506"/>
      <c r="Q809" s="481"/>
      <c r="BK809" s="16"/>
      <c r="BL809" s="16"/>
      <c r="BM809" s="16"/>
      <c r="BN809" s="17"/>
      <c r="BO809" s="17"/>
      <c r="BP809" s="17"/>
      <c r="CC809" s="471"/>
      <c r="CD809" s="471"/>
      <c r="CE809" s="471"/>
      <c r="CF809" s="471"/>
      <c r="CG809" s="471"/>
      <c r="CH809" s="471"/>
      <c r="CI809" s="471"/>
      <c r="CJ809" s="471"/>
    </row>
    <row r="810" spans="3:88" s="15" customFormat="1" x14ac:dyDescent="0.2">
      <c r="C810" s="481"/>
      <c r="H810" s="481"/>
      <c r="O810" s="506"/>
      <c r="Q810" s="481"/>
      <c r="BK810" s="16"/>
      <c r="BL810" s="16"/>
      <c r="BM810" s="16"/>
      <c r="BN810" s="17"/>
      <c r="BO810" s="17"/>
      <c r="BP810" s="17"/>
      <c r="CC810" s="471"/>
      <c r="CD810" s="471"/>
      <c r="CE810" s="471"/>
      <c r="CF810" s="471"/>
      <c r="CG810" s="471"/>
      <c r="CH810" s="471"/>
      <c r="CI810" s="471"/>
      <c r="CJ810" s="471"/>
    </row>
    <row r="811" spans="3:88" s="15" customFormat="1" x14ac:dyDescent="0.2">
      <c r="C811" s="481"/>
      <c r="H811" s="481"/>
      <c r="O811" s="506"/>
      <c r="Q811" s="481"/>
      <c r="BK811" s="16"/>
      <c r="BL811" s="16"/>
      <c r="BM811" s="16"/>
      <c r="BN811" s="17"/>
      <c r="BO811" s="17"/>
      <c r="BP811" s="17"/>
      <c r="CC811" s="471"/>
      <c r="CD811" s="471"/>
      <c r="CE811" s="471"/>
      <c r="CF811" s="471"/>
      <c r="CG811" s="471"/>
      <c r="CH811" s="471"/>
      <c r="CI811" s="471"/>
      <c r="CJ811" s="471"/>
    </row>
    <row r="812" spans="3:88" s="15" customFormat="1" x14ac:dyDescent="0.2">
      <c r="C812" s="481"/>
      <c r="H812" s="481"/>
      <c r="O812" s="506"/>
      <c r="Q812" s="481"/>
      <c r="BK812" s="16"/>
      <c r="BL812" s="16"/>
      <c r="BM812" s="16"/>
      <c r="BN812" s="17"/>
      <c r="BO812" s="17"/>
      <c r="BP812" s="17"/>
      <c r="CC812" s="471"/>
      <c r="CD812" s="471"/>
      <c r="CE812" s="471"/>
      <c r="CF812" s="471"/>
      <c r="CG812" s="471"/>
      <c r="CH812" s="471"/>
      <c r="CI812" s="471"/>
      <c r="CJ812" s="471"/>
    </row>
    <row r="813" spans="3:88" s="15" customFormat="1" x14ac:dyDescent="0.2">
      <c r="C813" s="481"/>
      <c r="H813" s="481"/>
      <c r="O813" s="506"/>
      <c r="Q813" s="481"/>
      <c r="BK813" s="16"/>
      <c r="BL813" s="16"/>
      <c r="BM813" s="16"/>
      <c r="BN813" s="17"/>
      <c r="BO813" s="17"/>
      <c r="BP813" s="17"/>
      <c r="CC813" s="471"/>
      <c r="CD813" s="471"/>
      <c r="CE813" s="471"/>
      <c r="CF813" s="471"/>
      <c r="CG813" s="471"/>
      <c r="CH813" s="471"/>
      <c r="CI813" s="471"/>
      <c r="CJ813" s="471"/>
    </row>
    <row r="814" spans="3:88" s="15" customFormat="1" x14ac:dyDescent="0.2">
      <c r="C814" s="481"/>
      <c r="H814" s="481"/>
      <c r="O814" s="506"/>
      <c r="Q814" s="481"/>
      <c r="BK814" s="16"/>
      <c r="BL814" s="16"/>
      <c r="BM814" s="16"/>
      <c r="BN814" s="17"/>
      <c r="BO814" s="17"/>
      <c r="BP814" s="17"/>
      <c r="CC814" s="471"/>
      <c r="CD814" s="471"/>
      <c r="CE814" s="471"/>
      <c r="CF814" s="471"/>
      <c r="CG814" s="471"/>
      <c r="CH814" s="471"/>
      <c r="CI814" s="471"/>
      <c r="CJ814" s="471"/>
    </row>
    <row r="815" spans="3:88" s="15" customFormat="1" x14ac:dyDescent="0.2">
      <c r="C815" s="481"/>
      <c r="H815" s="481"/>
      <c r="O815" s="506"/>
      <c r="Q815" s="481"/>
      <c r="BK815" s="16"/>
      <c r="BL815" s="16"/>
      <c r="BM815" s="16"/>
      <c r="BN815" s="17"/>
      <c r="BO815" s="17"/>
      <c r="BP815" s="17"/>
      <c r="CC815" s="471"/>
      <c r="CD815" s="471"/>
      <c r="CE815" s="471"/>
      <c r="CF815" s="471"/>
      <c r="CG815" s="471"/>
      <c r="CH815" s="471"/>
      <c r="CI815" s="471"/>
      <c r="CJ815" s="471"/>
    </row>
    <row r="816" spans="3:88" s="15" customFormat="1" x14ac:dyDescent="0.2">
      <c r="C816" s="481"/>
      <c r="H816" s="481"/>
      <c r="O816" s="506"/>
      <c r="Q816" s="481"/>
      <c r="BK816" s="16"/>
      <c r="BL816" s="16"/>
      <c r="BM816" s="16"/>
      <c r="BN816" s="17"/>
      <c r="BO816" s="17"/>
      <c r="BP816" s="17"/>
      <c r="CC816" s="471"/>
      <c r="CD816" s="471"/>
      <c r="CE816" s="471"/>
      <c r="CF816" s="471"/>
      <c r="CG816" s="471"/>
      <c r="CH816" s="471"/>
      <c r="CI816" s="471"/>
      <c r="CJ816" s="471"/>
    </row>
    <row r="817" spans="3:88" s="15" customFormat="1" x14ac:dyDescent="0.2">
      <c r="C817" s="481"/>
      <c r="H817" s="481"/>
      <c r="O817" s="506"/>
      <c r="Q817" s="481"/>
      <c r="BK817" s="16"/>
      <c r="BL817" s="16"/>
      <c r="BM817" s="16"/>
      <c r="BN817" s="17"/>
      <c r="BO817" s="17"/>
      <c r="BP817" s="17"/>
      <c r="CC817" s="471"/>
      <c r="CD817" s="471"/>
      <c r="CE817" s="471"/>
      <c r="CF817" s="471"/>
      <c r="CG817" s="471"/>
      <c r="CH817" s="471"/>
      <c r="CI817" s="471"/>
      <c r="CJ817" s="471"/>
    </row>
    <row r="818" spans="3:88" s="15" customFormat="1" x14ac:dyDescent="0.2">
      <c r="C818" s="481"/>
      <c r="H818" s="481"/>
      <c r="O818" s="506"/>
      <c r="Q818" s="481"/>
      <c r="BK818" s="16"/>
      <c r="BL818" s="16"/>
      <c r="BM818" s="16"/>
      <c r="BN818" s="17"/>
      <c r="BO818" s="17"/>
      <c r="BP818" s="17"/>
      <c r="CC818" s="471"/>
      <c r="CD818" s="471"/>
      <c r="CE818" s="471"/>
      <c r="CF818" s="471"/>
      <c r="CG818" s="471"/>
      <c r="CH818" s="471"/>
      <c r="CI818" s="471"/>
      <c r="CJ818" s="471"/>
    </row>
    <row r="819" spans="3:88" s="15" customFormat="1" x14ac:dyDescent="0.2">
      <c r="C819" s="481"/>
      <c r="H819" s="481"/>
      <c r="O819" s="506"/>
      <c r="Q819" s="481"/>
      <c r="BK819" s="16"/>
      <c r="BL819" s="16"/>
      <c r="BM819" s="16"/>
      <c r="BN819" s="17"/>
      <c r="BO819" s="17"/>
      <c r="BP819" s="17"/>
      <c r="CC819" s="471"/>
      <c r="CD819" s="471"/>
      <c r="CE819" s="471"/>
      <c r="CF819" s="471"/>
      <c r="CG819" s="471"/>
      <c r="CH819" s="471"/>
      <c r="CI819" s="471"/>
      <c r="CJ819" s="471"/>
    </row>
    <row r="820" spans="3:88" s="15" customFormat="1" x14ac:dyDescent="0.2">
      <c r="C820" s="481"/>
      <c r="H820" s="481"/>
      <c r="O820" s="506"/>
      <c r="Q820" s="481"/>
      <c r="BK820" s="16"/>
      <c r="BL820" s="16"/>
      <c r="BM820" s="16"/>
      <c r="BN820" s="17"/>
      <c r="BO820" s="17"/>
      <c r="BP820" s="17"/>
      <c r="CC820" s="471"/>
      <c r="CD820" s="471"/>
      <c r="CE820" s="471"/>
      <c r="CF820" s="471"/>
      <c r="CG820" s="471"/>
      <c r="CH820" s="471"/>
      <c r="CI820" s="471"/>
      <c r="CJ820" s="471"/>
    </row>
    <row r="821" spans="3:88" s="15" customFormat="1" x14ac:dyDescent="0.2">
      <c r="C821" s="481"/>
      <c r="H821" s="481"/>
      <c r="O821" s="506"/>
      <c r="Q821" s="481"/>
      <c r="BK821" s="16"/>
      <c r="BL821" s="16"/>
      <c r="BM821" s="16"/>
      <c r="BN821" s="17"/>
      <c r="BO821" s="17"/>
      <c r="BP821" s="17"/>
      <c r="CC821" s="471"/>
      <c r="CD821" s="471"/>
      <c r="CE821" s="471"/>
      <c r="CF821" s="471"/>
      <c r="CG821" s="471"/>
      <c r="CH821" s="471"/>
      <c r="CI821" s="471"/>
      <c r="CJ821" s="471"/>
    </row>
    <row r="822" spans="3:88" s="15" customFormat="1" x14ac:dyDescent="0.2">
      <c r="C822" s="481"/>
      <c r="H822" s="481"/>
      <c r="O822" s="506"/>
      <c r="Q822" s="481"/>
      <c r="BK822" s="16"/>
      <c r="BL822" s="16"/>
      <c r="BM822" s="16"/>
      <c r="BN822" s="17"/>
      <c r="BO822" s="17"/>
      <c r="BP822" s="17"/>
      <c r="CC822" s="471"/>
      <c r="CD822" s="471"/>
      <c r="CE822" s="471"/>
      <c r="CF822" s="471"/>
      <c r="CG822" s="471"/>
      <c r="CH822" s="471"/>
      <c r="CI822" s="471"/>
      <c r="CJ822" s="471"/>
    </row>
    <row r="823" spans="3:88" s="15" customFormat="1" x14ac:dyDescent="0.2">
      <c r="C823" s="481"/>
      <c r="H823" s="481"/>
      <c r="O823" s="506"/>
      <c r="Q823" s="481"/>
      <c r="BK823" s="16"/>
      <c r="BL823" s="16"/>
      <c r="BM823" s="16"/>
      <c r="BN823" s="17"/>
      <c r="BO823" s="17"/>
      <c r="BP823" s="17"/>
      <c r="CC823" s="471"/>
      <c r="CD823" s="471"/>
      <c r="CE823" s="471"/>
      <c r="CF823" s="471"/>
      <c r="CG823" s="471"/>
      <c r="CH823" s="471"/>
      <c r="CI823" s="471"/>
      <c r="CJ823" s="471"/>
    </row>
    <row r="824" spans="3:88" s="15" customFormat="1" x14ac:dyDescent="0.2">
      <c r="C824" s="481"/>
      <c r="H824" s="481"/>
      <c r="O824" s="506"/>
      <c r="Q824" s="481"/>
      <c r="BK824" s="16"/>
      <c r="BL824" s="16"/>
      <c r="BM824" s="16"/>
      <c r="BN824" s="17"/>
      <c r="BO824" s="17"/>
      <c r="BP824" s="17"/>
      <c r="CC824" s="471"/>
      <c r="CD824" s="471"/>
      <c r="CE824" s="471"/>
      <c r="CF824" s="471"/>
      <c r="CG824" s="471"/>
      <c r="CH824" s="471"/>
      <c r="CI824" s="471"/>
      <c r="CJ824" s="471"/>
    </row>
    <row r="825" spans="3:88" s="15" customFormat="1" x14ac:dyDescent="0.2">
      <c r="C825" s="481"/>
      <c r="H825" s="481"/>
      <c r="O825" s="506"/>
      <c r="Q825" s="481"/>
      <c r="BK825" s="16"/>
      <c r="BL825" s="16"/>
      <c r="BM825" s="16"/>
      <c r="BN825" s="17"/>
      <c r="BO825" s="17"/>
      <c r="BP825" s="17"/>
      <c r="CC825" s="471"/>
      <c r="CD825" s="471"/>
      <c r="CE825" s="471"/>
      <c r="CF825" s="471"/>
      <c r="CG825" s="471"/>
      <c r="CH825" s="471"/>
      <c r="CI825" s="471"/>
      <c r="CJ825" s="471"/>
    </row>
    <row r="826" spans="3:88" s="15" customFormat="1" x14ac:dyDescent="0.2">
      <c r="C826" s="481"/>
      <c r="H826" s="481"/>
      <c r="O826" s="506"/>
      <c r="Q826" s="481"/>
      <c r="BK826" s="16"/>
      <c r="BL826" s="16"/>
      <c r="BM826" s="16"/>
      <c r="BN826" s="17"/>
      <c r="BO826" s="17"/>
      <c r="BP826" s="17"/>
      <c r="CC826" s="471"/>
      <c r="CD826" s="471"/>
      <c r="CE826" s="471"/>
      <c r="CF826" s="471"/>
      <c r="CG826" s="471"/>
      <c r="CH826" s="471"/>
      <c r="CI826" s="471"/>
      <c r="CJ826" s="471"/>
    </row>
    <row r="827" spans="3:88" s="15" customFormat="1" x14ac:dyDescent="0.2">
      <c r="C827" s="481"/>
      <c r="H827" s="481"/>
      <c r="O827" s="506"/>
      <c r="Q827" s="481"/>
      <c r="BK827" s="16"/>
      <c r="BL827" s="16"/>
      <c r="BM827" s="16"/>
      <c r="BN827" s="17"/>
      <c r="BO827" s="17"/>
      <c r="BP827" s="17"/>
      <c r="CC827" s="471"/>
      <c r="CD827" s="471"/>
      <c r="CE827" s="471"/>
      <c r="CF827" s="471"/>
      <c r="CG827" s="471"/>
      <c r="CH827" s="471"/>
      <c r="CI827" s="471"/>
      <c r="CJ827" s="471"/>
    </row>
    <row r="828" spans="3:88" s="15" customFormat="1" x14ac:dyDescent="0.2">
      <c r="C828" s="481"/>
      <c r="H828" s="481"/>
      <c r="O828" s="506"/>
      <c r="Q828" s="481"/>
      <c r="BK828" s="16"/>
      <c r="BL828" s="16"/>
      <c r="BM828" s="16"/>
      <c r="BN828" s="17"/>
      <c r="BO828" s="17"/>
      <c r="BP828" s="17"/>
      <c r="CC828" s="471"/>
      <c r="CD828" s="471"/>
      <c r="CE828" s="471"/>
      <c r="CF828" s="471"/>
      <c r="CG828" s="471"/>
      <c r="CH828" s="471"/>
      <c r="CI828" s="471"/>
      <c r="CJ828" s="471"/>
    </row>
    <row r="829" spans="3:88" s="15" customFormat="1" x14ac:dyDescent="0.2">
      <c r="C829" s="481"/>
      <c r="H829" s="481"/>
      <c r="O829" s="506"/>
      <c r="Q829" s="481"/>
      <c r="BK829" s="16"/>
      <c r="BL829" s="16"/>
      <c r="BM829" s="16"/>
      <c r="BN829" s="17"/>
      <c r="BO829" s="17"/>
      <c r="BP829" s="17"/>
      <c r="CC829" s="471"/>
      <c r="CD829" s="471"/>
      <c r="CE829" s="471"/>
      <c r="CF829" s="471"/>
      <c r="CG829" s="471"/>
      <c r="CH829" s="471"/>
      <c r="CI829" s="471"/>
      <c r="CJ829" s="471"/>
    </row>
    <row r="830" spans="3:88" s="15" customFormat="1" x14ac:dyDescent="0.2">
      <c r="C830" s="481"/>
      <c r="H830" s="481"/>
      <c r="O830" s="506"/>
      <c r="Q830" s="481"/>
      <c r="BK830" s="16"/>
      <c r="BL830" s="16"/>
      <c r="BM830" s="16"/>
      <c r="BN830" s="17"/>
      <c r="BO830" s="17"/>
      <c r="BP830" s="17"/>
      <c r="CC830" s="471"/>
      <c r="CD830" s="471"/>
      <c r="CE830" s="471"/>
      <c r="CF830" s="471"/>
      <c r="CG830" s="471"/>
      <c r="CH830" s="471"/>
      <c r="CI830" s="471"/>
      <c r="CJ830" s="471"/>
    </row>
    <row r="831" spans="3:88" s="15" customFormat="1" x14ac:dyDescent="0.2">
      <c r="C831" s="481"/>
      <c r="H831" s="481"/>
      <c r="O831" s="506"/>
      <c r="Q831" s="481"/>
      <c r="BK831" s="16"/>
      <c r="BL831" s="16"/>
      <c r="BM831" s="16"/>
      <c r="BN831" s="17"/>
      <c r="BO831" s="17"/>
      <c r="BP831" s="17"/>
      <c r="CC831" s="471"/>
      <c r="CD831" s="471"/>
      <c r="CE831" s="471"/>
      <c r="CF831" s="471"/>
      <c r="CG831" s="471"/>
      <c r="CH831" s="471"/>
      <c r="CI831" s="471"/>
      <c r="CJ831" s="471"/>
    </row>
    <row r="832" spans="3:88" s="15" customFormat="1" x14ac:dyDescent="0.2">
      <c r="C832" s="481"/>
      <c r="H832" s="481"/>
      <c r="O832" s="506"/>
      <c r="Q832" s="481"/>
      <c r="BK832" s="16"/>
      <c r="BL832" s="16"/>
      <c r="BM832" s="16"/>
      <c r="BN832" s="17"/>
      <c r="BO832" s="17"/>
      <c r="BP832" s="17"/>
      <c r="CC832" s="471"/>
      <c r="CD832" s="471"/>
      <c r="CE832" s="471"/>
      <c r="CF832" s="471"/>
      <c r="CG832" s="471"/>
      <c r="CH832" s="471"/>
      <c r="CI832" s="471"/>
      <c r="CJ832" s="471"/>
    </row>
    <row r="833" spans="3:88" s="15" customFormat="1" x14ac:dyDescent="0.2">
      <c r="C833" s="481"/>
      <c r="H833" s="481"/>
      <c r="O833" s="506"/>
      <c r="Q833" s="481"/>
      <c r="BK833" s="16"/>
      <c r="BL833" s="16"/>
      <c r="BM833" s="16"/>
      <c r="BN833" s="17"/>
      <c r="BO833" s="17"/>
      <c r="BP833" s="17"/>
      <c r="CC833" s="471"/>
      <c r="CD833" s="471"/>
      <c r="CE833" s="471"/>
      <c r="CF833" s="471"/>
      <c r="CG833" s="471"/>
      <c r="CH833" s="471"/>
      <c r="CI833" s="471"/>
      <c r="CJ833" s="471"/>
    </row>
    <row r="834" spans="3:88" s="15" customFormat="1" x14ac:dyDescent="0.2">
      <c r="C834" s="481"/>
      <c r="H834" s="481"/>
      <c r="O834" s="506"/>
      <c r="Q834" s="481"/>
      <c r="BK834" s="16"/>
      <c r="BL834" s="16"/>
      <c r="BM834" s="16"/>
      <c r="BN834" s="17"/>
      <c r="BO834" s="17"/>
      <c r="BP834" s="17"/>
      <c r="CC834" s="471"/>
      <c r="CD834" s="471"/>
      <c r="CE834" s="471"/>
      <c r="CF834" s="471"/>
      <c r="CG834" s="471"/>
      <c r="CH834" s="471"/>
      <c r="CI834" s="471"/>
      <c r="CJ834" s="471"/>
    </row>
    <row r="835" spans="3:88" s="15" customFormat="1" x14ac:dyDescent="0.2">
      <c r="C835" s="481"/>
      <c r="H835" s="481"/>
      <c r="O835" s="506"/>
      <c r="Q835" s="481"/>
      <c r="BK835" s="16"/>
      <c r="BL835" s="16"/>
      <c r="BM835" s="16"/>
      <c r="BN835" s="17"/>
      <c r="BO835" s="17"/>
      <c r="BP835" s="17"/>
      <c r="CC835" s="471"/>
      <c r="CD835" s="471"/>
      <c r="CE835" s="471"/>
      <c r="CF835" s="471"/>
      <c r="CG835" s="471"/>
      <c r="CH835" s="471"/>
      <c r="CI835" s="471"/>
      <c r="CJ835" s="471"/>
    </row>
    <row r="836" spans="3:88" s="15" customFormat="1" x14ac:dyDescent="0.2">
      <c r="C836" s="481"/>
      <c r="H836" s="481"/>
      <c r="O836" s="506"/>
      <c r="Q836" s="481"/>
      <c r="BK836" s="16"/>
      <c r="BL836" s="16"/>
      <c r="BM836" s="16"/>
      <c r="BN836" s="17"/>
      <c r="BO836" s="17"/>
      <c r="BP836" s="17"/>
      <c r="CC836" s="471"/>
      <c r="CD836" s="471"/>
      <c r="CE836" s="471"/>
      <c r="CF836" s="471"/>
      <c r="CG836" s="471"/>
      <c r="CH836" s="471"/>
      <c r="CI836" s="471"/>
      <c r="CJ836" s="471"/>
    </row>
    <row r="837" spans="3:88" s="15" customFormat="1" x14ac:dyDescent="0.2">
      <c r="C837" s="481"/>
      <c r="H837" s="481"/>
      <c r="O837" s="506"/>
      <c r="Q837" s="481"/>
      <c r="BK837" s="16"/>
      <c r="BL837" s="16"/>
      <c r="BM837" s="16"/>
      <c r="BN837" s="17"/>
      <c r="BO837" s="17"/>
      <c r="BP837" s="17"/>
      <c r="CC837" s="471"/>
      <c r="CD837" s="471"/>
      <c r="CE837" s="471"/>
      <c r="CF837" s="471"/>
      <c r="CG837" s="471"/>
      <c r="CH837" s="471"/>
      <c r="CI837" s="471"/>
      <c r="CJ837" s="471"/>
    </row>
    <row r="838" spans="3:88" s="15" customFormat="1" x14ac:dyDescent="0.2">
      <c r="C838" s="481"/>
      <c r="H838" s="481"/>
      <c r="O838" s="506"/>
      <c r="Q838" s="481"/>
      <c r="BK838" s="16"/>
      <c r="BL838" s="16"/>
      <c r="BM838" s="16"/>
      <c r="BN838" s="17"/>
      <c r="BO838" s="17"/>
      <c r="BP838" s="17"/>
      <c r="CC838" s="471"/>
      <c r="CD838" s="471"/>
      <c r="CE838" s="471"/>
      <c r="CF838" s="471"/>
      <c r="CG838" s="471"/>
      <c r="CH838" s="471"/>
      <c r="CI838" s="471"/>
      <c r="CJ838" s="471"/>
    </row>
    <row r="839" spans="3:88" s="15" customFormat="1" x14ac:dyDescent="0.2">
      <c r="C839" s="481"/>
      <c r="H839" s="481"/>
      <c r="O839" s="506"/>
      <c r="Q839" s="481"/>
      <c r="BK839" s="16"/>
      <c r="BL839" s="16"/>
      <c r="BM839" s="16"/>
      <c r="BN839" s="17"/>
      <c r="BO839" s="17"/>
      <c r="BP839" s="17"/>
      <c r="CC839" s="471"/>
      <c r="CD839" s="471"/>
      <c r="CE839" s="471"/>
      <c r="CF839" s="471"/>
      <c r="CG839" s="471"/>
      <c r="CH839" s="471"/>
      <c r="CI839" s="471"/>
      <c r="CJ839" s="471"/>
    </row>
    <row r="840" spans="3:88" s="15" customFormat="1" x14ac:dyDescent="0.2">
      <c r="C840" s="481"/>
      <c r="H840" s="481"/>
      <c r="O840" s="506"/>
      <c r="Q840" s="481"/>
      <c r="BK840" s="16"/>
      <c r="BL840" s="16"/>
      <c r="BM840" s="16"/>
      <c r="BN840" s="17"/>
      <c r="BO840" s="17"/>
      <c r="BP840" s="17"/>
      <c r="CC840" s="471"/>
      <c r="CD840" s="471"/>
      <c r="CE840" s="471"/>
      <c r="CF840" s="471"/>
      <c r="CG840" s="471"/>
      <c r="CH840" s="471"/>
      <c r="CI840" s="471"/>
      <c r="CJ840" s="471"/>
    </row>
    <row r="841" spans="3:88" s="15" customFormat="1" x14ac:dyDescent="0.2">
      <c r="C841" s="481"/>
      <c r="H841" s="481"/>
      <c r="O841" s="506"/>
      <c r="Q841" s="481"/>
      <c r="BK841" s="16"/>
      <c r="BL841" s="16"/>
      <c r="BM841" s="16"/>
      <c r="BN841" s="17"/>
      <c r="BO841" s="17"/>
      <c r="BP841" s="17"/>
      <c r="CC841" s="471"/>
      <c r="CD841" s="471"/>
      <c r="CE841" s="471"/>
      <c r="CF841" s="471"/>
      <c r="CG841" s="471"/>
      <c r="CH841" s="471"/>
      <c r="CI841" s="471"/>
      <c r="CJ841" s="471"/>
    </row>
    <row r="842" spans="3:88" s="15" customFormat="1" x14ac:dyDescent="0.2">
      <c r="C842" s="481"/>
      <c r="H842" s="481"/>
      <c r="O842" s="506"/>
      <c r="Q842" s="481"/>
      <c r="BK842" s="16"/>
      <c r="BL842" s="16"/>
      <c r="BM842" s="16"/>
      <c r="BN842" s="17"/>
      <c r="BO842" s="17"/>
      <c r="BP842" s="17"/>
      <c r="CC842" s="471"/>
      <c r="CD842" s="471"/>
      <c r="CE842" s="471"/>
      <c r="CF842" s="471"/>
      <c r="CG842" s="471"/>
      <c r="CH842" s="471"/>
      <c r="CI842" s="471"/>
      <c r="CJ842" s="471"/>
    </row>
    <row r="843" spans="3:88" s="15" customFormat="1" x14ac:dyDescent="0.2">
      <c r="C843" s="481"/>
      <c r="H843" s="481"/>
      <c r="O843" s="506"/>
      <c r="Q843" s="481"/>
      <c r="BK843" s="16"/>
      <c r="BL843" s="16"/>
      <c r="BM843" s="16"/>
      <c r="BN843" s="17"/>
      <c r="BO843" s="17"/>
      <c r="BP843" s="17"/>
      <c r="CC843" s="471"/>
      <c r="CD843" s="471"/>
      <c r="CE843" s="471"/>
      <c r="CF843" s="471"/>
      <c r="CG843" s="471"/>
      <c r="CH843" s="471"/>
      <c r="CI843" s="471"/>
      <c r="CJ843" s="471"/>
    </row>
    <row r="844" spans="3:88" s="15" customFormat="1" x14ac:dyDescent="0.2">
      <c r="C844" s="481"/>
      <c r="H844" s="481"/>
      <c r="O844" s="506"/>
      <c r="Q844" s="481"/>
      <c r="BK844" s="16"/>
      <c r="BL844" s="16"/>
      <c r="BM844" s="16"/>
      <c r="BN844" s="17"/>
      <c r="BO844" s="17"/>
      <c r="BP844" s="17"/>
      <c r="CC844" s="471"/>
      <c r="CD844" s="471"/>
      <c r="CE844" s="471"/>
      <c r="CF844" s="471"/>
      <c r="CG844" s="471"/>
      <c r="CH844" s="471"/>
      <c r="CI844" s="471"/>
      <c r="CJ844" s="471"/>
    </row>
    <row r="845" spans="3:88" s="15" customFormat="1" x14ac:dyDescent="0.2">
      <c r="C845" s="481"/>
      <c r="H845" s="481"/>
      <c r="O845" s="506"/>
      <c r="Q845" s="481"/>
      <c r="BK845" s="16"/>
      <c r="BL845" s="16"/>
      <c r="BM845" s="16"/>
      <c r="BN845" s="17"/>
      <c r="BO845" s="17"/>
      <c r="BP845" s="17"/>
      <c r="CC845" s="471"/>
      <c r="CD845" s="471"/>
      <c r="CE845" s="471"/>
      <c r="CF845" s="471"/>
      <c r="CG845" s="471"/>
      <c r="CH845" s="471"/>
      <c r="CI845" s="471"/>
      <c r="CJ845" s="471"/>
    </row>
    <row r="846" spans="3:88" s="15" customFormat="1" x14ac:dyDescent="0.2">
      <c r="C846" s="481"/>
      <c r="H846" s="481"/>
      <c r="O846" s="506"/>
      <c r="Q846" s="481"/>
      <c r="BK846" s="16"/>
      <c r="BL846" s="16"/>
      <c r="BM846" s="16"/>
      <c r="BN846" s="17"/>
      <c r="BO846" s="17"/>
      <c r="BP846" s="17"/>
      <c r="CC846" s="471"/>
      <c r="CD846" s="471"/>
      <c r="CE846" s="471"/>
      <c r="CF846" s="471"/>
      <c r="CG846" s="471"/>
      <c r="CH846" s="471"/>
      <c r="CI846" s="471"/>
      <c r="CJ846" s="471"/>
    </row>
    <row r="847" spans="3:88" s="15" customFormat="1" x14ac:dyDescent="0.2">
      <c r="C847" s="481"/>
      <c r="H847" s="481"/>
      <c r="O847" s="506"/>
      <c r="Q847" s="481"/>
      <c r="BK847" s="16"/>
      <c r="BL847" s="16"/>
      <c r="BM847" s="16"/>
      <c r="BN847" s="17"/>
      <c r="BO847" s="17"/>
      <c r="BP847" s="17"/>
      <c r="CC847" s="471"/>
      <c r="CD847" s="471"/>
      <c r="CE847" s="471"/>
      <c r="CF847" s="471"/>
      <c r="CG847" s="471"/>
      <c r="CH847" s="471"/>
      <c r="CI847" s="471"/>
      <c r="CJ847" s="471"/>
    </row>
    <row r="848" spans="3:88" s="15" customFormat="1" x14ac:dyDescent="0.2">
      <c r="C848" s="481"/>
      <c r="H848" s="481"/>
      <c r="O848" s="506"/>
      <c r="Q848" s="481"/>
      <c r="BK848" s="16"/>
      <c r="BL848" s="16"/>
      <c r="BM848" s="16"/>
      <c r="BN848" s="17"/>
      <c r="BO848" s="17"/>
      <c r="BP848" s="17"/>
      <c r="CC848" s="471"/>
      <c r="CD848" s="471"/>
      <c r="CE848" s="471"/>
      <c r="CF848" s="471"/>
      <c r="CG848" s="471"/>
      <c r="CH848" s="471"/>
      <c r="CI848" s="471"/>
      <c r="CJ848" s="471"/>
    </row>
    <row r="849" spans="3:88" s="15" customFormat="1" x14ac:dyDescent="0.2">
      <c r="C849" s="481"/>
      <c r="H849" s="481"/>
      <c r="O849" s="506"/>
      <c r="Q849" s="481"/>
      <c r="BK849" s="16"/>
      <c r="BL849" s="16"/>
      <c r="BM849" s="16"/>
      <c r="BN849" s="17"/>
      <c r="BO849" s="17"/>
      <c r="BP849" s="17"/>
      <c r="CC849" s="471"/>
      <c r="CD849" s="471"/>
      <c r="CE849" s="471"/>
      <c r="CF849" s="471"/>
      <c r="CG849" s="471"/>
      <c r="CH849" s="471"/>
      <c r="CI849" s="471"/>
      <c r="CJ849" s="471"/>
    </row>
    <row r="850" spans="3:88" s="15" customFormat="1" x14ac:dyDescent="0.2">
      <c r="C850" s="481"/>
      <c r="H850" s="481"/>
      <c r="O850" s="506"/>
      <c r="Q850" s="481"/>
      <c r="BK850" s="16"/>
      <c r="BL850" s="16"/>
      <c r="BM850" s="16"/>
      <c r="BN850" s="17"/>
      <c r="BO850" s="17"/>
      <c r="BP850" s="17"/>
      <c r="CC850" s="471"/>
      <c r="CD850" s="471"/>
      <c r="CE850" s="471"/>
      <c r="CF850" s="471"/>
      <c r="CG850" s="471"/>
      <c r="CH850" s="471"/>
      <c r="CI850" s="471"/>
      <c r="CJ850" s="471"/>
    </row>
    <row r="851" spans="3:88" s="15" customFormat="1" x14ac:dyDescent="0.2">
      <c r="C851" s="481"/>
      <c r="H851" s="481"/>
      <c r="O851" s="506"/>
      <c r="Q851" s="481"/>
      <c r="BK851" s="16"/>
      <c r="BL851" s="16"/>
      <c r="BM851" s="16"/>
      <c r="BN851" s="17"/>
      <c r="BO851" s="17"/>
      <c r="BP851" s="17"/>
      <c r="CC851" s="471"/>
      <c r="CD851" s="471"/>
      <c r="CE851" s="471"/>
      <c r="CF851" s="471"/>
      <c r="CG851" s="471"/>
      <c r="CH851" s="471"/>
      <c r="CI851" s="471"/>
      <c r="CJ851" s="471"/>
    </row>
    <row r="852" spans="3:88" s="15" customFormat="1" x14ac:dyDescent="0.2">
      <c r="C852" s="481"/>
      <c r="H852" s="481"/>
      <c r="O852" s="506"/>
      <c r="Q852" s="481"/>
      <c r="BK852" s="16"/>
      <c r="BL852" s="16"/>
      <c r="BM852" s="16"/>
      <c r="BN852" s="17"/>
      <c r="BO852" s="17"/>
      <c r="BP852" s="17"/>
      <c r="CC852" s="471"/>
      <c r="CD852" s="471"/>
      <c r="CE852" s="471"/>
      <c r="CF852" s="471"/>
      <c r="CG852" s="471"/>
      <c r="CH852" s="471"/>
      <c r="CI852" s="471"/>
      <c r="CJ852" s="471"/>
    </row>
    <row r="853" spans="3:88" s="15" customFormat="1" x14ac:dyDescent="0.2">
      <c r="C853" s="481"/>
      <c r="H853" s="481"/>
      <c r="O853" s="506"/>
      <c r="Q853" s="481"/>
      <c r="BK853" s="16"/>
      <c r="BL853" s="16"/>
      <c r="BM853" s="16"/>
      <c r="BN853" s="17"/>
      <c r="BO853" s="17"/>
      <c r="BP853" s="17"/>
      <c r="CC853" s="471"/>
      <c r="CD853" s="471"/>
      <c r="CE853" s="471"/>
      <c r="CF853" s="471"/>
      <c r="CG853" s="471"/>
      <c r="CH853" s="471"/>
      <c r="CI853" s="471"/>
      <c r="CJ853" s="471"/>
    </row>
    <row r="854" spans="3:88" s="15" customFormat="1" x14ac:dyDescent="0.2">
      <c r="C854" s="481"/>
      <c r="H854" s="481"/>
      <c r="O854" s="506"/>
      <c r="Q854" s="481"/>
      <c r="BK854" s="16"/>
      <c r="BL854" s="16"/>
      <c r="BM854" s="16"/>
      <c r="BN854" s="17"/>
      <c r="BO854" s="17"/>
      <c r="BP854" s="17"/>
      <c r="CC854" s="471"/>
      <c r="CD854" s="471"/>
      <c r="CE854" s="471"/>
      <c r="CF854" s="471"/>
      <c r="CG854" s="471"/>
      <c r="CH854" s="471"/>
      <c r="CI854" s="471"/>
      <c r="CJ854" s="471"/>
    </row>
    <row r="855" spans="3:88" s="15" customFormat="1" x14ac:dyDescent="0.2">
      <c r="C855" s="481"/>
      <c r="H855" s="481"/>
      <c r="O855" s="506"/>
      <c r="Q855" s="481"/>
      <c r="BK855" s="16"/>
      <c r="BL855" s="16"/>
      <c r="BM855" s="16"/>
      <c r="BN855" s="17"/>
      <c r="BO855" s="17"/>
      <c r="BP855" s="17"/>
      <c r="CC855" s="471"/>
      <c r="CD855" s="471"/>
      <c r="CE855" s="471"/>
      <c r="CF855" s="471"/>
      <c r="CG855" s="471"/>
      <c r="CH855" s="471"/>
      <c r="CI855" s="471"/>
      <c r="CJ855" s="471"/>
    </row>
    <row r="856" spans="3:88" s="15" customFormat="1" x14ac:dyDescent="0.2">
      <c r="C856" s="481"/>
      <c r="H856" s="481"/>
      <c r="O856" s="506"/>
      <c r="Q856" s="481"/>
      <c r="BK856" s="16"/>
      <c r="BL856" s="16"/>
      <c r="BM856" s="16"/>
      <c r="BN856" s="17"/>
      <c r="BO856" s="17"/>
      <c r="BP856" s="17"/>
      <c r="CC856" s="471"/>
      <c r="CD856" s="471"/>
      <c r="CE856" s="471"/>
      <c r="CF856" s="471"/>
      <c r="CG856" s="471"/>
      <c r="CH856" s="471"/>
      <c r="CI856" s="471"/>
      <c r="CJ856" s="471"/>
    </row>
    <row r="857" spans="3:88" s="15" customFormat="1" x14ac:dyDescent="0.2">
      <c r="C857" s="481"/>
      <c r="H857" s="481"/>
      <c r="O857" s="506"/>
      <c r="Q857" s="481"/>
      <c r="BK857" s="16"/>
      <c r="BL857" s="16"/>
      <c r="BM857" s="16"/>
      <c r="BN857" s="17"/>
      <c r="BO857" s="17"/>
      <c r="BP857" s="17"/>
      <c r="CC857" s="471"/>
      <c r="CD857" s="471"/>
      <c r="CE857" s="471"/>
      <c r="CF857" s="471"/>
      <c r="CG857" s="471"/>
      <c r="CH857" s="471"/>
      <c r="CI857" s="471"/>
      <c r="CJ857" s="471"/>
    </row>
    <row r="858" spans="3:88" s="15" customFormat="1" x14ac:dyDescent="0.2">
      <c r="C858" s="481"/>
      <c r="H858" s="481"/>
      <c r="O858" s="506"/>
      <c r="Q858" s="481"/>
      <c r="BK858" s="16"/>
      <c r="BL858" s="16"/>
      <c r="BM858" s="16"/>
      <c r="BN858" s="17"/>
      <c r="BO858" s="17"/>
      <c r="BP858" s="17"/>
      <c r="CC858" s="471"/>
      <c r="CD858" s="471"/>
      <c r="CE858" s="471"/>
      <c r="CF858" s="471"/>
      <c r="CG858" s="471"/>
      <c r="CH858" s="471"/>
      <c r="CI858" s="471"/>
      <c r="CJ858" s="471"/>
    </row>
    <row r="859" spans="3:88" s="15" customFormat="1" x14ac:dyDescent="0.2">
      <c r="C859" s="481"/>
      <c r="H859" s="481"/>
      <c r="O859" s="506"/>
      <c r="Q859" s="481"/>
      <c r="BK859" s="16"/>
      <c r="BL859" s="16"/>
      <c r="BM859" s="16"/>
      <c r="BN859" s="17"/>
      <c r="BO859" s="17"/>
      <c r="BP859" s="17"/>
      <c r="CC859" s="471"/>
      <c r="CD859" s="471"/>
      <c r="CE859" s="471"/>
      <c r="CF859" s="471"/>
      <c r="CG859" s="471"/>
      <c r="CH859" s="471"/>
      <c r="CI859" s="471"/>
      <c r="CJ859" s="471"/>
    </row>
    <row r="860" spans="3:88" s="15" customFormat="1" x14ac:dyDescent="0.2">
      <c r="C860" s="481"/>
      <c r="H860" s="481"/>
      <c r="O860" s="506"/>
      <c r="Q860" s="481"/>
      <c r="BK860" s="16"/>
      <c r="BL860" s="16"/>
      <c r="BM860" s="16"/>
      <c r="BN860" s="17"/>
      <c r="BO860" s="17"/>
      <c r="BP860" s="17"/>
      <c r="CC860" s="471"/>
      <c r="CD860" s="471"/>
      <c r="CE860" s="471"/>
      <c r="CF860" s="471"/>
      <c r="CG860" s="471"/>
      <c r="CH860" s="471"/>
      <c r="CI860" s="471"/>
      <c r="CJ860" s="471"/>
    </row>
    <row r="861" spans="3:88" s="15" customFormat="1" x14ac:dyDescent="0.2">
      <c r="C861" s="481"/>
      <c r="H861" s="481"/>
      <c r="O861" s="506"/>
      <c r="Q861" s="481"/>
      <c r="BK861" s="16"/>
      <c r="BL861" s="16"/>
      <c r="BM861" s="16"/>
      <c r="BN861" s="17"/>
      <c r="BO861" s="17"/>
      <c r="BP861" s="17"/>
      <c r="CC861" s="471"/>
      <c r="CD861" s="471"/>
      <c r="CE861" s="471"/>
      <c r="CF861" s="471"/>
      <c r="CG861" s="471"/>
      <c r="CH861" s="471"/>
      <c r="CI861" s="471"/>
      <c r="CJ861" s="471"/>
    </row>
    <row r="862" spans="3:88" s="15" customFormat="1" x14ac:dyDescent="0.2">
      <c r="C862" s="481"/>
      <c r="H862" s="481"/>
      <c r="O862" s="506"/>
      <c r="Q862" s="481"/>
      <c r="BK862" s="16"/>
      <c r="BL862" s="16"/>
      <c r="BM862" s="16"/>
      <c r="BN862" s="17"/>
      <c r="BO862" s="17"/>
      <c r="BP862" s="17"/>
      <c r="CC862" s="471"/>
      <c r="CD862" s="471"/>
      <c r="CE862" s="471"/>
      <c r="CF862" s="471"/>
      <c r="CG862" s="471"/>
      <c r="CH862" s="471"/>
      <c r="CI862" s="471"/>
      <c r="CJ862" s="471"/>
    </row>
    <row r="863" spans="3:88" s="15" customFormat="1" x14ac:dyDescent="0.2">
      <c r="C863" s="481"/>
      <c r="H863" s="481"/>
      <c r="O863" s="506"/>
      <c r="Q863" s="481"/>
      <c r="BK863" s="16"/>
      <c r="BL863" s="16"/>
      <c r="BM863" s="16"/>
      <c r="BN863" s="17"/>
      <c r="BO863" s="17"/>
      <c r="BP863" s="17"/>
      <c r="CC863" s="471"/>
      <c r="CD863" s="471"/>
      <c r="CE863" s="471"/>
      <c r="CF863" s="471"/>
      <c r="CG863" s="471"/>
      <c r="CH863" s="471"/>
      <c r="CI863" s="471"/>
      <c r="CJ863" s="471"/>
    </row>
    <row r="864" spans="3:88" s="15" customFormat="1" x14ac:dyDescent="0.2">
      <c r="C864" s="481"/>
      <c r="H864" s="481"/>
      <c r="O864" s="506"/>
      <c r="Q864" s="481"/>
      <c r="BK864" s="16"/>
      <c r="BL864" s="16"/>
      <c r="BM864" s="16"/>
      <c r="BN864" s="17"/>
      <c r="BO864" s="17"/>
      <c r="BP864" s="17"/>
      <c r="CC864" s="471"/>
      <c r="CD864" s="471"/>
      <c r="CE864" s="471"/>
      <c r="CF864" s="471"/>
      <c r="CG864" s="471"/>
      <c r="CH864" s="471"/>
      <c r="CI864" s="471"/>
      <c r="CJ864" s="471"/>
    </row>
    <row r="865" spans="3:88" s="15" customFormat="1" x14ac:dyDescent="0.2">
      <c r="C865" s="481"/>
      <c r="H865" s="481"/>
      <c r="O865" s="506"/>
      <c r="Q865" s="481"/>
      <c r="BK865" s="16"/>
      <c r="BL865" s="16"/>
      <c r="BM865" s="16"/>
      <c r="BN865" s="17"/>
      <c r="BO865" s="17"/>
      <c r="BP865" s="17"/>
      <c r="CC865" s="471"/>
      <c r="CD865" s="471"/>
      <c r="CE865" s="471"/>
      <c r="CF865" s="471"/>
      <c r="CG865" s="471"/>
      <c r="CH865" s="471"/>
      <c r="CI865" s="471"/>
      <c r="CJ865" s="471"/>
    </row>
    <row r="866" spans="3:88" s="15" customFormat="1" x14ac:dyDescent="0.2">
      <c r="C866" s="481"/>
      <c r="H866" s="481"/>
      <c r="O866" s="506"/>
      <c r="Q866" s="481"/>
      <c r="BK866" s="16"/>
      <c r="BL866" s="16"/>
      <c r="BM866" s="16"/>
      <c r="BN866" s="17"/>
      <c r="BO866" s="17"/>
      <c r="BP866" s="17"/>
      <c r="CC866" s="471"/>
      <c r="CD866" s="471"/>
      <c r="CE866" s="471"/>
      <c r="CF866" s="471"/>
      <c r="CG866" s="471"/>
      <c r="CH866" s="471"/>
      <c r="CI866" s="471"/>
      <c r="CJ866" s="471"/>
    </row>
    <row r="867" spans="3:88" s="15" customFormat="1" x14ac:dyDescent="0.2">
      <c r="C867" s="481"/>
      <c r="H867" s="481"/>
      <c r="O867" s="506"/>
      <c r="Q867" s="481"/>
      <c r="BK867" s="16"/>
      <c r="BL867" s="16"/>
      <c r="BM867" s="16"/>
      <c r="BN867" s="17"/>
      <c r="BO867" s="17"/>
      <c r="BP867" s="17"/>
      <c r="CC867" s="471"/>
      <c r="CD867" s="471"/>
      <c r="CE867" s="471"/>
      <c r="CF867" s="471"/>
      <c r="CG867" s="471"/>
      <c r="CH867" s="471"/>
      <c r="CI867" s="471"/>
      <c r="CJ867" s="471"/>
    </row>
    <row r="868" spans="3:88" s="15" customFormat="1" x14ac:dyDescent="0.2">
      <c r="C868" s="481"/>
      <c r="H868" s="481"/>
      <c r="O868" s="506"/>
      <c r="Q868" s="481"/>
      <c r="BK868" s="16"/>
      <c r="BL868" s="16"/>
      <c r="BM868" s="16"/>
      <c r="BN868" s="17"/>
      <c r="BO868" s="17"/>
      <c r="BP868" s="17"/>
      <c r="CC868" s="471"/>
      <c r="CD868" s="471"/>
      <c r="CE868" s="471"/>
      <c r="CF868" s="471"/>
      <c r="CG868" s="471"/>
      <c r="CH868" s="471"/>
      <c r="CI868" s="471"/>
      <c r="CJ868" s="471"/>
    </row>
    <row r="869" spans="3:88" s="15" customFormat="1" x14ac:dyDescent="0.2">
      <c r="C869" s="481"/>
      <c r="H869" s="481"/>
      <c r="O869" s="506"/>
      <c r="Q869" s="481"/>
      <c r="BK869" s="16"/>
      <c r="BL869" s="16"/>
      <c r="BM869" s="16"/>
      <c r="BN869" s="17"/>
      <c r="BO869" s="17"/>
      <c r="BP869" s="17"/>
      <c r="CC869" s="471"/>
      <c r="CD869" s="471"/>
      <c r="CE869" s="471"/>
      <c r="CF869" s="471"/>
      <c r="CG869" s="471"/>
      <c r="CH869" s="471"/>
      <c r="CI869" s="471"/>
      <c r="CJ869" s="471"/>
    </row>
    <row r="870" spans="3:88" s="15" customFormat="1" x14ac:dyDescent="0.2">
      <c r="C870" s="481"/>
      <c r="H870" s="481"/>
      <c r="O870" s="506"/>
      <c r="Q870" s="481"/>
      <c r="BK870" s="16"/>
      <c r="BL870" s="16"/>
      <c r="BM870" s="16"/>
      <c r="BN870" s="17"/>
      <c r="BO870" s="17"/>
      <c r="BP870" s="17"/>
      <c r="CC870" s="471"/>
      <c r="CD870" s="471"/>
      <c r="CE870" s="471"/>
      <c r="CF870" s="471"/>
      <c r="CG870" s="471"/>
      <c r="CH870" s="471"/>
      <c r="CI870" s="471"/>
      <c r="CJ870" s="471"/>
    </row>
    <row r="871" spans="3:88" s="15" customFormat="1" x14ac:dyDescent="0.2">
      <c r="C871" s="481"/>
      <c r="H871" s="481"/>
      <c r="O871" s="506"/>
      <c r="Q871" s="481"/>
      <c r="BK871" s="16"/>
      <c r="BL871" s="16"/>
      <c r="BM871" s="16"/>
      <c r="BN871" s="17"/>
      <c r="BO871" s="17"/>
      <c r="BP871" s="17"/>
      <c r="CC871" s="471"/>
      <c r="CD871" s="471"/>
      <c r="CE871" s="471"/>
      <c r="CF871" s="471"/>
      <c r="CG871" s="471"/>
      <c r="CH871" s="471"/>
      <c r="CI871" s="471"/>
      <c r="CJ871" s="471"/>
    </row>
    <row r="872" spans="3:88" s="15" customFormat="1" x14ac:dyDescent="0.2">
      <c r="C872" s="481"/>
      <c r="H872" s="481"/>
      <c r="O872" s="506"/>
      <c r="Q872" s="481"/>
      <c r="BK872" s="16"/>
      <c r="BL872" s="16"/>
      <c r="BM872" s="16"/>
      <c r="BN872" s="17"/>
      <c r="BO872" s="17"/>
      <c r="BP872" s="17"/>
      <c r="CC872" s="471"/>
      <c r="CD872" s="471"/>
      <c r="CE872" s="471"/>
      <c r="CF872" s="471"/>
      <c r="CG872" s="471"/>
      <c r="CH872" s="471"/>
      <c r="CI872" s="471"/>
      <c r="CJ872" s="471"/>
    </row>
    <row r="873" spans="3:88" s="15" customFormat="1" x14ac:dyDescent="0.2">
      <c r="C873" s="481"/>
      <c r="H873" s="481"/>
      <c r="O873" s="506"/>
      <c r="Q873" s="481"/>
      <c r="BK873" s="16"/>
      <c r="BL873" s="16"/>
      <c r="BM873" s="16"/>
      <c r="BN873" s="17"/>
      <c r="BO873" s="17"/>
      <c r="BP873" s="17"/>
      <c r="CC873" s="471"/>
      <c r="CD873" s="471"/>
      <c r="CE873" s="471"/>
      <c r="CF873" s="471"/>
      <c r="CG873" s="471"/>
      <c r="CH873" s="471"/>
      <c r="CI873" s="471"/>
      <c r="CJ873" s="471"/>
    </row>
    <row r="874" spans="3:88" s="15" customFormat="1" x14ac:dyDescent="0.2">
      <c r="C874" s="481"/>
      <c r="H874" s="481"/>
      <c r="O874" s="506"/>
      <c r="Q874" s="481"/>
      <c r="BK874" s="16"/>
      <c r="BL874" s="16"/>
      <c r="BM874" s="16"/>
      <c r="BN874" s="17"/>
      <c r="BO874" s="17"/>
      <c r="BP874" s="17"/>
      <c r="CC874" s="471"/>
      <c r="CD874" s="471"/>
      <c r="CE874" s="471"/>
      <c r="CF874" s="471"/>
      <c r="CG874" s="471"/>
      <c r="CH874" s="471"/>
      <c r="CI874" s="471"/>
      <c r="CJ874" s="471"/>
    </row>
    <row r="875" spans="3:88" s="15" customFormat="1" x14ac:dyDescent="0.2">
      <c r="C875" s="481"/>
      <c r="H875" s="481"/>
      <c r="O875" s="506"/>
      <c r="Q875" s="481"/>
      <c r="BK875" s="16"/>
      <c r="BL875" s="16"/>
      <c r="BM875" s="16"/>
      <c r="BN875" s="17"/>
      <c r="BO875" s="17"/>
      <c r="BP875" s="17"/>
      <c r="CC875" s="471"/>
      <c r="CD875" s="471"/>
      <c r="CE875" s="471"/>
      <c r="CF875" s="471"/>
      <c r="CG875" s="471"/>
      <c r="CH875" s="471"/>
      <c r="CI875" s="471"/>
      <c r="CJ875" s="471"/>
    </row>
    <row r="876" spans="3:88" s="15" customFormat="1" x14ac:dyDescent="0.2">
      <c r="C876" s="481"/>
      <c r="H876" s="481"/>
      <c r="O876" s="506"/>
      <c r="Q876" s="481"/>
      <c r="BK876" s="16"/>
      <c r="BL876" s="16"/>
      <c r="BM876" s="16"/>
      <c r="BN876" s="17"/>
      <c r="BO876" s="17"/>
      <c r="BP876" s="17"/>
      <c r="CC876" s="471"/>
      <c r="CD876" s="471"/>
      <c r="CE876" s="471"/>
      <c r="CF876" s="471"/>
      <c r="CG876" s="471"/>
      <c r="CH876" s="471"/>
      <c r="CI876" s="471"/>
      <c r="CJ876" s="471"/>
    </row>
    <row r="877" spans="3:88" s="15" customFormat="1" x14ac:dyDescent="0.2">
      <c r="C877" s="481"/>
      <c r="H877" s="481"/>
      <c r="O877" s="506"/>
      <c r="Q877" s="481"/>
      <c r="BK877" s="16"/>
      <c r="BL877" s="16"/>
      <c r="BM877" s="16"/>
      <c r="BN877" s="17"/>
      <c r="BO877" s="17"/>
      <c r="BP877" s="17"/>
      <c r="CC877" s="471"/>
      <c r="CD877" s="471"/>
      <c r="CE877" s="471"/>
      <c r="CF877" s="471"/>
      <c r="CG877" s="471"/>
      <c r="CH877" s="471"/>
      <c r="CI877" s="471"/>
      <c r="CJ877" s="471"/>
    </row>
    <row r="878" spans="3:88" s="15" customFormat="1" x14ac:dyDescent="0.2">
      <c r="C878" s="481"/>
      <c r="H878" s="481"/>
      <c r="O878" s="506"/>
      <c r="Q878" s="481"/>
      <c r="BK878" s="16"/>
      <c r="BL878" s="16"/>
      <c r="BM878" s="16"/>
      <c r="BN878" s="17"/>
      <c r="BO878" s="17"/>
      <c r="BP878" s="17"/>
      <c r="CC878" s="471"/>
      <c r="CD878" s="471"/>
      <c r="CE878" s="471"/>
      <c r="CF878" s="471"/>
      <c r="CG878" s="471"/>
      <c r="CH878" s="471"/>
      <c r="CI878" s="471"/>
      <c r="CJ878" s="471"/>
    </row>
    <row r="879" spans="3:88" s="15" customFormat="1" x14ac:dyDescent="0.2">
      <c r="C879" s="481"/>
      <c r="H879" s="481"/>
      <c r="O879" s="506"/>
      <c r="Q879" s="481"/>
      <c r="BK879" s="16"/>
      <c r="BL879" s="16"/>
      <c r="BM879" s="16"/>
      <c r="BN879" s="17"/>
      <c r="BO879" s="17"/>
      <c r="BP879" s="17"/>
      <c r="CC879" s="471"/>
      <c r="CD879" s="471"/>
      <c r="CE879" s="471"/>
      <c r="CF879" s="471"/>
      <c r="CG879" s="471"/>
      <c r="CH879" s="471"/>
      <c r="CI879" s="471"/>
      <c r="CJ879" s="471"/>
    </row>
    <row r="880" spans="3:88" s="15" customFormat="1" x14ac:dyDescent="0.2">
      <c r="C880" s="481"/>
      <c r="H880" s="481"/>
      <c r="O880" s="506"/>
      <c r="Q880" s="481"/>
      <c r="BK880" s="16"/>
      <c r="BL880" s="16"/>
      <c r="BM880" s="16"/>
      <c r="BN880" s="17"/>
      <c r="BO880" s="17"/>
      <c r="BP880" s="17"/>
      <c r="CC880" s="471"/>
      <c r="CD880" s="471"/>
      <c r="CE880" s="471"/>
      <c r="CF880" s="471"/>
      <c r="CG880" s="471"/>
      <c r="CH880" s="471"/>
      <c r="CI880" s="471"/>
      <c r="CJ880" s="471"/>
    </row>
    <row r="881" spans="3:88" s="15" customFormat="1" x14ac:dyDescent="0.2">
      <c r="C881" s="481"/>
      <c r="H881" s="481"/>
      <c r="O881" s="506"/>
      <c r="Q881" s="481"/>
      <c r="BK881" s="16"/>
      <c r="BL881" s="16"/>
      <c r="BM881" s="16"/>
      <c r="BN881" s="17"/>
      <c r="BO881" s="17"/>
      <c r="BP881" s="17"/>
      <c r="CC881" s="471"/>
      <c r="CD881" s="471"/>
      <c r="CE881" s="471"/>
      <c r="CF881" s="471"/>
      <c r="CG881" s="471"/>
      <c r="CH881" s="471"/>
      <c r="CI881" s="471"/>
      <c r="CJ881" s="471"/>
    </row>
    <row r="882" spans="3:88" s="15" customFormat="1" x14ac:dyDescent="0.2">
      <c r="C882" s="481"/>
      <c r="H882" s="481"/>
      <c r="O882" s="506"/>
      <c r="Q882" s="481"/>
      <c r="BK882" s="16"/>
      <c r="BL882" s="16"/>
      <c r="BM882" s="16"/>
      <c r="BN882" s="17"/>
      <c r="BO882" s="17"/>
      <c r="BP882" s="17"/>
      <c r="CC882" s="471"/>
      <c r="CD882" s="471"/>
      <c r="CE882" s="471"/>
      <c r="CF882" s="471"/>
      <c r="CG882" s="471"/>
      <c r="CH882" s="471"/>
      <c r="CI882" s="471"/>
      <c r="CJ882" s="471"/>
    </row>
    <row r="883" spans="3:88" s="15" customFormat="1" x14ac:dyDescent="0.2">
      <c r="C883" s="481"/>
      <c r="H883" s="481"/>
      <c r="O883" s="506"/>
      <c r="Q883" s="481"/>
      <c r="BK883" s="16"/>
      <c r="BL883" s="16"/>
      <c r="BM883" s="16"/>
      <c r="BN883" s="17"/>
      <c r="BO883" s="17"/>
      <c r="BP883" s="17"/>
      <c r="CC883" s="471"/>
      <c r="CD883" s="471"/>
      <c r="CE883" s="471"/>
      <c r="CF883" s="471"/>
      <c r="CG883" s="471"/>
      <c r="CH883" s="471"/>
      <c r="CI883" s="471"/>
      <c r="CJ883" s="471"/>
    </row>
    <row r="884" spans="3:88" s="15" customFormat="1" x14ac:dyDescent="0.2">
      <c r="C884" s="481"/>
      <c r="H884" s="481"/>
      <c r="O884" s="506"/>
      <c r="Q884" s="481"/>
      <c r="BK884" s="16"/>
      <c r="BL884" s="16"/>
      <c r="BM884" s="16"/>
      <c r="BN884" s="17"/>
      <c r="BO884" s="17"/>
      <c r="BP884" s="17"/>
      <c r="CC884" s="471"/>
      <c r="CD884" s="471"/>
      <c r="CE884" s="471"/>
      <c r="CF884" s="471"/>
      <c r="CG884" s="471"/>
      <c r="CH884" s="471"/>
      <c r="CI884" s="471"/>
      <c r="CJ884" s="471"/>
    </row>
    <row r="885" spans="3:88" s="15" customFormat="1" x14ac:dyDescent="0.2">
      <c r="C885" s="481"/>
      <c r="H885" s="481"/>
      <c r="O885" s="506"/>
      <c r="Q885" s="481"/>
      <c r="BK885" s="16"/>
      <c r="BL885" s="16"/>
      <c r="BM885" s="16"/>
      <c r="BN885" s="17"/>
      <c r="BO885" s="17"/>
      <c r="BP885" s="17"/>
      <c r="CC885" s="471"/>
      <c r="CD885" s="471"/>
      <c r="CE885" s="471"/>
      <c r="CF885" s="471"/>
      <c r="CG885" s="471"/>
      <c r="CH885" s="471"/>
      <c r="CI885" s="471"/>
      <c r="CJ885" s="471"/>
    </row>
    <row r="886" spans="3:88" s="15" customFormat="1" x14ac:dyDescent="0.2">
      <c r="C886" s="481"/>
      <c r="H886" s="481"/>
      <c r="O886" s="506"/>
      <c r="Q886" s="481"/>
      <c r="BK886" s="16"/>
      <c r="BL886" s="16"/>
      <c r="BM886" s="16"/>
      <c r="BN886" s="17"/>
      <c r="BO886" s="17"/>
      <c r="BP886" s="17"/>
      <c r="CC886" s="471"/>
      <c r="CD886" s="471"/>
      <c r="CE886" s="471"/>
      <c r="CF886" s="471"/>
      <c r="CG886" s="471"/>
      <c r="CH886" s="471"/>
      <c r="CI886" s="471"/>
      <c r="CJ886" s="471"/>
    </row>
    <row r="887" spans="3:88" s="15" customFormat="1" x14ac:dyDescent="0.2">
      <c r="C887" s="481"/>
      <c r="H887" s="481"/>
      <c r="O887" s="506"/>
      <c r="Q887" s="481"/>
      <c r="BK887" s="16"/>
      <c r="BL887" s="16"/>
      <c r="BM887" s="16"/>
      <c r="BN887" s="17"/>
      <c r="BO887" s="17"/>
      <c r="BP887" s="17"/>
      <c r="CC887" s="471"/>
      <c r="CD887" s="471"/>
      <c r="CE887" s="471"/>
      <c r="CF887" s="471"/>
      <c r="CG887" s="471"/>
      <c r="CH887" s="471"/>
      <c r="CI887" s="471"/>
      <c r="CJ887" s="471"/>
    </row>
    <row r="888" spans="3:88" s="15" customFormat="1" x14ac:dyDescent="0.2">
      <c r="C888" s="481"/>
      <c r="H888" s="481"/>
      <c r="O888" s="506"/>
      <c r="Q888" s="481"/>
      <c r="BK888" s="16"/>
      <c r="BL888" s="16"/>
      <c r="BM888" s="16"/>
      <c r="BN888" s="17"/>
      <c r="BO888" s="17"/>
      <c r="BP888" s="17"/>
      <c r="CC888" s="471"/>
      <c r="CD888" s="471"/>
      <c r="CE888" s="471"/>
      <c r="CF888" s="471"/>
      <c r="CG888" s="471"/>
      <c r="CH888" s="471"/>
      <c r="CI888" s="471"/>
      <c r="CJ888" s="471"/>
    </row>
    <row r="889" spans="3:88" s="15" customFormat="1" x14ac:dyDescent="0.2">
      <c r="C889" s="481"/>
      <c r="H889" s="481"/>
      <c r="O889" s="506"/>
      <c r="Q889" s="481"/>
      <c r="BK889" s="16"/>
      <c r="BL889" s="16"/>
      <c r="BM889" s="16"/>
      <c r="BN889" s="17"/>
      <c r="BO889" s="17"/>
      <c r="BP889" s="17"/>
      <c r="CC889" s="471"/>
      <c r="CD889" s="471"/>
      <c r="CE889" s="471"/>
      <c r="CF889" s="471"/>
      <c r="CG889" s="471"/>
      <c r="CH889" s="471"/>
      <c r="CI889" s="471"/>
      <c r="CJ889" s="471"/>
    </row>
    <row r="890" spans="3:88" s="15" customFormat="1" x14ac:dyDescent="0.2">
      <c r="C890" s="481"/>
      <c r="H890" s="481"/>
      <c r="O890" s="506"/>
      <c r="Q890" s="481"/>
      <c r="BK890" s="16"/>
      <c r="BL890" s="16"/>
      <c r="BM890" s="16"/>
      <c r="BN890" s="17"/>
      <c r="BO890" s="17"/>
      <c r="BP890" s="17"/>
      <c r="CC890" s="471"/>
      <c r="CD890" s="471"/>
      <c r="CE890" s="471"/>
      <c r="CF890" s="471"/>
      <c r="CG890" s="471"/>
      <c r="CH890" s="471"/>
      <c r="CI890" s="471"/>
      <c r="CJ890" s="471"/>
    </row>
    <row r="891" spans="3:88" s="15" customFormat="1" x14ac:dyDescent="0.2">
      <c r="C891" s="481"/>
      <c r="H891" s="481"/>
      <c r="O891" s="506"/>
      <c r="Q891" s="481"/>
      <c r="BK891" s="16"/>
      <c r="BL891" s="16"/>
      <c r="BM891" s="16"/>
      <c r="BN891" s="17"/>
      <c r="BO891" s="17"/>
      <c r="BP891" s="17"/>
      <c r="CC891" s="471"/>
      <c r="CD891" s="471"/>
      <c r="CE891" s="471"/>
      <c r="CF891" s="471"/>
      <c r="CG891" s="471"/>
      <c r="CH891" s="471"/>
      <c r="CI891" s="471"/>
      <c r="CJ891" s="471"/>
    </row>
    <row r="892" spans="3:88" s="15" customFormat="1" x14ac:dyDescent="0.2">
      <c r="C892" s="481"/>
      <c r="H892" s="481"/>
      <c r="O892" s="506"/>
      <c r="Q892" s="481"/>
      <c r="BK892" s="16"/>
      <c r="BL892" s="16"/>
      <c r="BM892" s="16"/>
      <c r="BN892" s="17"/>
      <c r="BO892" s="17"/>
      <c r="BP892" s="17"/>
      <c r="CC892" s="471"/>
      <c r="CD892" s="471"/>
      <c r="CE892" s="471"/>
      <c r="CF892" s="471"/>
      <c r="CG892" s="471"/>
      <c r="CH892" s="471"/>
      <c r="CI892" s="471"/>
      <c r="CJ892" s="471"/>
    </row>
    <row r="893" spans="3:88" s="15" customFormat="1" x14ac:dyDescent="0.2">
      <c r="C893" s="481"/>
      <c r="H893" s="481"/>
      <c r="O893" s="506"/>
      <c r="Q893" s="481"/>
      <c r="BK893" s="16"/>
      <c r="BL893" s="16"/>
      <c r="BM893" s="16"/>
      <c r="BN893" s="17"/>
      <c r="BO893" s="17"/>
      <c r="BP893" s="17"/>
      <c r="CC893" s="471"/>
      <c r="CD893" s="471"/>
      <c r="CE893" s="471"/>
      <c r="CF893" s="471"/>
      <c r="CG893" s="471"/>
      <c r="CH893" s="471"/>
      <c r="CI893" s="471"/>
      <c r="CJ893" s="471"/>
    </row>
    <row r="894" spans="3:88" s="15" customFormat="1" x14ac:dyDescent="0.2">
      <c r="C894" s="481"/>
      <c r="H894" s="481"/>
      <c r="O894" s="506"/>
      <c r="Q894" s="481"/>
      <c r="BK894" s="16"/>
      <c r="BL894" s="16"/>
      <c r="BM894" s="16"/>
      <c r="BN894" s="17"/>
      <c r="BO894" s="17"/>
      <c r="BP894" s="17"/>
      <c r="CC894" s="471"/>
      <c r="CD894" s="471"/>
      <c r="CE894" s="471"/>
      <c r="CF894" s="471"/>
      <c r="CG894" s="471"/>
      <c r="CH894" s="471"/>
      <c r="CI894" s="471"/>
      <c r="CJ894" s="471"/>
    </row>
    <row r="895" spans="3:88" s="15" customFormat="1" x14ac:dyDescent="0.2">
      <c r="C895" s="481"/>
      <c r="H895" s="481"/>
      <c r="O895" s="506"/>
      <c r="Q895" s="481"/>
      <c r="BK895" s="16"/>
      <c r="BL895" s="16"/>
      <c r="BM895" s="16"/>
      <c r="BN895" s="17"/>
      <c r="BO895" s="17"/>
      <c r="BP895" s="17"/>
      <c r="CC895" s="471"/>
      <c r="CD895" s="471"/>
      <c r="CE895" s="471"/>
      <c r="CF895" s="471"/>
      <c r="CG895" s="471"/>
      <c r="CH895" s="471"/>
      <c r="CI895" s="471"/>
      <c r="CJ895" s="471"/>
    </row>
    <row r="896" spans="3:88" s="15" customFormat="1" x14ac:dyDescent="0.2">
      <c r="C896" s="481"/>
      <c r="H896" s="481"/>
      <c r="O896" s="506"/>
      <c r="Q896" s="481"/>
      <c r="BK896" s="16"/>
      <c r="BL896" s="16"/>
      <c r="BM896" s="16"/>
      <c r="BN896" s="17"/>
      <c r="BO896" s="17"/>
      <c r="BP896" s="17"/>
      <c r="CC896" s="471"/>
      <c r="CD896" s="471"/>
      <c r="CE896" s="471"/>
      <c r="CF896" s="471"/>
      <c r="CG896" s="471"/>
      <c r="CH896" s="471"/>
      <c r="CI896" s="471"/>
      <c r="CJ896" s="471"/>
    </row>
    <row r="897" spans="3:88" s="15" customFormat="1" x14ac:dyDescent="0.2">
      <c r="C897" s="481"/>
      <c r="H897" s="481"/>
      <c r="O897" s="506"/>
      <c r="Q897" s="481"/>
      <c r="BK897" s="16"/>
      <c r="BL897" s="16"/>
      <c r="BM897" s="16"/>
      <c r="BN897" s="17"/>
      <c r="BO897" s="17"/>
      <c r="BP897" s="17"/>
      <c r="CC897" s="471"/>
      <c r="CD897" s="471"/>
      <c r="CE897" s="471"/>
      <c r="CF897" s="471"/>
      <c r="CG897" s="471"/>
      <c r="CH897" s="471"/>
      <c r="CI897" s="471"/>
      <c r="CJ897" s="471"/>
    </row>
    <row r="898" spans="3:88" s="15" customFormat="1" x14ac:dyDescent="0.2">
      <c r="C898" s="481"/>
      <c r="H898" s="481"/>
      <c r="O898" s="506"/>
      <c r="Q898" s="481"/>
      <c r="BK898" s="16"/>
      <c r="BL898" s="16"/>
      <c r="BM898" s="16"/>
      <c r="BN898" s="17"/>
      <c r="BO898" s="17"/>
      <c r="BP898" s="17"/>
      <c r="CC898" s="471"/>
      <c r="CD898" s="471"/>
      <c r="CE898" s="471"/>
      <c r="CF898" s="471"/>
      <c r="CG898" s="471"/>
      <c r="CH898" s="471"/>
      <c r="CI898" s="471"/>
      <c r="CJ898" s="471"/>
    </row>
    <row r="899" spans="3:88" s="15" customFormat="1" x14ac:dyDescent="0.2">
      <c r="C899" s="481"/>
      <c r="H899" s="481"/>
      <c r="O899" s="506"/>
      <c r="Q899" s="481"/>
      <c r="BK899" s="16"/>
      <c r="BL899" s="16"/>
      <c r="BM899" s="16"/>
      <c r="BN899" s="17"/>
      <c r="BO899" s="17"/>
      <c r="BP899" s="17"/>
      <c r="CC899" s="471"/>
      <c r="CD899" s="471"/>
      <c r="CE899" s="471"/>
      <c r="CF899" s="471"/>
      <c r="CG899" s="471"/>
      <c r="CH899" s="471"/>
      <c r="CI899" s="471"/>
      <c r="CJ899" s="471"/>
    </row>
    <row r="900" spans="3:88" s="15" customFormat="1" x14ac:dyDescent="0.2">
      <c r="C900" s="481"/>
      <c r="H900" s="481"/>
      <c r="O900" s="506"/>
      <c r="Q900" s="481"/>
      <c r="BK900" s="16"/>
      <c r="BL900" s="16"/>
      <c r="BM900" s="16"/>
      <c r="BN900" s="17"/>
      <c r="BO900" s="17"/>
      <c r="BP900" s="17"/>
      <c r="CC900" s="471"/>
      <c r="CD900" s="471"/>
      <c r="CE900" s="471"/>
      <c r="CF900" s="471"/>
      <c r="CG900" s="471"/>
      <c r="CH900" s="471"/>
      <c r="CI900" s="471"/>
      <c r="CJ900" s="471"/>
    </row>
    <row r="901" spans="3:88" s="15" customFormat="1" x14ac:dyDescent="0.2">
      <c r="C901" s="481"/>
      <c r="H901" s="481"/>
      <c r="O901" s="506"/>
      <c r="Q901" s="481"/>
      <c r="BK901" s="16"/>
      <c r="BL901" s="16"/>
      <c r="BM901" s="16"/>
      <c r="BN901" s="17"/>
      <c r="BO901" s="17"/>
      <c r="BP901" s="17"/>
      <c r="CC901" s="471"/>
      <c r="CD901" s="471"/>
      <c r="CE901" s="471"/>
      <c r="CF901" s="471"/>
      <c r="CG901" s="471"/>
      <c r="CH901" s="471"/>
      <c r="CI901" s="471"/>
      <c r="CJ901" s="471"/>
    </row>
    <row r="902" spans="3:88" s="15" customFormat="1" x14ac:dyDescent="0.2">
      <c r="C902" s="481"/>
      <c r="H902" s="481"/>
      <c r="O902" s="506"/>
      <c r="Q902" s="481"/>
      <c r="BK902" s="16"/>
      <c r="BL902" s="16"/>
      <c r="BM902" s="16"/>
      <c r="BN902" s="17"/>
      <c r="BO902" s="17"/>
      <c r="BP902" s="17"/>
      <c r="CC902" s="471"/>
      <c r="CD902" s="471"/>
      <c r="CE902" s="471"/>
      <c r="CF902" s="471"/>
      <c r="CG902" s="471"/>
      <c r="CH902" s="471"/>
      <c r="CI902" s="471"/>
      <c r="CJ902" s="471"/>
    </row>
    <row r="903" spans="3:88" s="15" customFormat="1" x14ac:dyDescent="0.2">
      <c r="C903" s="481"/>
      <c r="H903" s="481"/>
      <c r="O903" s="506"/>
      <c r="Q903" s="481"/>
      <c r="BK903" s="16"/>
      <c r="BL903" s="16"/>
      <c r="BM903" s="16"/>
      <c r="BN903" s="17"/>
      <c r="BO903" s="17"/>
      <c r="BP903" s="17"/>
      <c r="CC903" s="471"/>
      <c r="CD903" s="471"/>
      <c r="CE903" s="471"/>
      <c r="CF903" s="471"/>
      <c r="CG903" s="471"/>
      <c r="CH903" s="471"/>
      <c r="CI903" s="471"/>
      <c r="CJ903" s="471"/>
    </row>
    <row r="904" spans="3:88" s="15" customFormat="1" x14ac:dyDescent="0.2">
      <c r="C904" s="481"/>
      <c r="H904" s="481"/>
      <c r="O904" s="506"/>
      <c r="Q904" s="481"/>
      <c r="BK904" s="16"/>
      <c r="BL904" s="16"/>
      <c r="BM904" s="16"/>
      <c r="BN904" s="17"/>
      <c r="BO904" s="17"/>
      <c r="BP904" s="17"/>
      <c r="CC904" s="471"/>
      <c r="CD904" s="471"/>
      <c r="CE904" s="471"/>
      <c r="CF904" s="471"/>
      <c r="CG904" s="471"/>
      <c r="CH904" s="471"/>
      <c r="CI904" s="471"/>
      <c r="CJ904" s="471"/>
    </row>
    <row r="905" spans="3:88" s="15" customFormat="1" x14ac:dyDescent="0.2">
      <c r="C905" s="481"/>
      <c r="H905" s="481"/>
      <c r="O905" s="506"/>
      <c r="Q905" s="481"/>
      <c r="BK905" s="16"/>
      <c r="BL905" s="16"/>
      <c r="BM905" s="16"/>
      <c r="BN905" s="17"/>
      <c r="BO905" s="17"/>
      <c r="BP905" s="17"/>
      <c r="CC905" s="471"/>
      <c r="CD905" s="471"/>
      <c r="CE905" s="471"/>
      <c r="CF905" s="471"/>
      <c r="CG905" s="471"/>
      <c r="CH905" s="471"/>
      <c r="CI905" s="471"/>
      <c r="CJ905" s="471"/>
    </row>
    <row r="906" spans="3:88" s="15" customFormat="1" x14ac:dyDescent="0.2">
      <c r="C906" s="481"/>
      <c r="H906" s="481"/>
      <c r="O906" s="506"/>
      <c r="Q906" s="481"/>
      <c r="BK906" s="16"/>
      <c r="BL906" s="16"/>
      <c r="BM906" s="16"/>
      <c r="BN906" s="17"/>
      <c r="BO906" s="17"/>
      <c r="BP906" s="17"/>
      <c r="CC906" s="471"/>
      <c r="CD906" s="471"/>
      <c r="CE906" s="471"/>
      <c r="CF906" s="471"/>
      <c r="CG906" s="471"/>
      <c r="CH906" s="471"/>
      <c r="CI906" s="471"/>
      <c r="CJ906" s="471"/>
    </row>
    <row r="907" spans="3:88" s="15" customFormat="1" x14ac:dyDescent="0.2">
      <c r="C907" s="481"/>
      <c r="H907" s="481"/>
      <c r="O907" s="506"/>
      <c r="Q907" s="481"/>
      <c r="BK907" s="16"/>
      <c r="BL907" s="16"/>
      <c r="BM907" s="16"/>
      <c r="BN907" s="17"/>
      <c r="BO907" s="17"/>
      <c r="BP907" s="17"/>
      <c r="CC907" s="471"/>
      <c r="CD907" s="471"/>
      <c r="CE907" s="471"/>
      <c r="CF907" s="471"/>
      <c r="CG907" s="471"/>
      <c r="CH907" s="471"/>
      <c r="CI907" s="471"/>
      <c r="CJ907" s="471"/>
    </row>
    <row r="908" spans="3:88" s="15" customFormat="1" x14ac:dyDescent="0.2">
      <c r="C908" s="481"/>
      <c r="H908" s="481"/>
      <c r="O908" s="506"/>
      <c r="Q908" s="481"/>
      <c r="BK908" s="16"/>
      <c r="BL908" s="16"/>
      <c r="BM908" s="16"/>
      <c r="BN908" s="17"/>
      <c r="BO908" s="17"/>
      <c r="BP908" s="17"/>
      <c r="CC908" s="471"/>
      <c r="CD908" s="471"/>
      <c r="CE908" s="471"/>
      <c r="CF908" s="471"/>
      <c r="CG908" s="471"/>
      <c r="CH908" s="471"/>
      <c r="CI908" s="471"/>
      <c r="CJ908" s="471"/>
    </row>
    <row r="909" spans="3:88" s="15" customFormat="1" x14ac:dyDescent="0.2">
      <c r="C909" s="481"/>
      <c r="H909" s="481"/>
      <c r="O909" s="506"/>
      <c r="Q909" s="481"/>
      <c r="BK909" s="16"/>
      <c r="BL909" s="16"/>
      <c r="BM909" s="16"/>
      <c r="BN909" s="17"/>
      <c r="BO909" s="17"/>
      <c r="BP909" s="17"/>
      <c r="CC909" s="471"/>
      <c r="CD909" s="471"/>
      <c r="CE909" s="471"/>
      <c r="CF909" s="471"/>
      <c r="CG909" s="471"/>
      <c r="CH909" s="471"/>
      <c r="CI909" s="471"/>
      <c r="CJ909" s="471"/>
    </row>
    <row r="910" spans="3:88" s="15" customFormat="1" x14ac:dyDescent="0.2">
      <c r="C910" s="481"/>
      <c r="H910" s="481"/>
      <c r="O910" s="506"/>
      <c r="Q910" s="481"/>
      <c r="BK910" s="16"/>
      <c r="BL910" s="16"/>
      <c r="BM910" s="16"/>
      <c r="BN910" s="17"/>
      <c r="BO910" s="17"/>
      <c r="BP910" s="17"/>
      <c r="CC910" s="471"/>
      <c r="CD910" s="471"/>
      <c r="CE910" s="471"/>
      <c r="CF910" s="471"/>
      <c r="CG910" s="471"/>
      <c r="CH910" s="471"/>
      <c r="CI910" s="471"/>
      <c r="CJ910" s="471"/>
    </row>
    <row r="911" spans="3:88" s="15" customFormat="1" x14ac:dyDescent="0.2">
      <c r="C911" s="481"/>
      <c r="H911" s="481"/>
      <c r="O911" s="506"/>
      <c r="Q911" s="481"/>
      <c r="BK911" s="16"/>
      <c r="BL911" s="16"/>
      <c r="BM911" s="16"/>
      <c r="BN911" s="17"/>
      <c r="BO911" s="17"/>
      <c r="BP911" s="17"/>
      <c r="CC911" s="471"/>
      <c r="CD911" s="471"/>
      <c r="CE911" s="471"/>
      <c r="CF911" s="471"/>
      <c r="CG911" s="471"/>
      <c r="CH911" s="471"/>
      <c r="CI911" s="471"/>
      <c r="CJ911" s="471"/>
    </row>
    <row r="912" spans="3:88" s="15" customFormat="1" x14ac:dyDescent="0.2">
      <c r="C912" s="481"/>
      <c r="H912" s="481"/>
      <c r="O912" s="506"/>
      <c r="Q912" s="481"/>
      <c r="BK912" s="16"/>
      <c r="BL912" s="16"/>
      <c r="BM912" s="16"/>
      <c r="BN912" s="17"/>
      <c r="BO912" s="17"/>
      <c r="BP912" s="17"/>
      <c r="CC912" s="471"/>
      <c r="CD912" s="471"/>
      <c r="CE912" s="471"/>
      <c r="CF912" s="471"/>
      <c r="CG912" s="471"/>
      <c r="CH912" s="471"/>
      <c r="CI912" s="471"/>
      <c r="CJ912" s="471"/>
    </row>
    <row r="913" spans="3:88" s="15" customFormat="1" x14ac:dyDescent="0.2">
      <c r="C913" s="481"/>
      <c r="H913" s="481"/>
      <c r="O913" s="506"/>
      <c r="Q913" s="481"/>
      <c r="BK913" s="16"/>
      <c r="BL913" s="16"/>
      <c r="BM913" s="16"/>
      <c r="BN913" s="17"/>
      <c r="BO913" s="17"/>
      <c r="BP913" s="17"/>
      <c r="CC913" s="471"/>
      <c r="CD913" s="471"/>
      <c r="CE913" s="471"/>
      <c r="CF913" s="471"/>
      <c r="CG913" s="471"/>
      <c r="CH913" s="471"/>
      <c r="CI913" s="471"/>
      <c r="CJ913" s="471"/>
    </row>
    <row r="914" spans="3:88" s="15" customFormat="1" x14ac:dyDescent="0.2">
      <c r="C914" s="481"/>
      <c r="H914" s="481"/>
      <c r="O914" s="506"/>
      <c r="Q914" s="481"/>
      <c r="BK914" s="16"/>
      <c r="BL914" s="16"/>
      <c r="BM914" s="16"/>
      <c r="BN914" s="17"/>
      <c r="BO914" s="17"/>
      <c r="BP914" s="17"/>
      <c r="CC914" s="471"/>
      <c r="CD914" s="471"/>
      <c r="CE914" s="471"/>
      <c r="CF914" s="471"/>
      <c r="CG914" s="471"/>
      <c r="CH914" s="471"/>
      <c r="CI914" s="471"/>
      <c r="CJ914" s="471"/>
    </row>
    <row r="915" spans="3:88" s="15" customFormat="1" x14ac:dyDescent="0.2">
      <c r="C915" s="481"/>
      <c r="H915" s="481"/>
      <c r="O915" s="506"/>
      <c r="Q915" s="481"/>
      <c r="BK915" s="16"/>
      <c r="BL915" s="16"/>
      <c r="BM915" s="16"/>
      <c r="BN915" s="17"/>
      <c r="BO915" s="17"/>
      <c r="BP915" s="17"/>
      <c r="CC915" s="471"/>
      <c r="CD915" s="471"/>
      <c r="CE915" s="471"/>
      <c r="CF915" s="471"/>
      <c r="CG915" s="471"/>
      <c r="CH915" s="471"/>
      <c r="CI915" s="471"/>
      <c r="CJ915" s="471"/>
    </row>
    <row r="916" spans="3:88" s="15" customFormat="1" x14ac:dyDescent="0.2">
      <c r="C916" s="481"/>
      <c r="H916" s="481"/>
      <c r="O916" s="506"/>
      <c r="Q916" s="481"/>
      <c r="BK916" s="16"/>
      <c r="BL916" s="16"/>
      <c r="BM916" s="16"/>
      <c r="BN916" s="17"/>
      <c r="BO916" s="17"/>
      <c r="BP916" s="17"/>
      <c r="CC916" s="471"/>
      <c r="CD916" s="471"/>
      <c r="CE916" s="471"/>
      <c r="CF916" s="471"/>
      <c r="CG916" s="471"/>
      <c r="CH916" s="471"/>
      <c r="CI916" s="471"/>
      <c r="CJ916" s="471"/>
    </row>
    <row r="917" spans="3:88" s="15" customFormat="1" x14ac:dyDescent="0.2">
      <c r="C917" s="481"/>
      <c r="H917" s="481"/>
      <c r="O917" s="506"/>
      <c r="Q917" s="481"/>
      <c r="BK917" s="16"/>
      <c r="BL917" s="16"/>
      <c r="BM917" s="16"/>
      <c r="BN917" s="17"/>
      <c r="BO917" s="17"/>
      <c r="BP917" s="17"/>
      <c r="CC917" s="471"/>
      <c r="CD917" s="471"/>
      <c r="CE917" s="471"/>
      <c r="CF917" s="471"/>
      <c r="CG917" s="471"/>
      <c r="CH917" s="471"/>
      <c r="CI917" s="471"/>
      <c r="CJ917" s="471"/>
    </row>
    <row r="918" spans="3:88" s="15" customFormat="1" x14ac:dyDescent="0.2">
      <c r="C918" s="481"/>
      <c r="H918" s="481"/>
      <c r="O918" s="506"/>
      <c r="Q918" s="481"/>
      <c r="BK918" s="16"/>
      <c r="BL918" s="16"/>
      <c r="BM918" s="16"/>
      <c r="BN918" s="17"/>
      <c r="BO918" s="17"/>
      <c r="BP918" s="17"/>
      <c r="CC918" s="471"/>
      <c r="CD918" s="471"/>
      <c r="CE918" s="471"/>
      <c r="CF918" s="471"/>
      <c r="CG918" s="471"/>
      <c r="CH918" s="471"/>
      <c r="CI918" s="471"/>
      <c r="CJ918" s="471"/>
    </row>
    <row r="919" spans="3:88" s="15" customFormat="1" x14ac:dyDescent="0.2">
      <c r="C919" s="481"/>
      <c r="H919" s="481"/>
      <c r="O919" s="506"/>
      <c r="Q919" s="481"/>
      <c r="BK919" s="16"/>
      <c r="BL919" s="16"/>
      <c r="BM919" s="16"/>
      <c r="BN919" s="17"/>
      <c r="BO919" s="17"/>
      <c r="BP919" s="17"/>
      <c r="CC919" s="471"/>
      <c r="CD919" s="471"/>
      <c r="CE919" s="471"/>
      <c r="CF919" s="471"/>
      <c r="CG919" s="471"/>
      <c r="CH919" s="471"/>
      <c r="CI919" s="471"/>
      <c r="CJ919" s="471"/>
    </row>
    <row r="920" spans="3:88" s="15" customFormat="1" x14ac:dyDescent="0.2">
      <c r="C920" s="481"/>
      <c r="H920" s="481"/>
      <c r="O920" s="506"/>
      <c r="Q920" s="481"/>
      <c r="BK920" s="16"/>
      <c r="BL920" s="16"/>
      <c r="BM920" s="16"/>
      <c r="BN920" s="17"/>
      <c r="BO920" s="17"/>
      <c r="BP920" s="17"/>
      <c r="CC920" s="471"/>
      <c r="CD920" s="471"/>
      <c r="CE920" s="471"/>
      <c r="CF920" s="471"/>
      <c r="CG920" s="471"/>
      <c r="CH920" s="471"/>
      <c r="CI920" s="471"/>
      <c r="CJ920" s="471"/>
    </row>
    <row r="921" spans="3:88" s="15" customFormat="1" x14ac:dyDescent="0.2">
      <c r="C921" s="481"/>
      <c r="H921" s="481"/>
      <c r="O921" s="506"/>
      <c r="Q921" s="481"/>
      <c r="BK921" s="16"/>
      <c r="BL921" s="16"/>
      <c r="BM921" s="16"/>
      <c r="BN921" s="17"/>
      <c r="BO921" s="17"/>
      <c r="BP921" s="17"/>
      <c r="CC921" s="471"/>
      <c r="CD921" s="471"/>
      <c r="CE921" s="471"/>
      <c r="CF921" s="471"/>
      <c r="CG921" s="471"/>
      <c r="CH921" s="471"/>
      <c r="CI921" s="471"/>
      <c r="CJ921" s="471"/>
    </row>
    <row r="922" spans="3:88" s="15" customFormat="1" x14ac:dyDescent="0.2">
      <c r="C922" s="481"/>
      <c r="H922" s="481"/>
      <c r="O922" s="506"/>
      <c r="Q922" s="481"/>
      <c r="BK922" s="16"/>
      <c r="BL922" s="16"/>
      <c r="BM922" s="16"/>
      <c r="BN922" s="17"/>
      <c r="BO922" s="17"/>
      <c r="BP922" s="17"/>
      <c r="CC922" s="471"/>
      <c r="CD922" s="471"/>
      <c r="CE922" s="471"/>
      <c r="CF922" s="471"/>
      <c r="CG922" s="471"/>
      <c r="CH922" s="471"/>
      <c r="CI922" s="471"/>
      <c r="CJ922" s="471"/>
    </row>
    <row r="923" spans="3:88" s="15" customFormat="1" x14ac:dyDescent="0.2">
      <c r="C923" s="481"/>
      <c r="H923" s="481"/>
      <c r="O923" s="506"/>
      <c r="Q923" s="481"/>
      <c r="BK923" s="16"/>
      <c r="BL923" s="16"/>
      <c r="BM923" s="16"/>
      <c r="BN923" s="17"/>
      <c r="BO923" s="17"/>
      <c r="BP923" s="17"/>
      <c r="CC923" s="471"/>
      <c r="CD923" s="471"/>
      <c r="CE923" s="471"/>
      <c r="CF923" s="471"/>
      <c r="CG923" s="471"/>
      <c r="CH923" s="471"/>
      <c r="CI923" s="471"/>
      <c r="CJ923" s="471"/>
    </row>
    <row r="924" spans="3:88" s="15" customFormat="1" x14ac:dyDescent="0.2">
      <c r="C924" s="481"/>
      <c r="H924" s="481"/>
      <c r="O924" s="506"/>
      <c r="Q924" s="481"/>
      <c r="BK924" s="16"/>
      <c r="BL924" s="16"/>
      <c r="BM924" s="16"/>
      <c r="BN924" s="17"/>
      <c r="BO924" s="17"/>
      <c r="BP924" s="17"/>
      <c r="CC924" s="471"/>
      <c r="CD924" s="471"/>
      <c r="CE924" s="471"/>
      <c r="CF924" s="471"/>
      <c r="CG924" s="471"/>
      <c r="CH924" s="471"/>
      <c r="CI924" s="471"/>
      <c r="CJ924" s="471"/>
    </row>
    <row r="925" spans="3:88" s="15" customFormat="1" x14ac:dyDescent="0.2">
      <c r="C925" s="481"/>
      <c r="H925" s="481"/>
      <c r="O925" s="506"/>
      <c r="Q925" s="481"/>
      <c r="BK925" s="16"/>
      <c r="BL925" s="16"/>
      <c r="BM925" s="16"/>
      <c r="BN925" s="17"/>
      <c r="BO925" s="17"/>
      <c r="BP925" s="17"/>
      <c r="CC925" s="471"/>
      <c r="CD925" s="471"/>
      <c r="CE925" s="471"/>
      <c r="CF925" s="471"/>
      <c r="CG925" s="471"/>
      <c r="CH925" s="471"/>
      <c r="CI925" s="471"/>
      <c r="CJ925" s="471"/>
    </row>
    <row r="926" spans="3:88" s="15" customFormat="1" x14ac:dyDescent="0.2">
      <c r="C926" s="481"/>
      <c r="H926" s="481"/>
      <c r="O926" s="506"/>
      <c r="Q926" s="481"/>
      <c r="BK926" s="16"/>
      <c r="BL926" s="16"/>
      <c r="BM926" s="16"/>
      <c r="BN926" s="17"/>
      <c r="BO926" s="17"/>
      <c r="BP926" s="17"/>
      <c r="CC926" s="471"/>
      <c r="CD926" s="471"/>
      <c r="CE926" s="471"/>
      <c r="CF926" s="471"/>
      <c r="CG926" s="471"/>
      <c r="CH926" s="471"/>
      <c r="CI926" s="471"/>
      <c r="CJ926" s="471"/>
    </row>
    <row r="927" spans="3:88" s="15" customFormat="1" x14ac:dyDescent="0.2">
      <c r="C927" s="481"/>
      <c r="H927" s="481"/>
      <c r="O927" s="506"/>
      <c r="Q927" s="481"/>
      <c r="BK927" s="16"/>
      <c r="BL927" s="16"/>
      <c r="BM927" s="16"/>
      <c r="BN927" s="17"/>
      <c r="BO927" s="17"/>
      <c r="BP927" s="17"/>
      <c r="CC927" s="471"/>
      <c r="CD927" s="471"/>
      <c r="CE927" s="471"/>
      <c r="CF927" s="471"/>
      <c r="CG927" s="471"/>
      <c r="CH927" s="471"/>
      <c r="CI927" s="471"/>
      <c r="CJ927" s="471"/>
    </row>
    <row r="928" spans="3:88" s="15" customFormat="1" x14ac:dyDescent="0.2">
      <c r="C928" s="481"/>
      <c r="H928" s="481"/>
      <c r="O928" s="506"/>
      <c r="Q928" s="481"/>
      <c r="BK928" s="16"/>
      <c r="BL928" s="16"/>
      <c r="BM928" s="16"/>
      <c r="BN928" s="17"/>
      <c r="BO928" s="17"/>
      <c r="BP928" s="17"/>
      <c r="CC928" s="471"/>
      <c r="CD928" s="471"/>
      <c r="CE928" s="471"/>
      <c r="CF928" s="471"/>
      <c r="CG928" s="471"/>
      <c r="CH928" s="471"/>
      <c r="CI928" s="471"/>
      <c r="CJ928" s="471"/>
    </row>
    <row r="929" spans="3:88" s="15" customFormat="1" x14ac:dyDescent="0.2">
      <c r="C929" s="481"/>
      <c r="H929" s="481"/>
      <c r="O929" s="506"/>
      <c r="Q929" s="481"/>
      <c r="BK929" s="16"/>
      <c r="BL929" s="16"/>
      <c r="BM929" s="16"/>
      <c r="BN929" s="17"/>
      <c r="BO929" s="17"/>
      <c r="BP929" s="17"/>
      <c r="CC929" s="471"/>
      <c r="CD929" s="471"/>
      <c r="CE929" s="471"/>
      <c r="CF929" s="471"/>
      <c r="CG929" s="471"/>
      <c r="CH929" s="471"/>
      <c r="CI929" s="471"/>
      <c r="CJ929" s="471"/>
    </row>
    <row r="930" spans="3:88" s="15" customFormat="1" x14ac:dyDescent="0.2">
      <c r="C930" s="481"/>
      <c r="H930" s="481"/>
      <c r="O930" s="506"/>
      <c r="Q930" s="481"/>
      <c r="BK930" s="16"/>
      <c r="BL930" s="16"/>
      <c r="BM930" s="16"/>
      <c r="BN930" s="17"/>
      <c r="BO930" s="17"/>
      <c r="BP930" s="17"/>
      <c r="CC930" s="471"/>
      <c r="CD930" s="471"/>
      <c r="CE930" s="471"/>
      <c r="CF930" s="471"/>
      <c r="CG930" s="471"/>
      <c r="CH930" s="471"/>
      <c r="CI930" s="471"/>
      <c r="CJ930" s="471"/>
    </row>
    <row r="931" spans="3:88" s="15" customFormat="1" x14ac:dyDescent="0.2">
      <c r="C931" s="481"/>
      <c r="H931" s="481"/>
      <c r="O931" s="506"/>
      <c r="Q931" s="481"/>
      <c r="BK931" s="16"/>
      <c r="BL931" s="16"/>
      <c r="BM931" s="16"/>
      <c r="BN931" s="17"/>
      <c r="BO931" s="17"/>
      <c r="BP931" s="17"/>
      <c r="CC931" s="471"/>
      <c r="CD931" s="471"/>
      <c r="CE931" s="471"/>
      <c r="CF931" s="471"/>
      <c r="CG931" s="471"/>
      <c r="CH931" s="471"/>
      <c r="CI931" s="471"/>
      <c r="CJ931" s="471"/>
    </row>
    <row r="932" spans="3:88" s="15" customFormat="1" x14ac:dyDescent="0.2">
      <c r="C932" s="481"/>
      <c r="H932" s="481"/>
      <c r="O932" s="506"/>
      <c r="Q932" s="481"/>
      <c r="BK932" s="16"/>
      <c r="BL932" s="16"/>
      <c r="BM932" s="16"/>
      <c r="BN932" s="17"/>
      <c r="BO932" s="17"/>
      <c r="BP932" s="17"/>
      <c r="CC932" s="471"/>
      <c r="CD932" s="471"/>
      <c r="CE932" s="471"/>
      <c r="CF932" s="471"/>
      <c r="CG932" s="471"/>
      <c r="CH932" s="471"/>
      <c r="CI932" s="471"/>
      <c r="CJ932" s="471"/>
    </row>
    <row r="933" spans="3:88" s="15" customFormat="1" x14ac:dyDescent="0.2">
      <c r="C933" s="481"/>
      <c r="H933" s="481"/>
      <c r="O933" s="506"/>
      <c r="Q933" s="481"/>
      <c r="BK933" s="16"/>
      <c r="BL933" s="16"/>
      <c r="BM933" s="16"/>
      <c r="BN933" s="17"/>
      <c r="BO933" s="17"/>
      <c r="BP933" s="17"/>
      <c r="CC933" s="471"/>
      <c r="CD933" s="471"/>
      <c r="CE933" s="471"/>
      <c r="CF933" s="471"/>
      <c r="CG933" s="471"/>
      <c r="CH933" s="471"/>
      <c r="CI933" s="471"/>
      <c r="CJ933" s="471"/>
    </row>
    <row r="934" spans="3:88" s="15" customFormat="1" x14ac:dyDescent="0.2">
      <c r="C934" s="481"/>
      <c r="H934" s="481"/>
      <c r="O934" s="506"/>
      <c r="Q934" s="481"/>
      <c r="BK934" s="16"/>
      <c r="BL934" s="16"/>
      <c r="BM934" s="16"/>
      <c r="BN934" s="17"/>
      <c r="BO934" s="17"/>
      <c r="BP934" s="17"/>
      <c r="CC934" s="471"/>
      <c r="CD934" s="471"/>
      <c r="CE934" s="471"/>
      <c r="CF934" s="471"/>
      <c r="CG934" s="471"/>
      <c r="CH934" s="471"/>
      <c r="CI934" s="471"/>
      <c r="CJ934" s="471"/>
    </row>
    <row r="935" spans="3:88" s="15" customFormat="1" x14ac:dyDescent="0.2">
      <c r="C935" s="481"/>
      <c r="H935" s="481"/>
      <c r="O935" s="506"/>
      <c r="Q935" s="481"/>
      <c r="BK935" s="16"/>
      <c r="BL935" s="16"/>
      <c r="BM935" s="16"/>
      <c r="BN935" s="17"/>
      <c r="BO935" s="17"/>
      <c r="BP935" s="17"/>
      <c r="CC935" s="471"/>
      <c r="CD935" s="471"/>
      <c r="CE935" s="471"/>
      <c r="CF935" s="471"/>
      <c r="CG935" s="471"/>
      <c r="CH935" s="471"/>
      <c r="CI935" s="471"/>
      <c r="CJ935" s="471"/>
    </row>
    <row r="936" spans="3:88" s="15" customFormat="1" x14ac:dyDescent="0.2">
      <c r="C936" s="481"/>
      <c r="H936" s="481"/>
      <c r="O936" s="506"/>
      <c r="Q936" s="481"/>
      <c r="BK936" s="16"/>
      <c r="BL936" s="16"/>
      <c r="BM936" s="16"/>
      <c r="BN936" s="17"/>
      <c r="BO936" s="17"/>
      <c r="BP936" s="17"/>
      <c r="CC936" s="471"/>
      <c r="CD936" s="471"/>
      <c r="CE936" s="471"/>
      <c r="CF936" s="471"/>
      <c r="CG936" s="471"/>
      <c r="CH936" s="471"/>
      <c r="CI936" s="471"/>
      <c r="CJ936" s="471"/>
    </row>
    <row r="937" spans="3:88" s="15" customFormat="1" x14ac:dyDescent="0.2">
      <c r="C937" s="481"/>
      <c r="H937" s="481"/>
      <c r="O937" s="506"/>
      <c r="Q937" s="481"/>
      <c r="BK937" s="16"/>
      <c r="BL937" s="16"/>
      <c r="BM937" s="16"/>
      <c r="BN937" s="17"/>
      <c r="BO937" s="17"/>
      <c r="BP937" s="17"/>
      <c r="CC937" s="471"/>
      <c r="CD937" s="471"/>
      <c r="CE937" s="471"/>
      <c r="CF937" s="471"/>
      <c r="CG937" s="471"/>
      <c r="CH937" s="471"/>
      <c r="CI937" s="471"/>
      <c r="CJ937" s="471"/>
    </row>
    <row r="938" spans="3:88" s="15" customFormat="1" x14ac:dyDescent="0.2">
      <c r="C938" s="481"/>
      <c r="H938" s="481"/>
      <c r="O938" s="506"/>
      <c r="Q938" s="481"/>
      <c r="BK938" s="16"/>
      <c r="BL938" s="16"/>
      <c r="BM938" s="16"/>
      <c r="BN938" s="17"/>
      <c r="BO938" s="17"/>
      <c r="BP938" s="17"/>
      <c r="CC938" s="471"/>
      <c r="CD938" s="471"/>
      <c r="CE938" s="471"/>
      <c r="CF938" s="471"/>
      <c r="CG938" s="471"/>
      <c r="CH938" s="471"/>
      <c r="CI938" s="471"/>
      <c r="CJ938" s="471"/>
    </row>
    <row r="939" spans="3:88" s="15" customFormat="1" x14ac:dyDescent="0.2">
      <c r="C939" s="481"/>
      <c r="H939" s="481"/>
      <c r="O939" s="506"/>
      <c r="Q939" s="481"/>
      <c r="BK939" s="16"/>
      <c r="BL939" s="16"/>
      <c r="BM939" s="16"/>
      <c r="BN939" s="17"/>
      <c r="BO939" s="17"/>
      <c r="BP939" s="17"/>
      <c r="CC939" s="471"/>
      <c r="CD939" s="471"/>
      <c r="CE939" s="471"/>
      <c r="CF939" s="471"/>
      <c r="CG939" s="471"/>
      <c r="CH939" s="471"/>
      <c r="CI939" s="471"/>
      <c r="CJ939" s="471"/>
    </row>
    <row r="940" spans="3:88" s="15" customFormat="1" x14ac:dyDescent="0.2">
      <c r="C940" s="481"/>
      <c r="H940" s="481"/>
      <c r="O940" s="506"/>
      <c r="Q940" s="481"/>
      <c r="BK940" s="16"/>
      <c r="BL940" s="16"/>
      <c r="BM940" s="16"/>
      <c r="BN940" s="17"/>
      <c r="BO940" s="17"/>
      <c r="BP940" s="17"/>
      <c r="CC940" s="471"/>
      <c r="CD940" s="471"/>
      <c r="CE940" s="471"/>
      <c r="CF940" s="471"/>
      <c r="CG940" s="471"/>
      <c r="CH940" s="471"/>
      <c r="CI940" s="471"/>
      <c r="CJ940" s="471"/>
    </row>
    <row r="941" spans="3:88" s="15" customFormat="1" x14ac:dyDescent="0.2">
      <c r="C941" s="481"/>
      <c r="H941" s="481"/>
      <c r="O941" s="506"/>
      <c r="Q941" s="481"/>
      <c r="BK941" s="16"/>
      <c r="BL941" s="16"/>
      <c r="BM941" s="16"/>
      <c r="BN941" s="17"/>
      <c r="BO941" s="17"/>
      <c r="BP941" s="17"/>
      <c r="CC941" s="471"/>
      <c r="CD941" s="471"/>
      <c r="CE941" s="471"/>
      <c r="CF941" s="471"/>
      <c r="CG941" s="471"/>
      <c r="CH941" s="471"/>
      <c r="CI941" s="471"/>
      <c r="CJ941" s="471"/>
    </row>
    <row r="942" spans="3:88" s="15" customFormat="1" x14ac:dyDescent="0.2">
      <c r="C942" s="481"/>
      <c r="H942" s="481"/>
      <c r="O942" s="506"/>
      <c r="Q942" s="481"/>
      <c r="BK942" s="16"/>
      <c r="BL942" s="16"/>
      <c r="BM942" s="16"/>
      <c r="BN942" s="17"/>
      <c r="BO942" s="17"/>
      <c r="BP942" s="17"/>
      <c r="CC942" s="471"/>
      <c r="CD942" s="471"/>
      <c r="CE942" s="471"/>
      <c r="CF942" s="471"/>
      <c r="CG942" s="471"/>
      <c r="CH942" s="471"/>
      <c r="CI942" s="471"/>
      <c r="CJ942" s="471"/>
    </row>
    <row r="943" spans="3:88" s="15" customFormat="1" x14ac:dyDescent="0.2">
      <c r="C943" s="481"/>
      <c r="H943" s="481"/>
      <c r="O943" s="506"/>
      <c r="Q943" s="481"/>
      <c r="BK943" s="16"/>
      <c r="BL943" s="16"/>
      <c r="BM943" s="16"/>
      <c r="BN943" s="17"/>
      <c r="BO943" s="17"/>
      <c r="BP943" s="17"/>
      <c r="CC943" s="471"/>
      <c r="CD943" s="471"/>
      <c r="CE943" s="471"/>
      <c r="CF943" s="471"/>
      <c r="CG943" s="471"/>
      <c r="CH943" s="471"/>
      <c r="CI943" s="471"/>
      <c r="CJ943" s="471"/>
    </row>
    <row r="944" spans="3:88" s="15" customFormat="1" x14ac:dyDescent="0.2">
      <c r="C944" s="481"/>
      <c r="H944" s="481"/>
      <c r="O944" s="506"/>
      <c r="Q944" s="481"/>
      <c r="BK944" s="16"/>
      <c r="BL944" s="16"/>
      <c r="BM944" s="16"/>
      <c r="BN944" s="17"/>
      <c r="BO944" s="17"/>
      <c r="BP944" s="17"/>
      <c r="CC944" s="471"/>
      <c r="CD944" s="471"/>
      <c r="CE944" s="471"/>
      <c r="CF944" s="471"/>
      <c r="CG944" s="471"/>
      <c r="CH944" s="471"/>
      <c r="CI944" s="471"/>
      <c r="CJ944" s="471"/>
    </row>
    <row r="945" spans="3:88" s="15" customFormat="1" x14ac:dyDescent="0.2">
      <c r="C945" s="481"/>
      <c r="H945" s="481"/>
      <c r="O945" s="506"/>
      <c r="Q945" s="481"/>
      <c r="BK945" s="16"/>
      <c r="BL945" s="16"/>
      <c r="BM945" s="16"/>
      <c r="BN945" s="17"/>
      <c r="BO945" s="17"/>
      <c r="BP945" s="17"/>
      <c r="CC945" s="471"/>
      <c r="CD945" s="471"/>
      <c r="CE945" s="471"/>
      <c r="CF945" s="471"/>
      <c r="CG945" s="471"/>
      <c r="CH945" s="471"/>
      <c r="CI945" s="471"/>
      <c r="CJ945" s="471"/>
    </row>
    <row r="946" spans="3:88" s="15" customFormat="1" x14ac:dyDescent="0.2">
      <c r="C946" s="481"/>
      <c r="H946" s="481"/>
      <c r="O946" s="506"/>
      <c r="Q946" s="481"/>
      <c r="BK946" s="16"/>
      <c r="BL946" s="16"/>
      <c r="BM946" s="16"/>
      <c r="BN946" s="17"/>
      <c r="BO946" s="17"/>
      <c r="BP946" s="17"/>
      <c r="CC946" s="471"/>
      <c r="CD946" s="471"/>
      <c r="CE946" s="471"/>
      <c r="CF946" s="471"/>
      <c r="CG946" s="471"/>
      <c r="CH946" s="471"/>
      <c r="CI946" s="471"/>
      <c r="CJ946" s="471"/>
    </row>
    <row r="947" spans="3:88" s="15" customFormat="1" x14ac:dyDescent="0.2">
      <c r="C947" s="481"/>
      <c r="H947" s="481"/>
      <c r="O947" s="506"/>
      <c r="Q947" s="481"/>
      <c r="BK947" s="16"/>
      <c r="BL947" s="16"/>
      <c r="BM947" s="16"/>
      <c r="BN947" s="17"/>
      <c r="BO947" s="17"/>
      <c r="BP947" s="17"/>
      <c r="CC947" s="471"/>
      <c r="CD947" s="471"/>
      <c r="CE947" s="471"/>
      <c r="CF947" s="471"/>
      <c r="CG947" s="471"/>
      <c r="CH947" s="471"/>
      <c r="CI947" s="471"/>
      <c r="CJ947" s="471"/>
    </row>
    <row r="948" spans="3:88" s="15" customFormat="1" x14ac:dyDescent="0.2">
      <c r="C948" s="481"/>
      <c r="H948" s="481"/>
      <c r="O948" s="506"/>
      <c r="Q948" s="481"/>
      <c r="BK948" s="16"/>
      <c r="BL948" s="16"/>
      <c r="BM948" s="16"/>
      <c r="BN948" s="17"/>
      <c r="BO948" s="17"/>
      <c r="BP948" s="17"/>
      <c r="CC948" s="471"/>
      <c r="CD948" s="471"/>
      <c r="CE948" s="471"/>
      <c r="CF948" s="471"/>
      <c r="CG948" s="471"/>
      <c r="CH948" s="471"/>
      <c r="CI948" s="471"/>
      <c r="CJ948" s="471"/>
    </row>
    <row r="949" spans="3:88" s="15" customFormat="1" x14ac:dyDescent="0.2">
      <c r="C949" s="481"/>
      <c r="H949" s="481"/>
      <c r="O949" s="506"/>
      <c r="Q949" s="481"/>
      <c r="BK949" s="16"/>
      <c r="BL949" s="16"/>
      <c r="BM949" s="16"/>
      <c r="BN949" s="17"/>
      <c r="BO949" s="17"/>
      <c r="BP949" s="17"/>
      <c r="CC949" s="471"/>
      <c r="CD949" s="471"/>
      <c r="CE949" s="471"/>
      <c r="CF949" s="471"/>
      <c r="CG949" s="471"/>
      <c r="CH949" s="471"/>
      <c r="CI949" s="471"/>
      <c r="CJ949" s="471"/>
    </row>
    <row r="950" spans="3:88" s="15" customFormat="1" x14ac:dyDescent="0.2">
      <c r="C950" s="481"/>
      <c r="H950" s="481"/>
      <c r="O950" s="506"/>
      <c r="Q950" s="481"/>
      <c r="BK950" s="16"/>
      <c r="BL950" s="16"/>
      <c r="BM950" s="16"/>
      <c r="BN950" s="17"/>
      <c r="BO950" s="17"/>
      <c r="BP950" s="17"/>
      <c r="CC950" s="471"/>
      <c r="CD950" s="471"/>
      <c r="CE950" s="471"/>
      <c r="CF950" s="471"/>
      <c r="CG950" s="471"/>
      <c r="CH950" s="471"/>
      <c r="CI950" s="471"/>
      <c r="CJ950" s="471"/>
    </row>
    <row r="951" spans="3:88" s="15" customFormat="1" x14ac:dyDescent="0.2">
      <c r="C951" s="481"/>
      <c r="H951" s="481"/>
      <c r="O951" s="506"/>
      <c r="Q951" s="481"/>
      <c r="BK951" s="16"/>
      <c r="BL951" s="16"/>
      <c r="BM951" s="16"/>
      <c r="BN951" s="17"/>
      <c r="BO951" s="17"/>
      <c r="BP951" s="17"/>
      <c r="CC951" s="471"/>
      <c r="CD951" s="471"/>
      <c r="CE951" s="471"/>
      <c r="CF951" s="471"/>
      <c r="CG951" s="471"/>
      <c r="CH951" s="471"/>
      <c r="CI951" s="471"/>
      <c r="CJ951" s="471"/>
    </row>
    <row r="952" spans="3:88" s="15" customFormat="1" x14ac:dyDescent="0.2">
      <c r="C952" s="481"/>
      <c r="H952" s="481"/>
      <c r="O952" s="506"/>
      <c r="Q952" s="481"/>
      <c r="BK952" s="16"/>
      <c r="BL952" s="16"/>
      <c r="BM952" s="16"/>
      <c r="BN952" s="17"/>
      <c r="BO952" s="17"/>
      <c r="BP952" s="17"/>
      <c r="CC952" s="471"/>
      <c r="CD952" s="471"/>
      <c r="CE952" s="471"/>
      <c r="CF952" s="471"/>
      <c r="CG952" s="471"/>
      <c r="CH952" s="471"/>
      <c r="CI952" s="471"/>
      <c r="CJ952" s="471"/>
    </row>
    <row r="953" spans="3:88" s="15" customFormat="1" x14ac:dyDescent="0.2">
      <c r="C953" s="481"/>
      <c r="H953" s="481"/>
      <c r="O953" s="506"/>
      <c r="Q953" s="481"/>
      <c r="BK953" s="16"/>
      <c r="BL953" s="16"/>
      <c r="BM953" s="16"/>
      <c r="BN953" s="17"/>
      <c r="BO953" s="17"/>
      <c r="BP953" s="17"/>
      <c r="CC953" s="471"/>
      <c r="CD953" s="471"/>
      <c r="CE953" s="471"/>
      <c r="CF953" s="471"/>
      <c r="CG953" s="471"/>
      <c r="CH953" s="471"/>
      <c r="CI953" s="471"/>
      <c r="CJ953" s="471"/>
    </row>
    <row r="954" spans="3:88" s="15" customFormat="1" x14ac:dyDescent="0.2">
      <c r="C954" s="481"/>
      <c r="H954" s="481"/>
      <c r="O954" s="506"/>
      <c r="Q954" s="481"/>
      <c r="BK954" s="16"/>
      <c r="BL954" s="16"/>
      <c r="BM954" s="16"/>
      <c r="BN954" s="17"/>
      <c r="BO954" s="17"/>
      <c r="BP954" s="17"/>
      <c r="CC954" s="471"/>
      <c r="CD954" s="471"/>
      <c r="CE954" s="471"/>
      <c r="CF954" s="471"/>
      <c r="CG954" s="471"/>
      <c r="CH954" s="471"/>
      <c r="CI954" s="471"/>
      <c r="CJ954" s="471"/>
    </row>
    <row r="955" spans="3:88" s="15" customFormat="1" x14ac:dyDescent="0.2">
      <c r="C955" s="481"/>
      <c r="H955" s="481"/>
      <c r="O955" s="506"/>
      <c r="Q955" s="481"/>
      <c r="BK955" s="16"/>
      <c r="BL955" s="16"/>
      <c r="BM955" s="16"/>
      <c r="BN955" s="17"/>
      <c r="BO955" s="17"/>
      <c r="BP955" s="17"/>
      <c r="CC955" s="471"/>
      <c r="CD955" s="471"/>
      <c r="CE955" s="471"/>
      <c r="CF955" s="471"/>
      <c r="CG955" s="471"/>
      <c r="CH955" s="471"/>
      <c r="CI955" s="471"/>
      <c r="CJ955" s="471"/>
    </row>
    <row r="956" spans="3:88" s="15" customFormat="1" x14ac:dyDescent="0.2">
      <c r="C956" s="481"/>
      <c r="H956" s="481"/>
      <c r="O956" s="506"/>
      <c r="Q956" s="481"/>
      <c r="BK956" s="16"/>
      <c r="BL956" s="16"/>
      <c r="BM956" s="16"/>
      <c r="BN956" s="17"/>
      <c r="BO956" s="17"/>
      <c r="BP956" s="17"/>
      <c r="CC956" s="471"/>
      <c r="CD956" s="471"/>
      <c r="CE956" s="471"/>
      <c r="CF956" s="471"/>
      <c r="CG956" s="471"/>
      <c r="CH956" s="471"/>
      <c r="CI956" s="471"/>
      <c r="CJ956" s="471"/>
    </row>
    <row r="957" spans="3:88" s="15" customFormat="1" x14ac:dyDescent="0.2">
      <c r="C957" s="481"/>
      <c r="H957" s="481"/>
      <c r="O957" s="506"/>
      <c r="Q957" s="481"/>
      <c r="BK957" s="16"/>
      <c r="BL957" s="16"/>
      <c r="BM957" s="16"/>
      <c r="BN957" s="17"/>
      <c r="BO957" s="17"/>
      <c r="BP957" s="17"/>
      <c r="CC957" s="471"/>
      <c r="CD957" s="471"/>
      <c r="CE957" s="471"/>
      <c r="CF957" s="471"/>
      <c r="CG957" s="471"/>
      <c r="CH957" s="471"/>
      <c r="CI957" s="471"/>
      <c r="CJ957" s="471"/>
    </row>
    <row r="958" spans="3:88" s="15" customFormat="1" x14ac:dyDescent="0.2">
      <c r="C958" s="481"/>
      <c r="H958" s="481"/>
      <c r="O958" s="506"/>
      <c r="Q958" s="481"/>
      <c r="BK958" s="16"/>
      <c r="BL958" s="16"/>
      <c r="BM958" s="16"/>
      <c r="BN958" s="17"/>
      <c r="BO958" s="17"/>
      <c r="BP958" s="17"/>
      <c r="CC958" s="471"/>
      <c r="CD958" s="471"/>
      <c r="CE958" s="471"/>
      <c r="CF958" s="471"/>
      <c r="CG958" s="471"/>
      <c r="CH958" s="471"/>
      <c r="CI958" s="471"/>
      <c r="CJ958" s="471"/>
    </row>
    <row r="959" spans="3:88" s="15" customFormat="1" x14ac:dyDescent="0.2">
      <c r="C959" s="481"/>
      <c r="H959" s="481"/>
      <c r="O959" s="506"/>
      <c r="Q959" s="481"/>
      <c r="BK959" s="16"/>
      <c r="BL959" s="16"/>
      <c r="BM959" s="16"/>
      <c r="BN959" s="17"/>
      <c r="BO959" s="17"/>
      <c r="BP959" s="17"/>
      <c r="CC959" s="471"/>
      <c r="CD959" s="471"/>
      <c r="CE959" s="471"/>
      <c r="CF959" s="471"/>
      <c r="CG959" s="471"/>
      <c r="CH959" s="471"/>
      <c r="CI959" s="471"/>
      <c r="CJ959" s="471"/>
    </row>
    <row r="960" spans="3:88" s="15" customFormat="1" x14ac:dyDescent="0.2">
      <c r="C960" s="481"/>
      <c r="H960" s="481"/>
      <c r="O960" s="506"/>
      <c r="Q960" s="481"/>
      <c r="BK960" s="16"/>
      <c r="BL960" s="16"/>
      <c r="BM960" s="16"/>
      <c r="BN960" s="17"/>
      <c r="BO960" s="17"/>
      <c r="BP960" s="17"/>
      <c r="CC960" s="471"/>
      <c r="CD960" s="471"/>
      <c r="CE960" s="471"/>
      <c r="CF960" s="471"/>
      <c r="CG960" s="471"/>
      <c r="CH960" s="471"/>
      <c r="CI960" s="471"/>
      <c r="CJ960" s="471"/>
    </row>
    <row r="961" spans="3:88" s="15" customFormat="1" x14ac:dyDescent="0.2">
      <c r="C961" s="481"/>
      <c r="H961" s="481"/>
      <c r="O961" s="506"/>
      <c r="Q961" s="481"/>
      <c r="BK961" s="16"/>
      <c r="BL961" s="16"/>
      <c r="BM961" s="16"/>
      <c r="BN961" s="17"/>
      <c r="BO961" s="17"/>
      <c r="BP961" s="17"/>
      <c r="CC961" s="471"/>
      <c r="CD961" s="471"/>
      <c r="CE961" s="471"/>
      <c r="CF961" s="471"/>
      <c r="CG961" s="471"/>
      <c r="CH961" s="471"/>
      <c r="CI961" s="471"/>
      <c r="CJ961" s="471"/>
    </row>
    <row r="962" spans="3:88" s="15" customFormat="1" x14ac:dyDescent="0.2">
      <c r="C962" s="481"/>
      <c r="H962" s="481"/>
      <c r="O962" s="506"/>
      <c r="Q962" s="481"/>
      <c r="BK962" s="16"/>
      <c r="BL962" s="16"/>
      <c r="BM962" s="16"/>
      <c r="BN962" s="17"/>
      <c r="BO962" s="17"/>
      <c r="BP962" s="17"/>
      <c r="CC962" s="471"/>
      <c r="CD962" s="471"/>
      <c r="CE962" s="471"/>
      <c r="CF962" s="471"/>
      <c r="CG962" s="471"/>
      <c r="CH962" s="471"/>
      <c r="CI962" s="471"/>
      <c r="CJ962" s="471"/>
    </row>
    <row r="963" spans="3:88" s="15" customFormat="1" x14ac:dyDescent="0.2">
      <c r="C963" s="481"/>
      <c r="H963" s="481"/>
      <c r="O963" s="506"/>
      <c r="Q963" s="481"/>
      <c r="BK963" s="16"/>
      <c r="BL963" s="16"/>
      <c r="BM963" s="16"/>
      <c r="BN963" s="17"/>
      <c r="BO963" s="17"/>
      <c r="BP963" s="17"/>
      <c r="CC963" s="471"/>
      <c r="CD963" s="471"/>
      <c r="CE963" s="471"/>
      <c r="CF963" s="471"/>
      <c r="CG963" s="471"/>
      <c r="CH963" s="471"/>
      <c r="CI963" s="471"/>
      <c r="CJ963" s="471"/>
    </row>
    <row r="964" spans="3:88" s="15" customFormat="1" x14ac:dyDescent="0.2">
      <c r="C964" s="481"/>
      <c r="H964" s="481"/>
      <c r="O964" s="506"/>
      <c r="Q964" s="481"/>
      <c r="BK964" s="16"/>
      <c r="BL964" s="16"/>
      <c r="BM964" s="16"/>
      <c r="BN964" s="17"/>
      <c r="BO964" s="17"/>
      <c r="BP964" s="17"/>
      <c r="CC964" s="471"/>
      <c r="CD964" s="471"/>
      <c r="CE964" s="471"/>
      <c r="CF964" s="471"/>
      <c r="CG964" s="471"/>
      <c r="CH964" s="471"/>
      <c r="CI964" s="471"/>
      <c r="CJ964" s="471"/>
    </row>
    <row r="965" spans="3:88" s="15" customFormat="1" x14ac:dyDescent="0.2">
      <c r="C965" s="481"/>
      <c r="H965" s="481"/>
      <c r="O965" s="506"/>
      <c r="Q965" s="481"/>
      <c r="BK965" s="16"/>
      <c r="BL965" s="16"/>
      <c r="BM965" s="16"/>
      <c r="BN965" s="17"/>
      <c r="BO965" s="17"/>
      <c r="BP965" s="17"/>
      <c r="CC965" s="471"/>
      <c r="CD965" s="471"/>
      <c r="CE965" s="471"/>
      <c r="CF965" s="471"/>
      <c r="CG965" s="471"/>
      <c r="CH965" s="471"/>
      <c r="CI965" s="471"/>
      <c r="CJ965" s="471"/>
    </row>
    <row r="966" spans="3:88" s="15" customFormat="1" x14ac:dyDescent="0.2">
      <c r="C966" s="481"/>
      <c r="H966" s="481"/>
      <c r="O966" s="506"/>
      <c r="Q966" s="481"/>
      <c r="BK966" s="16"/>
      <c r="BL966" s="16"/>
      <c r="BM966" s="16"/>
      <c r="BN966" s="17"/>
      <c r="BO966" s="17"/>
      <c r="BP966" s="17"/>
      <c r="CC966" s="471"/>
      <c r="CD966" s="471"/>
      <c r="CE966" s="471"/>
      <c r="CF966" s="471"/>
      <c r="CG966" s="471"/>
      <c r="CH966" s="471"/>
      <c r="CI966" s="471"/>
      <c r="CJ966" s="471"/>
    </row>
    <row r="967" spans="3:88" s="15" customFormat="1" x14ac:dyDescent="0.2">
      <c r="C967" s="481"/>
      <c r="H967" s="481"/>
      <c r="O967" s="506"/>
      <c r="Q967" s="481"/>
      <c r="BK967" s="16"/>
      <c r="BL967" s="16"/>
      <c r="BM967" s="16"/>
      <c r="BN967" s="17"/>
      <c r="BO967" s="17"/>
      <c r="BP967" s="17"/>
      <c r="CC967" s="471"/>
      <c r="CD967" s="471"/>
      <c r="CE967" s="471"/>
      <c r="CF967" s="471"/>
      <c r="CG967" s="471"/>
      <c r="CH967" s="471"/>
      <c r="CI967" s="471"/>
      <c r="CJ967" s="471"/>
    </row>
    <row r="968" spans="3:88" s="15" customFormat="1" x14ac:dyDescent="0.2">
      <c r="C968" s="481"/>
      <c r="H968" s="481"/>
      <c r="O968" s="506"/>
      <c r="Q968" s="481"/>
      <c r="BK968" s="16"/>
      <c r="BL968" s="16"/>
      <c r="BM968" s="16"/>
      <c r="BN968" s="17"/>
      <c r="BO968" s="17"/>
      <c r="BP968" s="17"/>
      <c r="CC968" s="471"/>
      <c r="CD968" s="471"/>
      <c r="CE968" s="471"/>
      <c r="CF968" s="471"/>
      <c r="CG968" s="471"/>
      <c r="CH968" s="471"/>
      <c r="CI968" s="471"/>
      <c r="CJ968" s="471"/>
    </row>
    <row r="969" spans="3:88" s="15" customFormat="1" x14ac:dyDescent="0.2">
      <c r="C969" s="481"/>
      <c r="H969" s="481"/>
      <c r="O969" s="506"/>
      <c r="Q969" s="481"/>
      <c r="BK969" s="16"/>
      <c r="BL969" s="16"/>
      <c r="BM969" s="16"/>
      <c r="BN969" s="17"/>
      <c r="BO969" s="17"/>
      <c r="BP969" s="17"/>
      <c r="CC969" s="471"/>
      <c r="CD969" s="471"/>
      <c r="CE969" s="471"/>
      <c r="CF969" s="471"/>
      <c r="CG969" s="471"/>
      <c r="CH969" s="471"/>
      <c r="CI969" s="471"/>
      <c r="CJ969" s="471"/>
    </row>
    <row r="970" spans="3:88" s="15" customFormat="1" x14ac:dyDescent="0.2">
      <c r="C970" s="481"/>
      <c r="H970" s="481"/>
      <c r="O970" s="506"/>
      <c r="Q970" s="481"/>
      <c r="BK970" s="16"/>
      <c r="BL970" s="16"/>
      <c r="BM970" s="16"/>
      <c r="BN970" s="17"/>
      <c r="BO970" s="17"/>
      <c r="BP970" s="17"/>
      <c r="CC970" s="471"/>
      <c r="CD970" s="471"/>
      <c r="CE970" s="471"/>
      <c r="CF970" s="471"/>
      <c r="CG970" s="471"/>
      <c r="CH970" s="471"/>
      <c r="CI970" s="471"/>
      <c r="CJ970" s="471"/>
    </row>
    <row r="971" spans="3:88" s="15" customFormat="1" x14ac:dyDescent="0.2">
      <c r="C971" s="481"/>
      <c r="H971" s="481"/>
      <c r="O971" s="506"/>
      <c r="Q971" s="481"/>
      <c r="BK971" s="16"/>
      <c r="BL971" s="16"/>
      <c r="BM971" s="16"/>
      <c r="BN971" s="17"/>
      <c r="BO971" s="17"/>
      <c r="BP971" s="17"/>
      <c r="CC971" s="471"/>
      <c r="CD971" s="471"/>
      <c r="CE971" s="471"/>
      <c r="CF971" s="471"/>
      <c r="CG971" s="471"/>
      <c r="CH971" s="471"/>
      <c r="CI971" s="471"/>
      <c r="CJ971" s="471"/>
    </row>
    <row r="972" spans="3:88" s="15" customFormat="1" x14ac:dyDescent="0.2">
      <c r="C972" s="481"/>
      <c r="H972" s="481"/>
      <c r="O972" s="506"/>
      <c r="Q972" s="481"/>
      <c r="BK972" s="16"/>
      <c r="BL972" s="16"/>
      <c r="BM972" s="16"/>
      <c r="BN972" s="17"/>
      <c r="BO972" s="17"/>
      <c r="BP972" s="17"/>
      <c r="CC972" s="471"/>
      <c r="CD972" s="471"/>
      <c r="CE972" s="471"/>
      <c r="CF972" s="471"/>
      <c r="CG972" s="471"/>
      <c r="CH972" s="471"/>
      <c r="CI972" s="471"/>
      <c r="CJ972" s="471"/>
    </row>
    <row r="973" spans="3:88" s="15" customFormat="1" x14ac:dyDescent="0.2">
      <c r="C973" s="481"/>
      <c r="H973" s="481"/>
      <c r="O973" s="506"/>
      <c r="Q973" s="481"/>
      <c r="BK973" s="16"/>
      <c r="BL973" s="16"/>
      <c r="BM973" s="16"/>
      <c r="BN973" s="17"/>
      <c r="BO973" s="17"/>
      <c r="BP973" s="17"/>
      <c r="CC973" s="471"/>
      <c r="CD973" s="471"/>
      <c r="CE973" s="471"/>
      <c r="CF973" s="471"/>
      <c r="CG973" s="471"/>
      <c r="CH973" s="471"/>
      <c r="CI973" s="471"/>
      <c r="CJ973" s="471"/>
    </row>
    <row r="974" spans="3:88" s="15" customFormat="1" x14ac:dyDescent="0.2">
      <c r="C974" s="481"/>
      <c r="H974" s="481"/>
      <c r="O974" s="506"/>
      <c r="Q974" s="481"/>
      <c r="BK974" s="16"/>
      <c r="BL974" s="16"/>
      <c r="BM974" s="16"/>
      <c r="BN974" s="17"/>
      <c r="BO974" s="17"/>
      <c r="BP974" s="17"/>
      <c r="CC974" s="471"/>
      <c r="CD974" s="471"/>
      <c r="CE974" s="471"/>
      <c r="CF974" s="471"/>
      <c r="CG974" s="471"/>
      <c r="CH974" s="471"/>
      <c r="CI974" s="471"/>
      <c r="CJ974" s="471"/>
    </row>
    <row r="975" spans="3:88" s="15" customFormat="1" x14ac:dyDescent="0.2">
      <c r="C975" s="481"/>
      <c r="H975" s="481"/>
      <c r="O975" s="506"/>
      <c r="Q975" s="481"/>
      <c r="BK975" s="16"/>
      <c r="BL975" s="16"/>
      <c r="BM975" s="16"/>
      <c r="BN975" s="17"/>
      <c r="BO975" s="17"/>
      <c r="BP975" s="17"/>
      <c r="CC975" s="471"/>
      <c r="CD975" s="471"/>
      <c r="CE975" s="471"/>
      <c r="CF975" s="471"/>
      <c r="CG975" s="471"/>
      <c r="CH975" s="471"/>
      <c r="CI975" s="471"/>
      <c r="CJ975" s="471"/>
    </row>
    <row r="976" spans="3:88" s="15" customFormat="1" x14ac:dyDescent="0.2">
      <c r="C976" s="481"/>
      <c r="H976" s="481"/>
      <c r="O976" s="506"/>
      <c r="Q976" s="481"/>
      <c r="BK976" s="16"/>
      <c r="BL976" s="16"/>
      <c r="BM976" s="16"/>
      <c r="BN976" s="17"/>
      <c r="BO976" s="17"/>
      <c r="BP976" s="17"/>
      <c r="CC976" s="471"/>
      <c r="CD976" s="471"/>
      <c r="CE976" s="471"/>
      <c r="CF976" s="471"/>
      <c r="CG976" s="471"/>
      <c r="CH976" s="471"/>
      <c r="CI976" s="471"/>
      <c r="CJ976" s="471"/>
    </row>
    <row r="977" spans="3:88" s="15" customFormat="1" x14ac:dyDescent="0.2">
      <c r="C977" s="481"/>
      <c r="H977" s="481"/>
      <c r="O977" s="506"/>
      <c r="Q977" s="481"/>
      <c r="BK977" s="16"/>
      <c r="BL977" s="16"/>
      <c r="BM977" s="16"/>
      <c r="BN977" s="17"/>
      <c r="BO977" s="17"/>
      <c r="BP977" s="17"/>
      <c r="CC977" s="471"/>
      <c r="CD977" s="471"/>
      <c r="CE977" s="471"/>
      <c r="CF977" s="471"/>
      <c r="CG977" s="471"/>
      <c r="CH977" s="471"/>
      <c r="CI977" s="471"/>
      <c r="CJ977" s="471"/>
    </row>
    <row r="978" spans="3:88" s="15" customFormat="1" x14ac:dyDescent="0.2">
      <c r="C978" s="481"/>
      <c r="H978" s="481"/>
      <c r="O978" s="506"/>
      <c r="Q978" s="481"/>
      <c r="BK978" s="16"/>
      <c r="BL978" s="16"/>
      <c r="BM978" s="16"/>
      <c r="BN978" s="17"/>
      <c r="BO978" s="17"/>
      <c r="BP978" s="17"/>
      <c r="CC978" s="471"/>
      <c r="CD978" s="471"/>
      <c r="CE978" s="471"/>
      <c r="CF978" s="471"/>
      <c r="CG978" s="471"/>
      <c r="CH978" s="471"/>
      <c r="CI978" s="471"/>
      <c r="CJ978" s="471"/>
    </row>
    <row r="979" spans="3:88" s="15" customFormat="1" x14ac:dyDescent="0.2">
      <c r="C979" s="481"/>
      <c r="H979" s="481"/>
      <c r="O979" s="506"/>
      <c r="Q979" s="481"/>
      <c r="BK979" s="16"/>
      <c r="BL979" s="16"/>
      <c r="BM979" s="16"/>
      <c r="BN979" s="17"/>
      <c r="BO979" s="17"/>
      <c r="BP979" s="17"/>
      <c r="CC979" s="471"/>
      <c r="CD979" s="471"/>
      <c r="CE979" s="471"/>
      <c r="CF979" s="471"/>
      <c r="CG979" s="471"/>
      <c r="CH979" s="471"/>
      <c r="CI979" s="471"/>
      <c r="CJ979" s="471"/>
    </row>
    <row r="980" spans="3:88" s="15" customFormat="1" x14ac:dyDescent="0.2">
      <c r="C980" s="481"/>
      <c r="H980" s="481"/>
      <c r="O980" s="506"/>
      <c r="Q980" s="481"/>
      <c r="BK980" s="16"/>
      <c r="BL980" s="16"/>
      <c r="BM980" s="16"/>
      <c r="BN980" s="17"/>
      <c r="BO980" s="17"/>
      <c r="BP980" s="17"/>
      <c r="CC980" s="471"/>
      <c r="CD980" s="471"/>
      <c r="CE980" s="471"/>
      <c r="CF980" s="471"/>
      <c r="CG980" s="471"/>
      <c r="CH980" s="471"/>
      <c r="CI980" s="471"/>
      <c r="CJ980" s="471"/>
    </row>
    <row r="981" spans="3:88" s="15" customFormat="1" x14ac:dyDescent="0.2">
      <c r="C981" s="481"/>
      <c r="H981" s="481"/>
      <c r="O981" s="506"/>
      <c r="Q981" s="481"/>
      <c r="BK981" s="16"/>
      <c r="BL981" s="16"/>
      <c r="BM981" s="16"/>
      <c r="BN981" s="17"/>
      <c r="BO981" s="17"/>
      <c r="BP981" s="17"/>
      <c r="CC981" s="471"/>
      <c r="CD981" s="471"/>
      <c r="CE981" s="471"/>
      <c r="CF981" s="471"/>
      <c r="CG981" s="471"/>
      <c r="CH981" s="471"/>
      <c r="CI981" s="471"/>
      <c r="CJ981" s="471"/>
    </row>
    <row r="982" spans="3:88" s="15" customFormat="1" x14ac:dyDescent="0.2">
      <c r="C982" s="481"/>
      <c r="H982" s="481"/>
      <c r="O982" s="506"/>
      <c r="Q982" s="481"/>
      <c r="BK982" s="16"/>
      <c r="BL982" s="16"/>
      <c r="BM982" s="16"/>
      <c r="BN982" s="17"/>
      <c r="BO982" s="17"/>
      <c r="BP982" s="17"/>
      <c r="CC982" s="471"/>
      <c r="CD982" s="471"/>
      <c r="CE982" s="471"/>
      <c r="CF982" s="471"/>
      <c r="CG982" s="471"/>
      <c r="CH982" s="471"/>
      <c r="CI982" s="471"/>
      <c r="CJ982" s="471"/>
    </row>
    <row r="983" spans="3:88" s="15" customFormat="1" x14ac:dyDescent="0.2">
      <c r="C983" s="481"/>
      <c r="H983" s="481"/>
      <c r="O983" s="506"/>
      <c r="Q983" s="481"/>
      <c r="BK983" s="16"/>
      <c r="BL983" s="16"/>
      <c r="BM983" s="16"/>
      <c r="BN983" s="17"/>
      <c r="BO983" s="17"/>
      <c r="BP983" s="17"/>
      <c r="CC983" s="471"/>
      <c r="CD983" s="471"/>
      <c r="CE983" s="471"/>
      <c r="CF983" s="471"/>
      <c r="CG983" s="471"/>
      <c r="CH983" s="471"/>
      <c r="CI983" s="471"/>
      <c r="CJ983" s="471"/>
    </row>
    <row r="984" spans="3:88" s="15" customFormat="1" x14ac:dyDescent="0.2">
      <c r="C984" s="481"/>
      <c r="H984" s="481"/>
      <c r="O984" s="506"/>
      <c r="Q984" s="481"/>
      <c r="BK984" s="16"/>
      <c r="BL984" s="16"/>
      <c r="BM984" s="16"/>
      <c r="BN984" s="17"/>
      <c r="BO984" s="17"/>
      <c r="BP984" s="17"/>
      <c r="CC984" s="471"/>
      <c r="CD984" s="471"/>
      <c r="CE984" s="471"/>
      <c r="CF984" s="471"/>
      <c r="CG984" s="471"/>
      <c r="CH984" s="471"/>
      <c r="CI984" s="471"/>
      <c r="CJ984" s="471"/>
    </row>
    <row r="985" spans="3:88" s="15" customFormat="1" x14ac:dyDescent="0.2">
      <c r="C985" s="481"/>
      <c r="H985" s="481"/>
      <c r="O985" s="506"/>
      <c r="Q985" s="481"/>
      <c r="BK985" s="16"/>
      <c r="BL985" s="16"/>
      <c r="BM985" s="16"/>
      <c r="BN985" s="17"/>
      <c r="BO985" s="17"/>
      <c r="BP985" s="17"/>
      <c r="CC985" s="471"/>
      <c r="CD985" s="471"/>
      <c r="CE985" s="471"/>
      <c r="CF985" s="471"/>
      <c r="CG985" s="471"/>
      <c r="CH985" s="471"/>
      <c r="CI985" s="471"/>
      <c r="CJ985" s="471"/>
    </row>
    <row r="986" spans="3:88" s="15" customFormat="1" x14ac:dyDescent="0.2">
      <c r="C986" s="481"/>
      <c r="H986" s="481"/>
      <c r="O986" s="506"/>
      <c r="Q986" s="481"/>
      <c r="BK986" s="16"/>
      <c r="BL986" s="16"/>
      <c r="BM986" s="16"/>
      <c r="BN986" s="17"/>
      <c r="BO986" s="17"/>
      <c r="BP986" s="17"/>
      <c r="CC986" s="471"/>
      <c r="CD986" s="471"/>
      <c r="CE986" s="471"/>
      <c r="CF986" s="471"/>
      <c r="CG986" s="471"/>
      <c r="CH986" s="471"/>
      <c r="CI986" s="471"/>
      <c r="CJ986" s="471"/>
    </row>
    <row r="987" spans="3:88" s="15" customFormat="1" x14ac:dyDescent="0.2">
      <c r="C987" s="481"/>
      <c r="H987" s="481"/>
      <c r="O987" s="506"/>
      <c r="Q987" s="481"/>
      <c r="BK987" s="16"/>
      <c r="BL987" s="16"/>
      <c r="BM987" s="16"/>
      <c r="BN987" s="17"/>
      <c r="BO987" s="17"/>
      <c r="BP987" s="17"/>
      <c r="CC987" s="471"/>
      <c r="CD987" s="471"/>
      <c r="CE987" s="471"/>
      <c r="CF987" s="471"/>
      <c r="CG987" s="471"/>
      <c r="CH987" s="471"/>
      <c r="CI987" s="471"/>
      <c r="CJ987" s="471"/>
    </row>
    <row r="988" spans="3:88" s="15" customFormat="1" x14ac:dyDescent="0.2">
      <c r="C988" s="481"/>
      <c r="H988" s="481"/>
      <c r="O988" s="506"/>
      <c r="Q988" s="481"/>
      <c r="BK988" s="16"/>
      <c r="BL988" s="16"/>
      <c r="BM988" s="16"/>
      <c r="BN988" s="17"/>
      <c r="BO988" s="17"/>
      <c r="BP988" s="17"/>
      <c r="CC988" s="471"/>
      <c r="CD988" s="471"/>
      <c r="CE988" s="471"/>
      <c r="CF988" s="471"/>
      <c r="CG988" s="471"/>
      <c r="CH988" s="471"/>
      <c r="CI988" s="471"/>
      <c r="CJ988" s="471"/>
    </row>
    <row r="989" spans="3:88" s="15" customFormat="1" x14ac:dyDescent="0.2">
      <c r="C989" s="481"/>
      <c r="H989" s="481"/>
      <c r="O989" s="506"/>
      <c r="Q989" s="481"/>
      <c r="BK989" s="16"/>
      <c r="BL989" s="16"/>
      <c r="BM989" s="16"/>
      <c r="BN989" s="17"/>
      <c r="BO989" s="17"/>
      <c r="BP989" s="17"/>
      <c r="CC989" s="471"/>
      <c r="CD989" s="471"/>
      <c r="CE989" s="471"/>
      <c r="CF989" s="471"/>
      <c r="CG989" s="471"/>
      <c r="CH989" s="471"/>
      <c r="CI989" s="471"/>
      <c r="CJ989" s="471"/>
    </row>
    <row r="990" spans="3:88" s="15" customFormat="1" x14ac:dyDescent="0.2">
      <c r="C990" s="481"/>
      <c r="H990" s="481"/>
      <c r="O990" s="506"/>
      <c r="Q990" s="481"/>
      <c r="BK990" s="16"/>
      <c r="BL990" s="16"/>
      <c r="BM990" s="16"/>
      <c r="BN990" s="17"/>
      <c r="BO990" s="17"/>
      <c r="BP990" s="17"/>
      <c r="CC990" s="471"/>
      <c r="CD990" s="471"/>
      <c r="CE990" s="471"/>
      <c r="CF990" s="471"/>
      <c r="CG990" s="471"/>
      <c r="CH990" s="471"/>
      <c r="CI990" s="471"/>
      <c r="CJ990" s="471"/>
    </row>
    <row r="991" spans="3:88" s="15" customFormat="1" x14ac:dyDescent="0.2">
      <c r="C991" s="481"/>
      <c r="H991" s="481"/>
      <c r="O991" s="506"/>
      <c r="Q991" s="481"/>
      <c r="BK991" s="16"/>
      <c r="BL991" s="16"/>
      <c r="BM991" s="16"/>
      <c r="BN991" s="17"/>
      <c r="BO991" s="17"/>
      <c r="BP991" s="17"/>
      <c r="CC991" s="471"/>
      <c r="CD991" s="471"/>
      <c r="CE991" s="471"/>
      <c r="CF991" s="471"/>
      <c r="CG991" s="471"/>
      <c r="CH991" s="471"/>
      <c r="CI991" s="471"/>
      <c r="CJ991" s="471"/>
    </row>
    <row r="992" spans="3:88" s="15" customFormat="1" x14ac:dyDescent="0.2">
      <c r="C992" s="481"/>
      <c r="H992" s="481"/>
      <c r="O992" s="506"/>
      <c r="Q992" s="481"/>
      <c r="BK992" s="16"/>
      <c r="BL992" s="16"/>
      <c r="BM992" s="16"/>
      <c r="BN992" s="17"/>
      <c r="BO992" s="17"/>
      <c r="BP992" s="17"/>
      <c r="CC992" s="471"/>
      <c r="CD992" s="471"/>
      <c r="CE992" s="471"/>
      <c r="CF992" s="471"/>
      <c r="CG992" s="471"/>
      <c r="CH992" s="471"/>
      <c r="CI992" s="471"/>
      <c r="CJ992" s="471"/>
    </row>
    <row r="993" spans="3:88" s="15" customFormat="1" x14ac:dyDescent="0.2">
      <c r="C993" s="481"/>
      <c r="H993" s="481"/>
      <c r="O993" s="506"/>
      <c r="Q993" s="481"/>
      <c r="BK993" s="16"/>
      <c r="BL993" s="16"/>
      <c r="BM993" s="16"/>
      <c r="BN993" s="17"/>
      <c r="BO993" s="17"/>
      <c r="BP993" s="17"/>
      <c r="CC993" s="471"/>
      <c r="CD993" s="471"/>
      <c r="CE993" s="471"/>
      <c r="CF993" s="471"/>
      <c r="CG993" s="471"/>
      <c r="CH993" s="471"/>
      <c r="CI993" s="471"/>
      <c r="CJ993" s="471"/>
    </row>
    <row r="994" spans="3:88" s="15" customFormat="1" x14ac:dyDescent="0.2">
      <c r="C994" s="481"/>
      <c r="H994" s="481"/>
      <c r="O994" s="506"/>
      <c r="Q994" s="481"/>
      <c r="BK994" s="16"/>
      <c r="BL994" s="16"/>
      <c r="BM994" s="16"/>
      <c r="BN994" s="17"/>
      <c r="BO994" s="17"/>
      <c r="BP994" s="17"/>
      <c r="CC994" s="471"/>
      <c r="CD994" s="471"/>
      <c r="CE994" s="471"/>
      <c r="CF994" s="471"/>
      <c r="CG994" s="471"/>
      <c r="CH994" s="471"/>
      <c r="CI994" s="471"/>
      <c r="CJ994" s="471"/>
    </row>
    <row r="995" spans="3:88" s="15" customFormat="1" x14ac:dyDescent="0.2">
      <c r="C995" s="481"/>
      <c r="H995" s="481"/>
      <c r="O995" s="506"/>
      <c r="Q995" s="481"/>
      <c r="BK995" s="16"/>
      <c r="BL995" s="16"/>
      <c r="BM995" s="16"/>
      <c r="BN995" s="17"/>
      <c r="BO995" s="17"/>
      <c r="BP995" s="17"/>
      <c r="CC995" s="471"/>
      <c r="CD995" s="471"/>
      <c r="CE995" s="471"/>
      <c r="CF995" s="471"/>
      <c r="CG995" s="471"/>
      <c r="CH995" s="471"/>
      <c r="CI995" s="471"/>
      <c r="CJ995" s="471"/>
    </row>
    <row r="996" spans="3:88" s="15" customFormat="1" x14ac:dyDescent="0.2">
      <c r="C996" s="481"/>
      <c r="H996" s="481"/>
      <c r="O996" s="506"/>
      <c r="Q996" s="481"/>
      <c r="BK996" s="16"/>
      <c r="BL996" s="16"/>
      <c r="BM996" s="16"/>
      <c r="BN996" s="17"/>
      <c r="BO996" s="17"/>
      <c r="BP996" s="17"/>
      <c r="CC996" s="471"/>
      <c r="CD996" s="471"/>
      <c r="CE996" s="471"/>
      <c r="CF996" s="471"/>
      <c r="CG996" s="471"/>
      <c r="CH996" s="471"/>
      <c r="CI996" s="471"/>
      <c r="CJ996" s="471"/>
    </row>
    <row r="997" spans="3:88" s="15" customFormat="1" x14ac:dyDescent="0.2">
      <c r="C997" s="481"/>
      <c r="H997" s="481"/>
      <c r="O997" s="506"/>
      <c r="Q997" s="481"/>
      <c r="BK997" s="16"/>
      <c r="BL997" s="16"/>
      <c r="BM997" s="16"/>
      <c r="BN997" s="17"/>
      <c r="BO997" s="17"/>
      <c r="BP997" s="17"/>
      <c r="CC997" s="471"/>
      <c r="CD997" s="471"/>
      <c r="CE997" s="471"/>
      <c r="CF997" s="471"/>
      <c r="CG997" s="471"/>
      <c r="CH997" s="471"/>
      <c r="CI997" s="471"/>
      <c r="CJ997" s="471"/>
    </row>
    <row r="998" spans="3:88" s="15" customFormat="1" x14ac:dyDescent="0.2">
      <c r="C998" s="481"/>
      <c r="H998" s="481"/>
      <c r="O998" s="506"/>
      <c r="Q998" s="481"/>
      <c r="BK998" s="16"/>
      <c r="BL998" s="16"/>
      <c r="BM998" s="16"/>
      <c r="BN998" s="17"/>
      <c r="BO998" s="17"/>
      <c r="BP998" s="17"/>
      <c r="CC998" s="471"/>
      <c r="CD998" s="471"/>
      <c r="CE998" s="471"/>
      <c r="CF998" s="471"/>
      <c r="CG998" s="471"/>
      <c r="CH998" s="471"/>
      <c r="CI998" s="471"/>
      <c r="CJ998" s="471"/>
    </row>
    <row r="999" spans="3:88" s="15" customFormat="1" x14ac:dyDescent="0.2">
      <c r="C999" s="481"/>
      <c r="H999" s="481"/>
      <c r="O999" s="506"/>
      <c r="Q999" s="481"/>
      <c r="BK999" s="16"/>
      <c r="BL999" s="16"/>
      <c r="BM999" s="16"/>
      <c r="BN999" s="17"/>
      <c r="BO999" s="17"/>
      <c r="BP999" s="17"/>
      <c r="CC999" s="471"/>
      <c r="CD999" s="471"/>
      <c r="CE999" s="471"/>
      <c r="CF999" s="471"/>
      <c r="CG999" s="471"/>
      <c r="CH999" s="471"/>
      <c r="CI999" s="471"/>
      <c r="CJ999" s="471"/>
    </row>
    <row r="1000" spans="3:88" s="15" customFormat="1" x14ac:dyDescent="0.2">
      <c r="C1000" s="481"/>
      <c r="H1000" s="481"/>
      <c r="O1000" s="506"/>
      <c r="Q1000" s="481"/>
      <c r="BK1000" s="16"/>
      <c r="BL1000" s="16"/>
      <c r="BM1000" s="16"/>
      <c r="BN1000" s="17"/>
      <c r="BO1000" s="17"/>
      <c r="BP1000" s="17"/>
      <c r="CC1000" s="471"/>
      <c r="CD1000" s="471"/>
      <c r="CE1000" s="471"/>
      <c r="CF1000" s="471"/>
      <c r="CG1000" s="471"/>
      <c r="CH1000" s="471"/>
      <c r="CI1000" s="471"/>
      <c r="CJ1000" s="471"/>
    </row>
    <row r="1001" spans="3:88" s="15" customFormat="1" x14ac:dyDescent="0.2">
      <c r="C1001" s="481"/>
      <c r="H1001" s="481"/>
      <c r="O1001" s="506"/>
      <c r="Q1001" s="481"/>
      <c r="BK1001" s="16"/>
      <c r="BL1001" s="16"/>
      <c r="BM1001" s="16"/>
      <c r="BN1001" s="17"/>
      <c r="BO1001" s="17"/>
      <c r="BP1001" s="17"/>
      <c r="CC1001" s="471"/>
      <c r="CD1001" s="471"/>
      <c r="CE1001" s="471"/>
      <c r="CF1001" s="471"/>
      <c r="CG1001" s="471"/>
      <c r="CH1001" s="471"/>
      <c r="CI1001" s="471"/>
      <c r="CJ1001" s="471"/>
    </row>
    <row r="1002" spans="3:88" s="15" customFormat="1" x14ac:dyDescent="0.2">
      <c r="C1002" s="481"/>
      <c r="H1002" s="481"/>
      <c r="O1002" s="506"/>
      <c r="Q1002" s="481"/>
      <c r="BK1002" s="16"/>
      <c r="BL1002" s="16"/>
      <c r="BM1002" s="16"/>
      <c r="BN1002" s="17"/>
      <c r="BO1002" s="17"/>
      <c r="BP1002" s="17"/>
      <c r="CC1002" s="471"/>
      <c r="CD1002" s="471"/>
      <c r="CE1002" s="471"/>
      <c r="CF1002" s="471"/>
      <c r="CG1002" s="471"/>
      <c r="CH1002" s="471"/>
      <c r="CI1002" s="471"/>
      <c r="CJ1002" s="471"/>
    </row>
    <row r="1003" spans="3:88" s="15" customFormat="1" x14ac:dyDescent="0.2">
      <c r="C1003" s="481"/>
      <c r="H1003" s="481"/>
      <c r="O1003" s="506"/>
      <c r="Q1003" s="481"/>
      <c r="BK1003" s="16"/>
      <c r="BL1003" s="16"/>
      <c r="BM1003" s="16"/>
      <c r="BN1003" s="17"/>
      <c r="BO1003" s="17"/>
      <c r="BP1003" s="17"/>
      <c r="CC1003" s="471"/>
      <c r="CD1003" s="471"/>
      <c r="CE1003" s="471"/>
      <c r="CF1003" s="471"/>
      <c r="CG1003" s="471"/>
      <c r="CH1003" s="471"/>
      <c r="CI1003" s="471"/>
      <c r="CJ1003" s="471"/>
    </row>
    <row r="1004" spans="3:88" s="15" customFormat="1" x14ac:dyDescent="0.2">
      <c r="C1004" s="481"/>
      <c r="H1004" s="481"/>
      <c r="O1004" s="506"/>
      <c r="Q1004" s="481"/>
      <c r="BK1004" s="16"/>
      <c r="BL1004" s="16"/>
      <c r="BM1004" s="16"/>
      <c r="BN1004" s="17"/>
      <c r="BO1004" s="17"/>
      <c r="BP1004" s="17"/>
      <c r="CC1004" s="471"/>
      <c r="CD1004" s="471"/>
      <c r="CE1004" s="471"/>
      <c r="CF1004" s="471"/>
      <c r="CG1004" s="471"/>
      <c r="CH1004" s="471"/>
      <c r="CI1004" s="471"/>
      <c r="CJ1004" s="471"/>
    </row>
    <row r="1005" spans="3:88" s="15" customFormat="1" x14ac:dyDescent="0.2">
      <c r="C1005" s="481"/>
      <c r="H1005" s="481"/>
      <c r="O1005" s="506"/>
      <c r="Q1005" s="481"/>
      <c r="BK1005" s="16"/>
      <c r="BL1005" s="16"/>
      <c r="BM1005" s="16"/>
      <c r="BN1005" s="17"/>
      <c r="BO1005" s="17"/>
      <c r="BP1005" s="17"/>
      <c r="CC1005" s="471"/>
      <c r="CD1005" s="471"/>
      <c r="CE1005" s="471"/>
      <c r="CF1005" s="471"/>
      <c r="CG1005" s="471"/>
      <c r="CH1005" s="471"/>
      <c r="CI1005" s="471"/>
      <c r="CJ1005" s="471"/>
    </row>
    <row r="1006" spans="3:88" s="15" customFormat="1" x14ac:dyDescent="0.2">
      <c r="C1006" s="481"/>
      <c r="H1006" s="481"/>
      <c r="O1006" s="506"/>
      <c r="Q1006" s="481"/>
      <c r="BK1006" s="16"/>
      <c r="BL1006" s="16"/>
      <c r="BM1006" s="16"/>
      <c r="BN1006" s="17"/>
      <c r="BO1006" s="17"/>
      <c r="BP1006" s="17"/>
      <c r="CC1006" s="471"/>
      <c r="CD1006" s="471"/>
      <c r="CE1006" s="471"/>
      <c r="CF1006" s="471"/>
      <c r="CG1006" s="471"/>
      <c r="CH1006" s="471"/>
      <c r="CI1006" s="471"/>
      <c r="CJ1006" s="471"/>
    </row>
    <row r="1007" spans="3:88" s="15" customFormat="1" x14ac:dyDescent="0.2">
      <c r="C1007" s="481"/>
      <c r="H1007" s="481"/>
      <c r="O1007" s="506"/>
      <c r="Q1007" s="481"/>
      <c r="BK1007" s="16"/>
      <c r="BL1007" s="16"/>
      <c r="BM1007" s="16"/>
      <c r="BN1007" s="17"/>
      <c r="BO1007" s="17"/>
      <c r="BP1007" s="17"/>
      <c r="CC1007" s="471"/>
      <c r="CD1007" s="471"/>
      <c r="CE1007" s="471"/>
      <c r="CF1007" s="471"/>
      <c r="CG1007" s="471"/>
      <c r="CH1007" s="471"/>
      <c r="CI1007" s="471"/>
      <c r="CJ1007" s="471"/>
    </row>
    <row r="1008" spans="3:88" s="15" customFormat="1" x14ac:dyDescent="0.2">
      <c r="C1008" s="481"/>
      <c r="H1008" s="481"/>
      <c r="O1008" s="506"/>
      <c r="Q1008" s="481"/>
      <c r="BK1008" s="16"/>
      <c r="BL1008" s="16"/>
      <c r="BM1008" s="16"/>
      <c r="BN1008" s="17"/>
      <c r="BO1008" s="17"/>
      <c r="BP1008" s="17"/>
      <c r="CC1008" s="471"/>
      <c r="CD1008" s="471"/>
      <c r="CE1008" s="471"/>
      <c r="CF1008" s="471"/>
      <c r="CG1008" s="471"/>
      <c r="CH1008" s="471"/>
      <c r="CI1008" s="471"/>
      <c r="CJ1008" s="471"/>
    </row>
    <row r="1009" spans="3:88" s="15" customFormat="1" x14ac:dyDescent="0.2">
      <c r="C1009" s="481"/>
      <c r="H1009" s="481"/>
      <c r="O1009" s="506"/>
      <c r="Q1009" s="481"/>
      <c r="BK1009" s="16"/>
      <c r="BL1009" s="16"/>
      <c r="BM1009" s="16"/>
      <c r="BN1009" s="17"/>
      <c r="BO1009" s="17"/>
      <c r="BP1009" s="17"/>
      <c r="CC1009" s="471"/>
      <c r="CD1009" s="471"/>
      <c r="CE1009" s="471"/>
      <c r="CF1009" s="471"/>
      <c r="CG1009" s="471"/>
      <c r="CH1009" s="471"/>
      <c r="CI1009" s="471"/>
      <c r="CJ1009" s="471"/>
    </row>
    <row r="1010" spans="3:88" s="15" customFormat="1" x14ac:dyDescent="0.2">
      <c r="C1010" s="481"/>
      <c r="H1010" s="481"/>
      <c r="O1010" s="506"/>
      <c r="Q1010" s="481"/>
      <c r="BK1010" s="16"/>
      <c r="BL1010" s="16"/>
      <c r="BM1010" s="16"/>
      <c r="BN1010" s="17"/>
      <c r="BO1010" s="17"/>
      <c r="BP1010" s="17"/>
      <c r="CC1010" s="471"/>
      <c r="CD1010" s="471"/>
      <c r="CE1010" s="471"/>
      <c r="CF1010" s="471"/>
      <c r="CG1010" s="471"/>
      <c r="CH1010" s="471"/>
      <c r="CI1010" s="471"/>
      <c r="CJ1010" s="471"/>
    </row>
    <row r="1011" spans="3:88" s="15" customFormat="1" x14ac:dyDescent="0.2">
      <c r="C1011" s="481"/>
      <c r="H1011" s="481"/>
      <c r="O1011" s="506"/>
      <c r="Q1011" s="481"/>
      <c r="BK1011" s="16"/>
      <c r="BL1011" s="16"/>
      <c r="BM1011" s="16"/>
      <c r="BN1011" s="17"/>
      <c r="BO1011" s="17"/>
      <c r="BP1011" s="17"/>
      <c r="CC1011" s="471"/>
      <c r="CD1011" s="471"/>
      <c r="CE1011" s="471"/>
      <c r="CF1011" s="471"/>
      <c r="CG1011" s="471"/>
      <c r="CH1011" s="471"/>
      <c r="CI1011" s="471"/>
      <c r="CJ1011" s="471"/>
    </row>
    <row r="1012" spans="3:88" s="15" customFormat="1" x14ac:dyDescent="0.2">
      <c r="C1012" s="481"/>
      <c r="H1012" s="481"/>
      <c r="O1012" s="506"/>
      <c r="Q1012" s="481"/>
      <c r="BK1012" s="16"/>
      <c r="BL1012" s="16"/>
      <c r="BM1012" s="16"/>
      <c r="BN1012" s="17"/>
      <c r="BO1012" s="17"/>
      <c r="BP1012" s="17"/>
      <c r="CC1012" s="471"/>
      <c r="CD1012" s="471"/>
      <c r="CE1012" s="471"/>
      <c r="CF1012" s="471"/>
      <c r="CG1012" s="471"/>
      <c r="CH1012" s="471"/>
      <c r="CI1012" s="471"/>
      <c r="CJ1012" s="471"/>
    </row>
    <row r="1013" spans="3:88" s="15" customFormat="1" x14ac:dyDescent="0.2">
      <c r="C1013" s="481"/>
      <c r="H1013" s="481"/>
      <c r="O1013" s="506"/>
      <c r="Q1013" s="481"/>
      <c r="BK1013" s="16"/>
      <c r="BL1013" s="16"/>
      <c r="BM1013" s="16"/>
      <c r="BN1013" s="17"/>
      <c r="BO1013" s="17"/>
      <c r="BP1013" s="17"/>
      <c r="CC1013" s="471"/>
      <c r="CD1013" s="471"/>
      <c r="CE1013" s="471"/>
      <c r="CF1013" s="471"/>
      <c r="CG1013" s="471"/>
      <c r="CH1013" s="471"/>
      <c r="CI1013" s="471"/>
      <c r="CJ1013" s="471"/>
    </row>
    <row r="1014" spans="3:88" s="15" customFormat="1" x14ac:dyDescent="0.2">
      <c r="C1014" s="481"/>
      <c r="H1014" s="481"/>
      <c r="O1014" s="506"/>
      <c r="Q1014" s="481"/>
      <c r="BK1014" s="16"/>
      <c r="BL1014" s="16"/>
      <c r="BM1014" s="16"/>
      <c r="BN1014" s="17"/>
      <c r="BO1014" s="17"/>
      <c r="BP1014" s="17"/>
      <c r="CC1014" s="471"/>
      <c r="CD1014" s="471"/>
      <c r="CE1014" s="471"/>
      <c r="CF1014" s="471"/>
      <c r="CG1014" s="471"/>
      <c r="CH1014" s="471"/>
      <c r="CI1014" s="471"/>
      <c r="CJ1014" s="471"/>
    </row>
    <row r="1015" spans="3:88" s="15" customFormat="1" x14ac:dyDescent="0.2">
      <c r="C1015" s="481"/>
      <c r="H1015" s="481"/>
      <c r="O1015" s="506"/>
      <c r="Q1015" s="481"/>
      <c r="BK1015" s="16"/>
      <c r="BL1015" s="16"/>
      <c r="BM1015" s="16"/>
      <c r="BN1015" s="17"/>
      <c r="BO1015" s="17"/>
      <c r="BP1015" s="17"/>
      <c r="CC1015" s="471"/>
      <c r="CD1015" s="471"/>
      <c r="CE1015" s="471"/>
      <c r="CF1015" s="471"/>
      <c r="CG1015" s="471"/>
      <c r="CH1015" s="471"/>
      <c r="CI1015" s="471"/>
      <c r="CJ1015" s="471"/>
    </row>
    <row r="1016" spans="3:88" s="15" customFormat="1" x14ac:dyDescent="0.2">
      <c r="C1016" s="481"/>
      <c r="H1016" s="481"/>
      <c r="O1016" s="506"/>
      <c r="Q1016" s="481"/>
      <c r="BK1016" s="16"/>
      <c r="BL1016" s="16"/>
      <c r="BM1016" s="16"/>
      <c r="BN1016" s="17"/>
      <c r="BO1016" s="17"/>
      <c r="BP1016" s="17"/>
      <c r="CC1016" s="471"/>
      <c r="CD1016" s="471"/>
      <c r="CE1016" s="471"/>
      <c r="CF1016" s="471"/>
      <c r="CG1016" s="471"/>
      <c r="CH1016" s="471"/>
      <c r="CI1016" s="471"/>
      <c r="CJ1016" s="471"/>
    </row>
    <row r="1017" spans="3:88" s="15" customFormat="1" x14ac:dyDescent="0.2">
      <c r="C1017" s="481"/>
      <c r="H1017" s="481"/>
      <c r="O1017" s="506"/>
      <c r="Q1017" s="481"/>
      <c r="BK1017" s="16"/>
      <c r="BL1017" s="16"/>
      <c r="BM1017" s="16"/>
      <c r="BN1017" s="17"/>
      <c r="BO1017" s="17"/>
      <c r="BP1017" s="17"/>
      <c r="CC1017" s="471"/>
      <c r="CD1017" s="471"/>
      <c r="CE1017" s="471"/>
      <c r="CF1017" s="471"/>
      <c r="CG1017" s="471"/>
      <c r="CH1017" s="471"/>
      <c r="CI1017" s="471"/>
      <c r="CJ1017" s="471"/>
    </row>
    <row r="1018" spans="3:88" s="15" customFormat="1" x14ac:dyDescent="0.2">
      <c r="C1018" s="481"/>
      <c r="H1018" s="481"/>
      <c r="O1018" s="506"/>
      <c r="Q1018" s="481"/>
      <c r="BK1018" s="16"/>
      <c r="BL1018" s="16"/>
      <c r="BM1018" s="16"/>
      <c r="BN1018" s="17"/>
      <c r="BO1018" s="17"/>
      <c r="BP1018" s="17"/>
      <c r="CC1018" s="471"/>
      <c r="CD1018" s="471"/>
      <c r="CE1018" s="471"/>
      <c r="CF1018" s="471"/>
      <c r="CG1018" s="471"/>
      <c r="CH1018" s="471"/>
      <c r="CI1018" s="471"/>
      <c r="CJ1018" s="471"/>
    </row>
    <row r="1019" spans="3:88" s="15" customFormat="1" x14ac:dyDescent="0.2">
      <c r="C1019" s="481"/>
      <c r="H1019" s="481"/>
      <c r="O1019" s="506"/>
      <c r="Q1019" s="481"/>
      <c r="BK1019" s="16"/>
      <c r="BL1019" s="16"/>
      <c r="BM1019" s="16"/>
      <c r="BN1019" s="17"/>
      <c r="BO1019" s="17"/>
      <c r="BP1019" s="17"/>
      <c r="CC1019" s="471"/>
      <c r="CD1019" s="471"/>
      <c r="CE1019" s="471"/>
      <c r="CF1019" s="471"/>
      <c r="CG1019" s="471"/>
      <c r="CH1019" s="471"/>
      <c r="CI1019" s="471"/>
      <c r="CJ1019" s="471"/>
    </row>
    <row r="1020" spans="3:88" s="15" customFormat="1" x14ac:dyDescent="0.2">
      <c r="C1020" s="481"/>
      <c r="H1020" s="481"/>
      <c r="O1020" s="506"/>
      <c r="Q1020" s="481"/>
      <c r="BK1020" s="16"/>
      <c r="BL1020" s="16"/>
      <c r="BM1020" s="16"/>
      <c r="BN1020" s="17"/>
      <c r="BO1020" s="17"/>
      <c r="BP1020" s="17"/>
      <c r="CC1020" s="471"/>
      <c r="CD1020" s="471"/>
      <c r="CE1020" s="471"/>
      <c r="CF1020" s="471"/>
      <c r="CG1020" s="471"/>
      <c r="CH1020" s="471"/>
      <c r="CI1020" s="471"/>
      <c r="CJ1020" s="471"/>
    </row>
    <row r="1021" spans="3:88" s="15" customFormat="1" x14ac:dyDescent="0.2">
      <c r="C1021" s="481"/>
      <c r="H1021" s="481"/>
      <c r="O1021" s="506"/>
      <c r="Q1021" s="481"/>
      <c r="BK1021" s="16"/>
      <c r="BL1021" s="16"/>
      <c r="BM1021" s="16"/>
      <c r="BN1021" s="17"/>
      <c r="BO1021" s="17"/>
      <c r="BP1021" s="17"/>
      <c r="CC1021" s="471"/>
      <c r="CD1021" s="471"/>
      <c r="CE1021" s="471"/>
      <c r="CF1021" s="471"/>
      <c r="CG1021" s="471"/>
      <c r="CH1021" s="471"/>
      <c r="CI1021" s="471"/>
      <c r="CJ1021" s="471"/>
    </row>
    <row r="1022" spans="3:88" s="15" customFormat="1" x14ac:dyDescent="0.2">
      <c r="C1022" s="481"/>
      <c r="H1022" s="481"/>
      <c r="O1022" s="506"/>
      <c r="Q1022" s="481"/>
      <c r="BK1022" s="16"/>
      <c r="BL1022" s="16"/>
      <c r="BM1022" s="16"/>
      <c r="BN1022" s="17"/>
      <c r="BO1022" s="17"/>
      <c r="BP1022" s="17"/>
      <c r="CC1022" s="471"/>
      <c r="CD1022" s="471"/>
      <c r="CE1022" s="471"/>
      <c r="CF1022" s="471"/>
      <c r="CG1022" s="471"/>
      <c r="CH1022" s="471"/>
      <c r="CI1022" s="471"/>
      <c r="CJ1022" s="471"/>
    </row>
    <row r="1023" spans="3:88" s="15" customFormat="1" x14ac:dyDescent="0.2">
      <c r="C1023" s="481"/>
      <c r="H1023" s="481"/>
      <c r="O1023" s="506"/>
      <c r="Q1023" s="481"/>
      <c r="BK1023" s="16"/>
      <c r="BL1023" s="16"/>
      <c r="BM1023" s="16"/>
      <c r="BN1023" s="17"/>
      <c r="BO1023" s="17"/>
      <c r="BP1023" s="17"/>
      <c r="CC1023" s="471"/>
      <c r="CD1023" s="471"/>
      <c r="CE1023" s="471"/>
      <c r="CF1023" s="471"/>
      <c r="CG1023" s="471"/>
      <c r="CH1023" s="471"/>
      <c r="CI1023" s="471"/>
      <c r="CJ1023" s="471"/>
    </row>
    <row r="1024" spans="3:88" s="15" customFormat="1" x14ac:dyDescent="0.2">
      <c r="C1024" s="481"/>
      <c r="H1024" s="481"/>
      <c r="O1024" s="506"/>
      <c r="Q1024" s="481"/>
      <c r="BK1024" s="16"/>
      <c r="BL1024" s="16"/>
      <c r="BM1024" s="16"/>
      <c r="BN1024" s="17"/>
      <c r="BO1024" s="17"/>
      <c r="BP1024" s="17"/>
      <c r="CC1024" s="471"/>
      <c r="CD1024" s="471"/>
      <c r="CE1024" s="471"/>
      <c r="CF1024" s="471"/>
      <c r="CG1024" s="471"/>
      <c r="CH1024" s="471"/>
      <c r="CI1024" s="471"/>
      <c r="CJ1024" s="471"/>
    </row>
    <row r="1025" spans="3:88" s="15" customFormat="1" x14ac:dyDescent="0.2">
      <c r="C1025" s="481"/>
      <c r="H1025" s="481"/>
      <c r="O1025" s="506"/>
      <c r="Q1025" s="481"/>
      <c r="BK1025" s="16"/>
      <c r="BL1025" s="16"/>
      <c r="BM1025" s="16"/>
      <c r="BN1025" s="17"/>
      <c r="BO1025" s="17"/>
      <c r="BP1025" s="17"/>
      <c r="CC1025" s="471"/>
      <c r="CD1025" s="471"/>
      <c r="CE1025" s="471"/>
      <c r="CF1025" s="471"/>
      <c r="CG1025" s="471"/>
      <c r="CH1025" s="471"/>
      <c r="CI1025" s="471"/>
      <c r="CJ1025" s="471"/>
    </row>
    <row r="1026" spans="3:88" s="15" customFormat="1" x14ac:dyDescent="0.2">
      <c r="C1026" s="481"/>
      <c r="H1026" s="481"/>
      <c r="O1026" s="506"/>
      <c r="Q1026" s="481"/>
      <c r="BK1026" s="16"/>
      <c r="BL1026" s="16"/>
      <c r="BM1026" s="16"/>
      <c r="BN1026" s="17"/>
      <c r="BO1026" s="17"/>
      <c r="BP1026" s="17"/>
      <c r="CC1026" s="471"/>
      <c r="CD1026" s="471"/>
      <c r="CE1026" s="471"/>
      <c r="CF1026" s="471"/>
      <c r="CG1026" s="471"/>
      <c r="CH1026" s="471"/>
      <c r="CI1026" s="471"/>
      <c r="CJ1026" s="471"/>
    </row>
    <row r="1027" spans="3:88" s="15" customFormat="1" x14ac:dyDescent="0.2">
      <c r="C1027" s="481"/>
      <c r="H1027" s="481"/>
      <c r="O1027" s="506"/>
      <c r="Q1027" s="481"/>
      <c r="BK1027" s="16"/>
      <c r="BL1027" s="16"/>
      <c r="BM1027" s="16"/>
      <c r="BN1027" s="17"/>
      <c r="BO1027" s="17"/>
      <c r="BP1027" s="17"/>
      <c r="CC1027" s="471"/>
      <c r="CD1027" s="471"/>
      <c r="CE1027" s="471"/>
      <c r="CF1027" s="471"/>
      <c r="CG1027" s="471"/>
      <c r="CH1027" s="471"/>
      <c r="CI1027" s="471"/>
      <c r="CJ1027" s="471"/>
    </row>
    <row r="1028" spans="3:88" s="15" customFormat="1" x14ac:dyDescent="0.2">
      <c r="C1028" s="481"/>
      <c r="H1028" s="481"/>
      <c r="O1028" s="506"/>
      <c r="Q1028" s="481"/>
      <c r="BK1028" s="16"/>
      <c r="BL1028" s="16"/>
      <c r="BM1028" s="16"/>
      <c r="BN1028" s="17"/>
      <c r="BO1028" s="17"/>
      <c r="BP1028" s="17"/>
      <c r="CC1028" s="471"/>
      <c r="CD1028" s="471"/>
      <c r="CE1028" s="471"/>
      <c r="CF1028" s="471"/>
      <c r="CG1028" s="471"/>
      <c r="CH1028" s="471"/>
      <c r="CI1028" s="471"/>
      <c r="CJ1028" s="471"/>
    </row>
    <row r="1029" spans="3:88" s="15" customFormat="1" x14ac:dyDescent="0.2">
      <c r="C1029" s="481"/>
      <c r="H1029" s="481"/>
      <c r="O1029" s="506"/>
      <c r="Q1029" s="481"/>
      <c r="BK1029" s="16"/>
      <c r="BL1029" s="16"/>
      <c r="BM1029" s="16"/>
      <c r="BN1029" s="17"/>
      <c r="BO1029" s="17"/>
      <c r="BP1029" s="17"/>
      <c r="CC1029" s="471"/>
      <c r="CD1029" s="471"/>
      <c r="CE1029" s="471"/>
      <c r="CF1029" s="471"/>
      <c r="CG1029" s="471"/>
      <c r="CH1029" s="471"/>
      <c r="CI1029" s="471"/>
      <c r="CJ1029" s="471"/>
    </row>
    <row r="1030" spans="3:88" s="15" customFormat="1" x14ac:dyDescent="0.2">
      <c r="C1030" s="481"/>
      <c r="H1030" s="481"/>
      <c r="O1030" s="506"/>
      <c r="Q1030" s="481"/>
      <c r="BK1030" s="16"/>
      <c r="BL1030" s="16"/>
      <c r="BM1030" s="16"/>
      <c r="BN1030" s="17"/>
      <c r="BO1030" s="17"/>
      <c r="BP1030" s="17"/>
      <c r="CC1030" s="471"/>
      <c r="CD1030" s="471"/>
      <c r="CE1030" s="471"/>
      <c r="CF1030" s="471"/>
      <c r="CG1030" s="471"/>
      <c r="CH1030" s="471"/>
      <c r="CI1030" s="471"/>
      <c r="CJ1030" s="471"/>
    </row>
    <row r="1031" spans="3:88" s="15" customFormat="1" x14ac:dyDescent="0.2">
      <c r="C1031" s="481"/>
      <c r="H1031" s="481"/>
      <c r="O1031" s="506"/>
      <c r="Q1031" s="481"/>
      <c r="BK1031" s="16"/>
      <c r="BL1031" s="16"/>
      <c r="BM1031" s="16"/>
      <c r="BN1031" s="17"/>
      <c r="BO1031" s="17"/>
      <c r="BP1031" s="17"/>
      <c r="CC1031" s="471"/>
      <c r="CD1031" s="471"/>
      <c r="CE1031" s="471"/>
      <c r="CF1031" s="471"/>
      <c r="CG1031" s="471"/>
      <c r="CH1031" s="471"/>
      <c r="CI1031" s="471"/>
      <c r="CJ1031" s="471"/>
    </row>
    <row r="1032" spans="3:88" s="15" customFormat="1" x14ac:dyDescent="0.2">
      <c r="C1032" s="481"/>
      <c r="H1032" s="481"/>
      <c r="O1032" s="506"/>
      <c r="Q1032" s="481"/>
      <c r="BK1032" s="16"/>
      <c r="BL1032" s="16"/>
      <c r="BM1032" s="16"/>
      <c r="BN1032" s="17"/>
      <c r="BO1032" s="17"/>
      <c r="BP1032" s="17"/>
      <c r="CC1032" s="471"/>
      <c r="CD1032" s="471"/>
      <c r="CE1032" s="471"/>
      <c r="CF1032" s="471"/>
      <c r="CG1032" s="471"/>
      <c r="CH1032" s="471"/>
      <c r="CI1032" s="471"/>
      <c r="CJ1032" s="471"/>
    </row>
    <row r="1033" spans="3:88" s="15" customFormat="1" x14ac:dyDescent="0.2">
      <c r="C1033" s="481"/>
      <c r="H1033" s="481"/>
      <c r="O1033" s="506"/>
      <c r="Q1033" s="481"/>
      <c r="BK1033" s="16"/>
      <c r="BL1033" s="16"/>
      <c r="BM1033" s="16"/>
      <c r="BN1033" s="17"/>
      <c r="BO1033" s="17"/>
      <c r="BP1033" s="17"/>
      <c r="CC1033" s="471"/>
      <c r="CD1033" s="471"/>
      <c r="CE1033" s="471"/>
      <c r="CF1033" s="471"/>
      <c r="CG1033" s="471"/>
      <c r="CH1033" s="471"/>
      <c r="CI1033" s="471"/>
      <c r="CJ1033" s="471"/>
    </row>
    <row r="1034" spans="3:88" s="15" customFormat="1" x14ac:dyDescent="0.2">
      <c r="C1034" s="481"/>
      <c r="H1034" s="481"/>
      <c r="O1034" s="506"/>
      <c r="Q1034" s="481"/>
      <c r="BK1034" s="16"/>
      <c r="BL1034" s="16"/>
      <c r="BM1034" s="16"/>
      <c r="BN1034" s="17"/>
      <c r="BO1034" s="17"/>
      <c r="BP1034" s="17"/>
      <c r="CC1034" s="471"/>
      <c r="CD1034" s="471"/>
      <c r="CE1034" s="471"/>
      <c r="CF1034" s="471"/>
      <c r="CG1034" s="471"/>
      <c r="CH1034" s="471"/>
      <c r="CI1034" s="471"/>
      <c r="CJ1034" s="471"/>
    </row>
    <row r="1035" spans="3:88" s="15" customFormat="1" x14ac:dyDescent="0.2">
      <c r="C1035" s="481"/>
      <c r="H1035" s="481"/>
      <c r="O1035" s="506"/>
      <c r="Q1035" s="481"/>
      <c r="BK1035" s="16"/>
      <c r="BL1035" s="16"/>
      <c r="BM1035" s="16"/>
      <c r="BN1035" s="17"/>
      <c r="BO1035" s="17"/>
      <c r="BP1035" s="17"/>
      <c r="CC1035" s="471"/>
      <c r="CD1035" s="471"/>
      <c r="CE1035" s="471"/>
      <c r="CF1035" s="471"/>
      <c r="CG1035" s="471"/>
      <c r="CH1035" s="471"/>
      <c r="CI1035" s="471"/>
      <c r="CJ1035" s="471"/>
    </row>
    <row r="1036" spans="3:88" s="15" customFormat="1" x14ac:dyDescent="0.2">
      <c r="C1036" s="481"/>
      <c r="H1036" s="481"/>
      <c r="O1036" s="506"/>
      <c r="Q1036" s="481"/>
      <c r="BK1036" s="16"/>
      <c r="BL1036" s="16"/>
      <c r="BM1036" s="16"/>
      <c r="BN1036" s="17"/>
      <c r="BO1036" s="17"/>
      <c r="BP1036" s="17"/>
      <c r="CC1036" s="471"/>
      <c r="CD1036" s="471"/>
      <c r="CE1036" s="471"/>
      <c r="CF1036" s="471"/>
      <c r="CG1036" s="471"/>
      <c r="CH1036" s="471"/>
      <c r="CI1036" s="471"/>
      <c r="CJ1036" s="471"/>
    </row>
    <row r="1037" spans="3:88" s="15" customFormat="1" x14ac:dyDescent="0.2">
      <c r="C1037" s="481"/>
      <c r="H1037" s="481"/>
      <c r="O1037" s="506"/>
      <c r="Q1037" s="481"/>
      <c r="BK1037" s="16"/>
      <c r="BL1037" s="16"/>
      <c r="BM1037" s="16"/>
      <c r="BN1037" s="17"/>
      <c r="BO1037" s="17"/>
      <c r="BP1037" s="17"/>
      <c r="CC1037" s="471"/>
      <c r="CD1037" s="471"/>
      <c r="CE1037" s="471"/>
      <c r="CF1037" s="471"/>
      <c r="CG1037" s="471"/>
      <c r="CH1037" s="471"/>
      <c r="CI1037" s="471"/>
      <c r="CJ1037" s="471"/>
    </row>
    <row r="1038" spans="3:88" s="15" customFormat="1" x14ac:dyDescent="0.2">
      <c r="C1038" s="481"/>
      <c r="H1038" s="481"/>
      <c r="O1038" s="506"/>
      <c r="Q1038" s="481"/>
      <c r="BK1038" s="16"/>
      <c r="BL1038" s="16"/>
      <c r="BM1038" s="16"/>
      <c r="BN1038" s="17"/>
      <c r="BO1038" s="17"/>
      <c r="BP1038" s="17"/>
      <c r="CC1038" s="471"/>
      <c r="CD1038" s="471"/>
      <c r="CE1038" s="471"/>
      <c r="CF1038" s="471"/>
      <c r="CG1038" s="471"/>
      <c r="CH1038" s="471"/>
      <c r="CI1038" s="471"/>
      <c r="CJ1038" s="471"/>
    </row>
    <row r="1039" spans="3:88" s="15" customFormat="1" x14ac:dyDescent="0.2">
      <c r="C1039" s="481"/>
      <c r="H1039" s="481"/>
      <c r="O1039" s="506"/>
      <c r="Q1039" s="481"/>
      <c r="BK1039" s="16"/>
      <c r="BL1039" s="16"/>
      <c r="BM1039" s="16"/>
      <c r="BN1039" s="17"/>
      <c r="BO1039" s="17"/>
      <c r="BP1039" s="17"/>
      <c r="CC1039" s="471"/>
      <c r="CD1039" s="471"/>
      <c r="CE1039" s="471"/>
      <c r="CF1039" s="471"/>
      <c r="CG1039" s="471"/>
      <c r="CH1039" s="471"/>
      <c r="CI1039" s="471"/>
      <c r="CJ1039" s="471"/>
    </row>
    <row r="1040" spans="3:88" s="15" customFormat="1" x14ac:dyDescent="0.2">
      <c r="C1040" s="481"/>
      <c r="H1040" s="481"/>
      <c r="O1040" s="506"/>
      <c r="Q1040" s="481"/>
      <c r="BK1040" s="16"/>
      <c r="BL1040" s="16"/>
      <c r="BM1040" s="16"/>
      <c r="BN1040" s="17"/>
      <c r="BO1040" s="17"/>
      <c r="BP1040" s="17"/>
      <c r="CC1040" s="471"/>
      <c r="CD1040" s="471"/>
      <c r="CE1040" s="471"/>
      <c r="CF1040" s="471"/>
      <c r="CG1040" s="471"/>
      <c r="CH1040" s="471"/>
      <c r="CI1040" s="471"/>
      <c r="CJ1040" s="471"/>
    </row>
    <row r="1041" spans="3:88" s="15" customFormat="1" x14ac:dyDescent="0.2">
      <c r="C1041" s="481"/>
      <c r="H1041" s="481"/>
      <c r="O1041" s="506"/>
      <c r="Q1041" s="481"/>
      <c r="BK1041" s="16"/>
      <c r="BL1041" s="16"/>
      <c r="BM1041" s="16"/>
      <c r="BN1041" s="17"/>
      <c r="BO1041" s="17"/>
      <c r="BP1041" s="17"/>
      <c r="CC1041" s="471"/>
      <c r="CD1041" s="471"/>
      <c r="CE1041" s="471"/>
      <c r="CF1041" s="471"/>
      <c r="CG1041" s="471"/>
      <c r="CH1041" s="471"/>
      <c r="CI1041" s="471"/>
      <c r="CJ1041" s="471"/>
    </row>
    <row r="1042" spans="3:88" s="15" customFormat="1" x14ac:dyDescent="0.2">
      <c r="C1042" s="481"/>
      <c r="H1042" s="481"/>
      <c r="O1042" s="506"/>
      <c r="Q1042" s="481"/>
      <c r="BK1042" s="16"/>
      <c r="BL1042" s="16"/>
      <c r="BM1042" s="16"/>
      <c r="BN1042" s="17"/>
      <c r="BO1042" s="17"/>
      <c r="BP1042" s="17"/>
      <c r="CC1042" s="471"/>
      <c r="CD1042" s="471"/>
      <c r="CE1042" s="471"/>
      <c r="CF1042" s="471"/>
      <c r="CG1042" s="471"/>
      <c r="CH1042" s="471"/>
      <c r="CI1042" s="471"/>
      <c r="CJ1042" s="471"/>
    </row>
    <row r="1043" spans="3:88" s="15" customFormat="1" x14ac:dyDescent="0.2">
      <c r="C1043" s="481"/>
      <c r="H1043" s="481"/>
      <c r="O1043" s="506"/>
      <c r="Q1043" s="481"/>
      <c r="BK1043" s="16"/>
      <c r="BL1043" s="16"/>
      <c r="BM1043" s="16"/>
      <c r="BN1043" s="17"/>
      <c r="BO1043" s="17"/>
      <c r="BP1043" s="17"/>
      <c r="CC1043" s="471"/>
      <c r="CD1043" s="471"/>
      <c r="CE1043" s="471"/>
      <c r="CF1043" s="471"/>
      <c r="CG1043" s="471"/>
      <c r="CH1043" s="471"/>
      <c r="CI1043" s="471"/>
      <c r="CJ1043" s="471"/>
    </row>
    <row r="1044" spans="3:88" s="15" customFormat="1" x14ac:dyDescent="0.2">
      <c r="C1044" s="481"/>
      <c r="H1044" s="481"/>
      <c r="O1044" s="506"/>
      <c r="Q1044" s="481"/>
      <c r="BK1044" s="16"/>
      <c r="BL1044" s="16"/>
      <c r="BM1044" s="16"/>
      <c r="BN1044" s="17"/>
      <c r="BO1044" s="17"/>
      <c r="BP1044" s="17"/>
      <c r="CC1044" s="471"/>
      <c r="CD1044" s="471"/>
      <c r="CE1044" s="471"/>
      <c r="CF1044" s="471"/>
      <c r="CG1044" s="471"/>
      <c r="CH1044" s="471"/>
      <c r="CI1044" s="471"/>
      <c r="CJ1044" s="471"/>
    </row>
    <row r="1045" spans="3:88" s="15" customFormat="1" x14ac:dyDescent="0.2">
      <c r="C1045" s="481"/>
      <c r="H1045" s="481"/>
      <c r="O1045" s="506"/>
      <c r="Q1045" s="481"/>
      <c r="BK1045" s="16"/>
      <c r="BL1045" s="16"/>
      <c r="BM1045" s="16"/>
      <c r="BN1045" s="17"/>
      <c r="BO1045" s="17"/>
      <c r="BP1045" s="17"/>
      <c r="CC1045" s="471"/>
      <c r="CD1045" s="471"/>
      <c r="CE1045" s="471"/>
      <c r="CF1045" s="471"/>
      <c r="CG1045" s="471"/>
      <c r="CH1045" s="471"/>
      <c r="CI1045" s="471"/>
      <c r="CJ1045" s="471"/>
    </row>
    <row r="1046" spans="3:88" s="15" customFormat="1" x14ac:dyDescent="0.2">
      <c r="C1046" s="481"/>
      <c r="H1046" s="481"/>
      <c r="O1046" s="506"/>
      <c r="Q1046" s="481"/>
      <c r="BK1046" s="16"/>
      <c r="BL1046" s="16"/>
      <c r="BM1046" s="16"/>
      <c r="BN1046" s="17"/>
      <c r="BO1046" s="17"/>
      <c r="BP1046" s="17"/>
      <c r="CC1046" s="471"/>
      <c r="CD1046" s="471"/>
      <c r="CE1046" s="471"/>
      <c r="CF1046" s="471"/>
      <c r="CG1046" s="471"/>
      <c r="CH1046" s="471"/>
      <c r="CI1046" s="471"/>
      <c r="CJ1046" s="471"/>
    </row>
    <row r="1047" spans="3:88" s="15" customFormat="1" x14ac:dyDescent="0.2">
      <c r="C1047" s="481"/>
      <c r="H1047" s="481"/>
      <c r="O1047" s="506"/>
      <c r="Q1047" s="481"/>
      <c r="BK1047" s="16"/>
      <c r="BL1047" s="16"/>
      <c r="BM1047" s="16"/>
      <c r="BN1047" s="17"/>
      <c r="BO1047" s="17"/>
      <c r="BP1047" s="17"/>
      <c r="CC1047" s="471"/>
      <c r="CD1047" s="471"/>
      <c r="CE1047" s="471"/>
      <c r="CF1047" s="471"/>
      <c r="CG1047" s="471"/>
      <c r="CH1047" s="471"/>
      <c r="CI1047" s="471"/>
      <c r="CJ1047" s="471"/>
    </row>
    <row r="1048" spans="3:88" s="15" customFormat="1" x14ac:dyDescent="0.2">
      <c r="C1048" s="481"/>
      <c r="H1048" s="481"/>
      <c r="O1048" s="506"/>
      <c r="Q1048" s="481"/>
      <c r="BK1048" s="16"/>
      <c r="BL1048" s="16"/>
      <c r="BM1048" s="16"/>
      <c r="BN1048" s="17"/>
      <c r="BO1048" s="17"/>
      <c r="BP1048" s="17"/>
      <c r="CC1048" s="471"/>
      <c r="CD1048" s="471"/>
      <c r="CE1048" s="471"/>
      <c r="CF1048" s="471"/>
      <c r="CG1048" s="471"/>
      <c r="CH1048" s="471"/>
      <c r="CI1048" s="471"/>
      <c r="CJ1048" s="471"/>
    </row>
    <row r="1049" spans="3:88" s="15" customFormat="1" x14ac:dyDescent="0.2">
      <c r="C1049" s="481"/>
      <c r="H1049" s="481"/>
      <c r="O1049" s="506"/>
      <c r="Q1049" s="481"/>
      <c r="BK1049" s="16"/>
      <c r="BL1049" s="16"/>
      <c r="BM1049" s="16"/>
      <c r="BN1049" s="17"/>
      <c r="BO1049" s="17"/>
      <c r="BP1049" s="17"/>
      <c r="CC1049" s="471"/>
      <c r="CD1049" s="471"/>
      <c r="CE1049" s="471"/>
      <c r="CF1049" s="471"/>
      <c r="CG1049" s="471"/>
      <c r="CH1049" s="471"/>
      <c r="CI1049" s="471"/>
      <c r="CJ1049" s="471"/>
    </row>
    <row r="1050" spans="3:88" s="15" customFormat="1" x14ac:dyDescent="0.2">
      <c r="C1050" s="481"/>
      <c r="H1050" s="481"/>
      <c r="O1050" s="506"/>
      <c r="Q1050" s="481"/>
      <c r="BK1050" s="16"/>
      <c r="BL1050" s="16"/>
      <c r="BM1050" s="16"/>
      <c r="BN1050" s="17"/>
      <c r="BO1050" s="17"/>
      <c r="BP1050" s="17"/>
      <c r="CC1050" s="471"/>
      <c r="CD1050" s="471"/>
      <c r="CE1050" s="471"/>
      <c r="CF1050" s="471"/>
      <c r="CG1050" s="471"/>
      <c r="CH1050" s="471"/>
      <c r="CI1050" s="471"/>
      <c r="CJ1050" s="471"/>
    </row>
    <row r="1051" spans="3:88" s="15" customFormat="1" x14ac:dyDescent="0.2">
      <c r="C1051" s="481"/>
      <c r="H1051" s="481"/>
      <c r="O1051" s="506"/>
      <c r="Q1051" s="481"/>
      <c r="BK1051" s="16"/>
      <c r="BL1051" s="16"/>
      <c r="BM1051" s="16"/>
      <c r="BN1051" s="17"/>
      <c r="BO1051" s="17"/>
      <c r="BP1051" s="17"/>
      <c r="CC1051" s="471"/>
      <c r="CD1051" s="471"/>
      <c r="CE1051" s="471"/>
      <c r="CF1051" s="471"/>
      <c r="CG1051" s="471"/>
      <c r="CH1051" s="471"/>
      <c r="CI1051" s="471"/>
      <c r="CJ1051" s="471"/>
    </row>
    <row r="1052" spans="3:88" s="15" customFormat="1" x14ac:dyDescent="0.2">
      <c r="C1052" s="481"/>
      <c r="H1052" s="481"/>
      <c r="O1052" s="506"/>
      <c r="Q1052" s="481"/>
      <c r="BK1052" s="16"/>
      <c r="BL1052" s="16"/>
      <c r="BM1052" s="16"/>
      <c r="BN1052" s="17"/>
      <c r="BO1052" s="17"/>
      <c r="BP1052" s="17"/>
      <c r="CC1052" s="471"/>
      <c r="CD1052" s="471"/>
      <c r="CE1052" s="471"/>
      <c r="CF1052" s="471"/>
      <c r="CG1052" s="471"/>
      <c r="CH1052" s="471"/>
      <c r="CI1052" s="471"/>
      <c r="CJ1052" s="471"/>
    </row>
    <row r="1053" spans="3:88" s="15" customFormat="1" x14ac:dyDescent="0.2">
      <c r="C1053" s="481"/>
      <c r="H1053" s="481"/>
      <c r="O1053" s="506"/>
      <c r="Q1053" s="481"/>
      <c r="BK1053" s="16"/>
      <c r="BL1053" s="16"/>
      <c r="BM1053" s="16"/>
      <c r="BN1053" s="17"/>
      <c r="BO1053" s="17"/>
      <c r="BP1053" s="17"/>
      <c r="CC1053" s="471"/>
      <c r="CD1053" s="471"/>
      <c r="CE1053" s="471"/>
      <c r="CF1053" s="471"/>
      <c r="CG1053" s="471"/>
      <c r="CH1053" s="471"/>
      <c r="CI1053" s="471"/>
      <c r="CJ1053" s="471"/>
    </row>
    <row r="1054" spans="3:88" s="15" customFormat="1" x14ac:dyDescent="0.2">
      <c r="C1054" s="481"/>
      <c r="H1054" s="481"/>
      <c r="O1054" s="506"/>
      <c r="Q1054" s="481"/>
      <c r="BK1054" s="16"/>
      <c r="BL1054" s="16"/>
      <c r="BM1054" s="16"/>
      <c r="BN1054" s="17"/>
      <c r="BO1054" s="17"/>
      <c r="BP1054" s="17"/>
      <c r="CC1054" s="471"/>
      <c r="CD1054" s="471"/>
      <c r="CE1054" s="471"/>
      <c r="CF1054" s="471"/>
      <c r="CG1054" s="471"/>
      <c r="CH1054" s="471"/>
      <c r="CI1054" s="471"/>
      <c r="CJ1054" s="471"/>
    </row>
    <row r="1055" spans="3:88" s="15" customFormat="1" x14ac:dyDescent="0.2">
      <c r="C1055" s="481"/>
      <c r="H1055" s="481"/>
      <c r="O1055" s="506"/>
      <c r="Q1055" s="481"/>
      <c r="BK1055" s="16"/>
      <c r="BL1055" s="16"/>
      <c r="BM1055" s="16"/>
      <c r="BN1055" s="17"/>
      <c r="BO1055" s="17"/>
      <c r="BP1055" s="17"/>
      <c r="CC1055" s="471"/>
      <c r="CD1055" s="471"/>
      <c r="CE1055" s="471"/>
      <c r="CF1055" s="471"/>
      <c r="CG1055" s="471"/>
      <c r="CH1055" s="471"/>
      <c r="CI1055" s="471"/>
      <c r="CJ1055" s="471"/>
    </row>
    <row r="1056" spans="3:88" s="15" customFormat="1" x14ac:dyDescent="0.2">
      <c r="C1056" s="481"/>
      <c r="H1056" s="481"/>
      <c r="O1056" s="506"/>
      <c r="Q1056" s="481"/>
      <c r="BK1056" s="16"/>
      <c r="BL1056" s="16"/>
      <c r="BM1056" s="16"/>
      <c r="BN1056" s="17"/>
      <c r="BO1056" s="17"/>
      <c r="BP1056" s="17"/>
      <c r="CC1056" s="471"/>
      <c r="CD1056" s="471"/>
      <c r="CE1056" s="471"/>
      <c r="CF1056" s="471"/>
      <c r="CG1056" s="471"/>
      <c r="CH1056" s="471"/>
      <c r="CI1056" s="471"/>
      <c r="CJ1056" s="471"/>
    </row>
    <row r="1057" spans="3:88" s="15" customFormat="1" x14ac:dyDescent="0.2">
      <c r="C1057" s="481"/>
      <c r="H1057" s="481"/>
      <c r="O1057" s="506"/>
      <c r="Q1057" s="481"/>
      <c r="BK1057" s="16"/>
      <c r="BL1057" s="16"/>
      <c r="BM1057" s="16"/>
      <c r="BN1057" s="17"/>
      <c r="BO1057" s="17"/>
      <c r="BP1057" s="17"/>
      <c r="CC1057" s="471"/>
      <c r="CD1057" s="471"/>
      <c r="CE1057" s="471"/>
      <c r="CF1057" s="471"/>
      <c r="CG1057" s="471"/>
      <c r="CH1057" s="471"/>
      <c r="CI1057" s="471"/>
      <c r="CJ1057" s="471"/>
    </row>
    <row r="1058" spans="3:88" s="15" customFormat="1" x14ac:dyDescent="0.2">
      <c r="C1058" s="481"/>
      <c r="H1058" s="481"/>
      <c r="O1058" s="506"/>
      <c r="Q1058" s="481"/>
      <c r="BK1058" s="16"/>
      <c r="BL1058" s="16"/>
      <c r="BM1058" s="16"/>
      <c r="BN1058" s="17"/>
      <c r="BO1058" s="17"/>
      <c r="BP1058" s="17"/>
      <c r="CC1058" s="471"/>
      <c r="CD1058" s="471"/>
      <c r="CE1058" s="471"/>
      <c r="CF1058" s="471"/>
      <c r="CG1058" s="471"/>
      <c r="CH1058" s="471"/>
      <c r="CI1058" s="471"/>
      <c r="CJ1058" s="471"/>
    </row>
    <row r="1059" spans="3:88" s="15" customFormat="1" x14ac:dyDescent="0.2">
      <c r="C1059" s="481"/>
      <c r="H1059" s="481"/>
      <c r="O1059" s="506"/>
      <c r="Q1059" s="481"/>
      <c r="BK1059" s="16"/>
      <c r="BL1059" s="16"/>
      <c r="BM1059" s="16"/>
      <c r="BN1059" s="17"/>
      <c r="BO1059" s="17"/>
      <c r="BP1059" s="17"/>
      <c r="CC1059" s="471"/>
      <c r="CD1059" s="471"/>
      <c r="CE1059" s="471"/>
      <c r="CF1059" s="471"/>
      <c r="CG1059" s="471"/>
      <c r="CH1059" s="471"/>
      <c r="CI1059" s="471"/>
      <c r="CJ1059" s="471"/>
    </row>
    <row r="1060" spans="3:88" s="15" customFormat="1" x14ac:dyDescent="0.2">
      <c r="C1060" s="481"/>
      <c r="H1060" s="481"/>
      <c r="O1060" s="506"/>
      <c r="Q1060" s="481"/>
      <c r="BK1060" s="16"/>
      <c r="BL1060" s="16"/>
      <c r="BM1060" s="16"/>
      <c r="BN1060" s="17"/>
      <c r="BO1060" s="17"/>
      <c r="BP1060" s="17"/>
      <c r="CC1060" s="471"/>
      <c r="CD1060" s="471"/>
      <c r="CE1060" s="471"/>
      <c r="CF1060" s="471"/>
      <c r="CG1060" s="471"/>
      <c r="CH1060" s="471"/>
      <c r="CI1060" s="471"/>
      <c r="CJ1060" s="471"/>
    </row>
    <row r="1061" spans="3:88" s="15" customFormat="1" x14ac:dyDescent="0.2">
      <c r="C1061" s="481"/>
      <c r="H1061" s="481"/>
      <c r="O1061" s="506"/>
      <c r="Q1061" s="481"/>
      <c r="BK1061" s="16"/>
      <c r="BL1061" s="16"/>
      <c r="BM1061" s="16"/>
      <c r="BN1061" s="17"/>
      <c r="BO1061" s="17"/>
      <c r="BP1061" s="17"/>
      <c r="CC1061" s="471"/>
      <c r="CD1061" s="471"/>
      <c r="CE1061" s="471"/>
      <c r="CF1061" s="471"/>
      <c r="CG1061" s="471"/>
      <c r="CH1061" s="471"/>
      <c r="CI1061" s="471"/>
      <c r="CJ1061" s="471"/>
    </row>
    <row r="1062" spans="3:88" s="15" customFormat="1" x14ac:dyDescent="0.2">
      <c r="C1062" s="481"/>
      <c r="H1062" s="481"/>
      <c r="O1062" s="506"/>
      <c r="Q1062" s="481"/>
      <c r="BK1062" s="16"/>
      <c r="BL1062" s="16"/>
      <c r="BM1062" s="16"/>
      <c r="BN1062" s="17"/>
      <c r="BO1062" s="17"/>
      <c r="BP1062" s="17"/>
      <c r="CC1062" s="471"/>
      <c r="CD1062" s="471"/>
      <c r="CE1062" s="471"/>
      <c r="CF1062" s="471"/>
      <c r="CG1062" s="471"/>
      <c r="CH1062" s="471"/>
      <c r="CI1062" s="471"/>
      <c r="CJ1062" s="471"/>
    </row>
    <row r="1063" spans="3:88" s="15" customFormat="1" x14ac:dyDescent="0.2">
      <c r="C1063" s="481"/>
      <c r="H1063" s="481"/>
      <c r="O1063" s="506"/>
      <c r="Q1063" s="481"/>
      <c r="BK1063" s="16"/>
      <c r="BL1063" s="16"/>
      <c r="BM1063" s="16"/>
      <c r="BN1063" s="17"/>
      <c r="BO1063" s="17"/>
      <c r="BP1063" s="17"/>
      <c r="CC1063" s="471"/>
      <c r="CD1063" s="471"/>
      <c r="CE1063" s="471"/>
      <c r="CF1063" s="471"/>
      <c r="CG1063" s="471"/>
      <c r="CH1063" s="471"/>
      <c r="CI1063" s="471"/>
      <c r="CJ1063" s="471"/>
    </row>
    <row r="1064" spans="3:88" s="15" customFormat="1" x14ac:dyDescent="0.2">
      <c r="C1064" s="481"/>
      <c r="H1064" s="481"/>
      <c r="O1064" s="506"/>
      <c r="Q1064" s="481"/>
      <c r="BK1064" s="16"/>
      <c r="BL1064" s="16"/>
      <c r="BM1064" s="16"/>
      <c r="BN1064" s="17"/>
      <c r="BO1064" s="17"/>
      <c r="BP1064" s="17"/>
      <c r="CC1064" s="471"/>
      <c r="CD1064" s="471"/>
      <c r="CE1064" s="471"/>
      <c r="CF1064" s="471"/>
      <c r="CG1064" s="471"/>
      <c r="CH1064" s="471"/>
      <c r="CI1064" s="471"/>
      <c r="CJ1064" s="471"/>
    </row>
    <row r="1065" spans="3:88" s="15" customFormat="1" x14ac:dyDescent="0.2">
      <c r="C1065" s="481"/>
      <c r="H1065" s="481"/>
      <c r="O1065" s="506"/>
      <c r="Q1065" s="481"/>
      <c r="BK1065" s="16"/>
      <c r="BL1065" s="16"/>
      <c r="BM1065" s="16"/>
      <c r="BN1065" s="17"/>
      <c r="BO1065" s="17"/>
      <c r="BP1065" s="17"/>
      <c r="CC1065" s="471"/>
      <c r="CD1065" s="471"/>
      <c r="CE1065" s="471"/>
      <c r="CF1065" s="471"/>
      <c r="CG1065" s="471"/>
      <c r="CH1065" s="471"/>
      <c r="CI1065" s="471"/>
      <c r="CJ1065" s="471"/>
    </row>
    <row r="1066" spans="3:88" s="15" customFormat="1" x14ac:dyDescent="0.2">
      <c r="C1066" s="481"/>
      <c r="H1066" s="481"/>
      <c r="O1066" s="506"/>
      <c r="Q1066" s="481"/>
      <c r="BK1066" s="16"/>
      <c r="BL1066" s="16"/>
      <c r="BM1066" s="16"/>
      <c r="BN1066" s="17"/>
      <c r="BO1066" s="17"/>
      <c r="BP1066" s="17"/>
      <c r="CC1066" s="471"/>
      <c r="CD1066" s="471"/>
      <c r="CE1066" s="471"/>
      <c r="CF1066" s="471"/>
      <c r="CG1066" s="471"/>
      <c r="CH1066" s="471"/>
      <c r="CI1066" s="471"/>
      <c r="CJ1066" s="471"/>
    </row>
    <row r="1067" spans="3:88" s="15" customFormat="1" x14ac:dyDescent="0.2">
      <c r="C1067" s="481"/>
      <c r="H1067" s="481"/>
      <c r="O1067" s="506"/>
      <c r="Q1067" s="481"/>
      <c r="BK1067" s="16"/>
      <c r="BL1067" s="16"/>
      <c r="BM1067" s="16"/>
      <c r="BN1067" s="17"/>
      <c r="BO1067" s="17"/>
      <c r="BP1067" s="17"/>
      <c r="CC1067" s="471"/>
      <c r="CD1067" s="471"/>
      <c r="CE1067" s="471"/>
      <c r="CF1067" s="471"/>
      <c r="CG1067" s="471"/>
      <c r="CH1067" s="471"/>
      <c r="CI1067" s="471"/>
      <c r="CJ1067" s="471"/>
    </row>
    <row r="1068" spans="3:88" s="15" customFormat="1" x14ac:dyDescent="0.2">
      <c r="C1068" s="481"/>
      <c r="H1068" s="481"/>
      <c r="O1068" s="506"/>
      <c r="Q1068" s="481"/>
      <c r="BK1068" s="16"/>
      <c r="BL1068" s="16"/>
      <c r="BM1068" s="16"/>
      <c r="BN1068" s="17"/>
      <c r="BO1068" s="17"/>
      <c r="BP1068" s="17"/>
      <c r="CC1068" s="471"/>
      <c r="CD1068" s="471"/>
      <c r="CE1068" s="471"/>
      <c r="CF1068" s="471"/>
      <c r="CG1068" s="471"/>
      <c r="CH1068" s="471"/>
      <c r="CI1068" s="471"/>
      <c r="CJ1068" s="471"/>
    </row>
    <row r="1069" spans="3:88" s="15" customFormat="1" x14ac:dyDescent="0.2">
      <c r="C1069" s="481"/>
      <c r="H1069" s="481"/>
      <c r="O1069" s="506"/>
      <c r="Q1069" s="481"/>
      <c r="BK1069" s="16"/>
      <c r="BL1069" s="16"/>
      <c r="BM1069" s="16"/>
      <c r="BN1069" s="17"/>
      <c r="BO1069" s="17"/>
      <c r="BP1069" s="17"/>
      <c r="CC1069" s="471"/>
      <c r="CD1069" s="471"/>
      <c r="CE1069" s="471"/>
      <c r="CF1069" s="471"/>
      <c r="CG1069" s="471"/>
      <c r="CH1069" s="471"/>
      <c r="CI1069" s="471"/>
      <c r="CJ1069" s="471"/>
    </row>
    <row r="1070" spans="3:88" s="15" customFormat="1" x14ac:dyDescent="0.2">
      <c r="C1070" s="481"/>
      <c r="H1070" s="481"/>
      <c r="O1070" s="506"/>
      <c r="Q1070" s="481"/>
      <c r="BK1070" s="16"/>
      <c r="BL1070" s="16"/>
      <c r="BM1070" s="16"/>
      <c r="BN1070" s="17"/>
      <c r="BO1070" s="17"/>
      <c r="BP1070" s="17"/>
      <c r="CC1070" s="471"/>
      <c r="CD1070" s="471"/>
      <c r="CE1070" s="471"/>
      <c r="CF1070" s="471"/>
      <c r="CG1070" s="471"/>
      <c r="CH1070" s="471"/>
      <c r="CI1070" s="471"/>
      <c r="CJ1070" s="471"/>
    </row>
    <row r="1071" spans="3:88" s="15" customFormat="1" x14ac:dyDescent="0.2">
      <c r="C1071" s="481"/>
      <c r="H1071" s="481"/>
      <c r="O1071" s="506"/>
      <c r="Q1071" s="481"/>
      <c r="BK1071" s="16"/>
      <c r="BL1071" s="16"/>
      <c r="BM1071" s="16"/>
      <c r="BN1071" s="17"/>
      <c r="BO1071" s="17"/>
      <c r="BP1071" s="17"/>
      <c r="CC1071" s="471"/>
      <c r="CD1071" s="471"/>
      <c r="CE1071" s="471"/>
      <c r="CF1071" s="471"/>
      <c r="CG1071" s="471"/>
      <c r="CH1071" s="471"/>
      <c r="CI1071" s="471"/>
      <c r="CJ1071" s="471"/>
    </row>
    <row r="1072" spans="3:88" s="15" customFormat="1" x14ac:dyDescent="0.2">
      <c r="C1072" s="481"/>
      <c r="H1072" s="481"/>
      <c r="O1072" s="506"/>
      <c r="Q1072" s="481"/>
      <c r="BK1072" s="16"/>
      <c r="BL1072" s="16"/>
      <c r="BM1072" s="16"/>
      <c r="BN1072" s="17"/>
      <c r="BO1072" s="17"/>
      <c r="BP1072" s="17"/>
      <c r="CC1072" s="471"/>
      <c r="CD1072" s="471"/>
      <c r="CE1072" s="471"/>
      <c r="CF1072" s="471"/>
      <c r="CG1072" s="471"/>
      <c r="CH1072" s="471"/>
      <c r="CI1072" s="471"/>
      <c r="CJ1072" s="471"/>
    </row>
    <row r="1073" spans="3:88" s="15" customFormat="1" x14ac:dyDescent="0.2">
      <c r="C1073" s="481"/>
      <c r="H1073" s="481"/>
      <c r="O1073" s="506"/>
      <c r="Q1073" s="481"/>
      <c r="BK1073" s="16"/>
      <c r="BL1073" s="16"/>
      <c r="BM1073" s="16"/>
      <c r="BN1073" s="17"/>
      <c r="BO1073" s="17"/>
      <c r="BP1073" s="17"/>
      <c r="CC1073" s="471"/>
      <c r="CD1073" s="471"/>
      <c r="CE1073" s="471"/>
      <c r="CF1073" s="471"/>
      <c r="CG1073" s="471"/>
      <c r="CH1073" s="471"/>
      <c r="CI1073" s="471"/>
      <c r="CJ1073" s="471"/>
    </row>
    <row r="1074" spans="3:88" s="15" customFormat="1" x14ac:dyDescent="0.2">
      <c r="C1074" s="481"/>
      <c r="H1074" s="481"/>
      <c r="O1074" s="506"/>
      <c r="Q1074" s="481"/>
      <c r="BK1074" s="16"/>
      <c r="BL1074" s="16"/>
      <c r="BM1074" s="16"/>
      <c r="BN1074" s="17"/>
      <c r="BO1074" s="17"/>
      <c r="BP1074" s="17"/>
      <c r="CC1074" s="471"/>
      <c r="CD1074" s="471"/>
      <c r="CE1074" s="471"/>
      <c r="CF1074" s="471"/>
      <c r="CG1074" s="471"/>
      <c r="CH1074" s="471"/>
      <c r="CI1074" s="471"/>
      <c r="CJ1074" s="471"/>
    </row>
    <row r="1075" spans="3:88" s="15" customFormat="1" x14ac:dyDescent="0.2">
      <c r="C1075" s="481"/>
      <c r="H1075" s="481"/>
      <c r="O1075" s="506"/>
      <c r="Q1075" s="481"/>
      <c r="BK1075" s="16"/>
      <c r="BL1075" s="16"/>
      <c r="BM1075" s="16"/>
      <c r="BN1075" s="17"/>
      <c r="BO1075" s="17"/>
      <c r="BP1075" s="17"/>
      <c r="CC1075" s="471"/>
      <c r="CD1075" s="471"/>
      <c r="CE1075" s="471"/>
      <c r="CF1075" s="471"/>
      <c r="CG1075" s="471"/>
      <c r="CH1075" s="471"/>
      <c r="CI1075" s="471"/>
      <c r="CJ1075" s="471"/>
    </row>
    <row r="1076" spans="3:88" s="15" customFormat="1" x14ac:dyDescent="0.2">
      <c r="C1076" s="481"/>
      <c r="H1076" s="481"/>
      <c r="O1076" s="506"/>
      <c r="Q1076" s="481"/>
      <c r="BK1076" s="16"/>
      <c r="BL1076" s="16"/>
      <c r="BM1076" s="16"/>
      <c r="BN1076" s="17"/>
      <c r="BO1076" s="17"/>
      <c r="BP1076" s="17"/>
      <c r="CC1076" s="471"/>
      <c r="CD1076" s="471"/>
      <c r="CE1076" s="471"/>
      <c r="CF1076" s="471"/>
      <c r="CG1076" s="471"/>
      <c r="CH1076" s="471"/>
      <c r="CI1076" s="471"/>
      <c r="CJ1076" s="471"/>
    </row>
    <row r="1077" spans="3:88" s="15" customFormat="1" x14ac:dyDescent="0.2">
      <c r="C1077" s="481"/>
      <c r="H1077" s="481"/>
      <c r="O1077" s="506"/>
      <c r="Q1077" s="481"/>
      <c r="BK1077" s="16"/>
      <c r="BL1077" s="16"/>
      <c r="BM1077" s="16"/>
      <c r="BN1077" s="17"/>
      <c r="BO1077" s="17"/>
      <c r="BP1077" s="17"/>
      <c r="CC1077" s="471"/>
      <c r="CD1077" s="471"/>
      <c r="CE1077" s="471"/>
      <c r="CF1077" s="471"/>
      <c r="CG1077" s="471"/>
      <c r="CH1077" s="471"/>
      <c r="CI1077" s="471"/>
      <c r="CJ1077" s="471"/>
    </row>
    <row r="1078" spans="3:88" s="15" customFormat="1" x14ac:dyDescent="0.2">
      <c r="C1078" s="481"/>
      <c r="H1078" s="481"/>
      <c r="O1078" s="506"/>
      <c r="Q1078" s="481"/>
      <c r="BK1078" s="16"/>
      <c r="BL1078" s="16"/>
      <c r="BM1078" s="16"/>
      <c r="BN1078" s="17"/>
      <c r="BO1078" s="17"/>
      <c r="BP1078" s="17"/>
      <c r="CC1078" s="471"/>
      <c r="CD1078" s="471"/>
      <c r="CE1078" s="471"/>
      <c r="CF1078" s="471"/>
      <c r="CG1078" s="471"/>
      <c r="CH1078" s="471"/>
      <c r="CI1078" s="471"/>
      <c r="CJ1078" s="471"/>
    </row>
    <row r="1079" spans="3:88" s="15" customFormat="1" x14ac:dyDescent="0.2">
      <c r="C1079" s="481"/>
      <c r="H1079" s="481"/>
      <c r="O1079" s="506"/>
      <c r="Q1079" s="481"/>
      <c r="BK1079" s="16"/>
      <c r="BL1079" s="16"/>
      <c r="BM1079" s="16"/>
      <c r="BN1079" s="17"/>
      <c r="BO1079" s="17"/>
      <c r="BP1079" s="17"/>
      <c r="CC1079" s="471"/>
      <c r="CD1079" s="471"/>
      <c r="CE1079" s="471"/>
      <c r="CF1079" s="471"/>
      <c r="CG1079" s="471"/>
      <c r="CH1079" s="471"/>
      <c r="CI1079" s="471"/>
      <c r="CJ1079" s="471"/>
    </row>
    <row r="1080" spans="3:88" s="15" customFormat="1" x14ac:dyDescent="0.2">
      <c r="C1080" s="481"/>
      <c r="H1080" s="481"/>
      <c r="O1080" s="506"/>
      <c r="Q1080" s="481"/>
      <c r="BK1080" s="16"/>
      <c r="BL1080" s="16"/>
      <c r="BM1080" s="16"/>
      <c r="BN1080" s="17"/>
      <c r="BO1080" s="17"/>
      <c r="BP1080" s="17"/>
      <c r="CC1080" s="471"/>
      <c r="CD1080" s="471"/>
      <c r="CE1080" s="471"/>
      <c r="CF1080" s="471"/>
      <c r="CG1080" s="471"/>
      <c r="CH1080" s="471"/>
      <c r="CI1080" s="471"/>
      <c r="CJ1080" s="471"/>
    </row>
    <row r="1081" spans="3:88" s="15" customFormat="1" x14ac:dyDescent="0.2">
      <c r="C1081" s="481"/>
      <c r="H1081" s="481"/>
      <c r="O1081" s="506"/>
      <c r="Q1081" s="481"/>
      <c r="BK1081" s="16"/>
      <c r="BL1081" s="16"/>
      <c r="BM1081" s="16"/>
      <c r="BN1081" s="17"/>
      <c r="BO1081" s="17"/>
      <c r="BP1081" s="17"/>
      <c r="CC1081" s="471"/>
      <c r="CD1081" s="471"/>
      <c r="CE1081" s="471"/>
      <c r="CF1081" s="471"/>
      <c r="CG1081" s="471"/>
      <c r="CH1081" s="471"/>
      <c r="CI1081" s="471"/>
      <c r="CJ1081" s="471"/>
    </row>
    <row r="1082" spans="3:88" s="15" customFormat="1" x14ac:dyDescent="0.2">
      <c r="C1082" s="481"/>
      <c r="H1082" s="481"/>
      <c r="O1082" s="506"/>
      <c r="Q1082" s="481"/>
      <c r="BK1082" s="16"/>
      <c r="BL1082" s="16"/>
      <c r="BM1082" s="16"/>
      <c r="BN1082" s="17"/>
      <c r="BO1082" s="17"/>
      <c r="BP1082" s="17"/>
      <c r="CC1082" s="471"/>
      <c r="CD1082" s="471"/>
      <c r="CE1082" s="471"/>
      <c r="CF1082" s="471"/>
      <c r="CG1082" s="471"/>
      <c r="CH1082" s="471"/>
      <c r="CI1082" s="471"/>
      <c r="CJ1082" s="471"/>
    </row>
    <row r="1083" spans="3:88" s="15" customFormat="1" x14ac:dyDescent="0.2">
      <c r="C1083" s="481"/>
      <c r="H1083" s="481"/>
      <c r="O1083" s="506"/>
      <c r="Q1083" s="481"/>
      <c r="BK1083" s="16"/>
      <c r="BL1083" s="16"/>
      <c r="BM1083" s="16"/>
      <c r="BN1083" s="17"/>
      <c r="BO1083" s="17"/>
      <c r="BP1083" s="17"/>
      <c r="CC1083" s="471"/>
      <c r="CD1083" s="471"/>
      <c r="CE1083" s="471"/>
      <c r="CF1083" s="471"/>
      <c r="CG1083" s="471"/>
      <c r="CH1083" s="471"/>
      <c r="CI1083" s="471"/>
      <c r="CJ1083" s="471"/>
    </row>
    <row r="1084" spans="3:88" s="15" customFormat="1" x14ac:dyDescent="0.2">
      <c r="C1084" s="481"/>
      <c r="H1084" s="481"/>
      <c r="O1084" s="506"/>
      <c r="Q1084" s="481"/>
      <c r="BK1084" s="16"/>
      <c r="BL1084" s="16"/>
      <c r="BM1084" s="16"/>
      <c r="BN1084" s="17"/>
      <c r="BO1084" s="17"/>
      <c r="BP1084" s="17"/>
      <c r="CC1084" s="471"/>
      <c r="CD1084" s="471"/>
      <c r="CE1084" s="471"/>
      <c r="CF1084" s="471"/>
      <c r="CG1084" s="471"/>
      <c r="CH1084" s="471"/>
      <c r="CI1084" s="471"/>
      <c r="CJ1084" s="471"/>
    </row>
    <row r="1085" spans="3:88" s="15" customFormat="1" x14ac:dyDescent="0.2">
      <c r="C1085" s="481"/>
      <c r="H1085" s="481"/>
      <c r="O1085" s="506"/>
      <c r="Q1085" s="481"/>
      <c r="BK1085" s="16"/>
      <c r="BL1085" s="16"/>
      <c r="BM1085" s="16"/>
      <c r="BN1085" s="17"/>
      <c r="BO1085" s="17"/>
      <c r="BP1085" s="17"/>
      <c r="CC1085" s="471"/>
      <c r="CD1085" s="471"/>
      <c r="CE1085" s="471"/>
      <c r="CF1085" s="471"/>
      <c r="CG1085" s="471"/>
      <c r="CH1085" s="471"/>
      <c r="CI1085" s="471"/>
      <c r="CJ1085" s="471"/>
    </row>
    <row r="1086" spans="3:88" s="15" customFormat="1" x14ac:dyDescent="0.2">
      <c r="C1086" s="481"/>
      <c r="H1086" s="481"/>
      <c r="O1086" s="506"/>
      <c r="Q1086" s="481"/>
      <c r="BK1086" s="16"/>
      <c r="BL1086" s="16"/>
      <c r="BM1086" s="16"/>
      <c r="BN1086" s="17"/>
      <c r="BO1086" s="17"/>
      <c r="BP1086" s="17"/>
      <c r="CC1086" s="471"/>
      <c r="CD1086" s="471"/>
      <c r="CE1086" s="471"/>
      <c r="CF1086" s="471"/>
      <c r="CG1086" s="471"/>
      <c r="CH1086" s="471"/>
      <c r="CI1086" s="471"/>
      <c r="CJ1086" s="471"/>
    </row>
    <row r="1087" spans="3:88" s="15" customFormat="1" x14ac:dyDescent="0.2">
      <c r="C1087" s="481"/>
      <c r="H1087" s="481"/>
      <c r="O1087" s="506"/>
      <c r="Q1087" s="481"/>
      <c r="BK1087" s="16"/>
      <c r="BL1087" s="16"/>
      <c r="BM1087" s="16"/>
      <c r="BN1087" s="17"/>
      <c r="BO1087" s="17"/>
      <c r="BP1087" s="17"/>
      <c r="CC1087" s="471"/>
      <c r="CD1087" s="471"/>
      <c r="CE1087" s="471"/>
      <c r="CF1087" s="471"/>
      <c r="CG1087" s="471"/>
      <c r="CH1087" s="471"/>
      <c r="CI1087" s="471"/>
      <c r="CJ1087" s="471"/>
    </row>
    <row r="1088" spans="3:88" s="15" customFormat="1" x14ac:dyDescent="0.2">
      <c r="C1088" s="481"/>
      <c r="H1088" s="481"/>
      <c r="O1088" s="506"/>
      <c r="Q1088" s="481"/>
      <c r="BK1088" s="16"/>
      <c r="BL1088" s="16"/>
      <c r="BM1088" s="16"/>
      <c r="BN1088" s="17"/>
      <c r="BO1088" s="17"/>
      <c r="BP1088" s="17"/>
      <c r="CC1088" s="471"/>
      <c r="CD1088" s="471"/>
      <c r="CE1088" s="471"/>
      <c r="CF1088" s="471"/>
      <c r="CG1088" s="471"/>
      <c r="CH1088" s="471"/>
      <c r="CI1088" s="471"/>
      <c r="CJ1088" s="471"/>
    </row>
    <row r="1089" spans="3:88" s="15" customFormat="1" x14ac:dyDescent="0.2">
      <c r="C1089" s="481"/>
      <c r="H1089" s="481"/>
      <c r="O1089" s="506"/>
      <c r="Q1089" s="481"/>
      <c r="BK1089" s="16"/>
      <c r="BL1089" s="16"/>
      <c r="BM1089" s="16"/>
      <c r="BN1089" s="17"/>
      <c r="BO1089" s="17"/>
      <c r="BP1089" s="17"/>
      <c r="CC1089" s="471"/>
      <c r="CD1089" s="471"/>
      <c r="CE1089" s="471"/>
      <c r="CF1089" s="471"/>
      <c r="CG1089" s="471"/>
      <c r="CH1089" s="471"/>
      <c r="CI1089" s="471"/>
      <c r="CJ1089" s="471"/>
    </row>
    <row r="1090" spans="3:88" s="15" customFormat="1" x14ac:dyDescent="0.2">
      <c r="C1090" s="481"/>
      <c r="H1090" s="481"/>
      <c r="O1090" s="506"/>
      <c r="Q1090" s="481"/>
      <c r="BK1090" s="16"/>
      <c r="BL1090" s="16"/>
      <c r="BM1090" s="16"/>
      <c r="BN1090" s="17"/>
      <c r="BO1090" s="17"/>
      <c r="BP1090" s="17"/>
      <c r="CC1090" s="471"/>
      <c r="CD1090" s="471"/>
      <c r="CE1090" s="471"/>
      <c r="CF1090" s="471"/>
      <c r="CG1090" s="471"/>
      <c r="CH1090" s="471"/>
      <c r="CI1090" s="471"/>
      <c r="CJ1090" s="471"/>
    </row>
    <row r="1091" spans="3:88" s="15" customFormat="1" x14ac:dyDescent="0.2">
      <c r="C1091" s="481"/>
      <c r="H1091" s="481"/>
      <c r="O1091" s="506"/>
      <c r="Q1091" s="481"/>
      <c r="BK1091" s="16"/>
      <c r="BL1091" s="16"/>
      <c r="BM1091" s="16"/>
      <c r="BN1091" s="17"/>
      <c r="BO1091" s="17"/>
      <c r="BP1091" s="17"/>
      <c r="CC1091" s="471"/>
      <c r="CD1091" s="471"/>
      <c r="CE1091" s="471"/>
      <c r="CF1091" s="471"/>
      <c r="CG1091" s="471"/>
      <c r="CH1091" s="471"/>
      <c r="CI1091" s="471"/>
      <c r="CJ1091" s="471"/>
    </row>
    <row r="1092" spans="3:88" s="15" customFormat="1" x14ac:dyDescent="0.2">
      <c r="C1092" s="481"/>
      <c r="H1092" s="481"/>
      <c r="O1092" s="506"/>
      <c r="Q1092" s="481"/>
      <c r="BK1092" s="16"/>
      <c r="BL1092" s="16"/>
      <c r="BM1092" s="16"/>
      <c r="BN1092" s="17"/>
      <c r="BO1092" s="17"/>
      <c r="BP1092" s="17"/>
      <c r="CC1092" s="471"/>
      <c r="CD1092" s="471"/>
      <c r="CE1092" s="471"/>
      <c r="CF1092" s="471"/>
      <c r="CG1092" s="471"/>
      <c r="CH1092" s="471"/>
      <c r="CI1092" s="471"/>
      <c r="CJ1092" s="471"/>
    </row>
    <row r="1093" spans="3:88" s="15" customFormat="1" x14ac:dyDescent="0.2">
      <c r="C1093" s="481"/>
      <c r="H1093" s="481"/>
      <c r="O1093" s="506"/>
      <c r="Q1093" s="481"/>
      <c r="BK1093" s="16"/>
      <c r="BL1093" s="16"/>
      <c r="BM1093" s="16"/>
      <c r="BN1093" s="17"/>
      <c r="BO1093" s="17"/>
      <c r="BP1093" s="17"/>
      <c r="CC1093" s="471"/>
      <c r="CD1093" s="471"/>
      <c r="CE1093" s="471"/>
      <c r="CF1093" s="471"/>
      <c r="CG1093" s="471"/>
      <c r="CH1093" s="471"/>
      <c r="CI1093" s="471"/>
      <c r="CJ1093" s="471"/>
    </row>
    <row r="1094" spans="3:88" s="15" customFormat="1" x14ac:dyDescent="0.2">
      <c r="C1094" s="481"/>
      <c r="H1094" s="481"/>
      <c r="O1094" s="506"/>
      <c r="Q1094" s="481"/>
      <c r="BK1094" s="16"/>
      <c r="BL1094" s="16"/>
      <c r="BM1094" s="16"/>
      <c r="BN1094" s="17"/>
      <c r="BO1094" s="17"/>
      <c r="BP1094" s="17"/>
      <c r="CC1094" s="471"/>
      <c r="CD1094" s="471"/>
      <c r="CE1094" s="471"/>
      <c r="CF1094" s="471"/>
      <c r="CG1094" s="471"/>
      <c r="CH1094" s="471"/>
      <c r="CI1094" s="471"/>
      <c r="CJ1094" s="471"/>
    </row>
    <row r="1095" spans="3:88" s="15" customFormat="1" x14ac:dyDescent="0.2">
      <c r="C1095" s="481"/>
      <c r="H1095" s="481"/>
      <c r="O1095" s="506"/>
      <c r="Q1095" s="481"/>
      <c r="BK1095" s="16"/>
      <c r="BL1095" s="16"/>
      <c r="BM1095" s="16"/>
      <c r="BN1095" s="17"/>
      <c r="BO1095" s="17"/>
      <c r="BP1095" s="17"/>
      <c r="CC1095" s="471"/>
      <c r="CD1095" s="471"/>
      <c r="CE1095" s="471"/>
      <c r="CF1095" s="471"/>
      <c r="CG1095" s="471"/>
      <c r="CH1095" s="471"/>
      <c r="CI1095" s="471"/>
      <c r="CJ1095" s="471"/>
    </row>
    <row r="1096" spans="3:88" s="15" customFormat="1" x14ac:dyDescent="0.2">
      <c r="C1096" s="481"/>
      <c r="H1096" s="481"/>
      <c r="O1096" s="506"/>
      <c r="Q1096" s="481"/>
      <c r="BK1096" s="16"/>
      <c r="BL1096" s="16"/>
      <c r="BM1096" s="16"/>
      <c r="BN1096" s="17"/>
      <c r="BO1096" s="17"/>
      <c r="BP1096" s="17"/>
      <c r="CC1096" s="471"/>
      <c r="CD1096" s="471"/>
      <c r="CE1096" s="471"/>
      <c r="CF1096" s="471"/>
      <c r="CG1096" s="471"/>
      <c r="CH1096" s="471"/>
      <c r="CI1096" s="471"/>
      <c r="CJ1096" s="471"/>
    </row>
    <row r="1097" spans="3:88" s="15" customFormat="1" x14ac:dyDescent="0.2">
      <c r="C1097" s="481"/>
      <c r="H1097" s="481"/>
      <c r="O1097" s="506"/>
      <c r="Q1097" s="481"/>
      <c r="BK1097" s="16"/>
      <c r="BL1097" s="16"/>
      <c r="BM1097" s="16"/>
      <c r="BN1097" s="17"/>
      <c r="BO1097" s="17"/>
      <c r="BP1097" s="17"/>
      <c r="CC1097" s="471"/>
      <c r="CD1097" s="471"/>
      <c r="CE1097" s="471"/>
      <c r="CF1097" s="471"/>
      <c r="CG1097" s="471"/>
      <c r="CH1097" s="471"/>
      <c r="CI1097" s="471"/>
      <c r="CJ1097" s="471"/>
    </row>
    <row r="1098" spans="3:88" s="15" customFormat="1" x14ac:dyDescent="0.2">
      <c r="C1098" s="481"/>
      <c r="H1098" s="481"/>
      <c r="O1098" s="506"/>
      <c r="Q1098" s="481"/>
      <c r="BK1098" s="16"/>
      <c r="BL1098" s="16"/>
      <c r="BM1098" s="16"/>
      <c r="BN1098" s="17"/>
      <c r="BO1098" s="17"/>
      <c r="BP1098" s="17"/>
      <c r="CC1098" s="471"/>
      <c r="CD1098" s="471"/>
      <c r="CE1098" s="471"/>
      <c r="CF1098" s="471"/>
      <c r="CG1098" s="471"/>
      <c r="CH1098" s="471"/>
      <c r="CI1098" s="471"/>
      <c r="CJ1098" s="471"/>
    </row>
    <row r="1099" spans="3:88" s="15" customFormat="1" x14ac:dyDescent="0.2">
      <c r="C1099" s="481"/>
      <c r="H1099" s="481"/>
      <c r="O1099" s="506"/>
      <c r="Q1099" s="481"/>
      <c r="BK1099" s="16"/>
      <c r="BL1099" s="16"/>
      <c r="BM1099" s="16"/>
      <c r="BN1099" s="17"/>
      <c r="BO1099" s="17"/>
      <c r="BP1099" s="17"/>
      <c r="CC1099" s="471"/>
      <c r="CD1099" s="471"/>
      <c r="CE1099" s="471"/>
      <c r="CF1099" s="471"/>
      <c r="CG1099" s="471"/>
      <c r="CH1099" s="471"/>
      <c r="CI1099" s="471"/>
      <c r="CJ1099" s="471"/>
    </row>
    <row r="1100" spans="3:88" s="15" customFormat="1" x14ac:dyDescent="0.2">
      <c r="C1100" s="481"/>
      <c r="H1100" s="481"/>
      <c r="O1100" s="506"/>
      <c r="Q1100" s="481"/>
      <c r="BK1100" s="16"/>
      <c r="BL1100" s="16"/>
      <c r="BM1100" s="16"/>
      <c r="BN1100" s="17"/>
      <c r="BO1100" s="17"/>
      <c r="BP1100" s="17"/>
      <c r="CC1100" s="471"/>
      <c r="CD1100" s="471"/>
      <c r="CE1100" s="471"/>
      <c r="CF1100" s="471"/>
      <c r="CG1100" s="471"/>
      <c r="CH1100" s="471"/>
      <c r="CI1100" s="471"/>
      <c r="CJ1100" s="471"/>
    </row>
    <row r="1101" spans="3:88" s="15" customFormat="1" x14ac:dyDescent="0.2">
      <c r="C1101" s="481"/>
      <c r="H1101" s="481"/>
      <c r="O1101" s="506"/>
      <c r="Q1101" s="481"/>
      <c r="BK1101" s="16"/>
      <c r="BL1101" s="16"/>
      <c r="BM1101" s="16"/>
      <c r="BN1101" s="17"/>
      <c r="BO1101" s="17"/>
      <c r="BP1101" s="17"/>
      <c r="CC1101" s="471"/>
      <c r="CD1101" s="471"/>
      <c r="CE1101" s="471"/>
      <c r="CF1101" s="471"/>
      <c r="CG1101" s="471"/>
      <c r="CH1101" s="471"/>
      <c r="CI1101" s="471"/>
      <c r="CJ1101" s="471"/>
    </row>
    <row r="1102" spans="3:88" s="15" customFormat="1" x14ac:dyDescent="0.2">
      <c r="C1102" s="481"/>
      <c r="H1102" s="481"/>
      <c r="O1102" s="506"/>
      <c r="Q1102" s="481"/>
      <c r="BK1102" s="16"/>
      <c r="BL1102" s="16"/>
      <c r="BM1102" s="16"/>
      <c r="BN1102" s="17"/>
      <c r="BO1102" s="17"/>
      <c r="BP1102" s="17"/>
      <c r="CC1102" s="471"/>
      <c r="CD1102" s="471"/>
      <c r="CE1102" s="471"/>
      <c r="CF1102" s="471"/>
      <c r="CG1102" s="471"/>
      <c r="CH1102" s="471"/>
      <c r="CI1102" s="471"/>
      <c r="CJ1102" s="471"/>
    </row>
    <row r="1103" spans="3:88" s="15" customFormat="1" x14ac:dyDescent="0.2">
      <c r="C1103" s="481"/>
      <c r="H1103" s="481"/>
      <c r="O1103" s="506"/>
      <c r="Q1103" s="481"/>
      <c r="BK1103" s="16"/>
      <c r="BL1103" s="16"/>
      <c r="BM1103" s="16"/>
      <c r="BN1103" s="17"/>
      <c r="BO1103" s="17"/>
      <c r="BP1103" s="17"/>
      <c r="CC1103" s="471"/>
      <c r="CD1103" s="471"/>
      <c r="CE1103" s="471"/>
      <c r="CF1103" s="471"/>
      <c r="CG1103" s="471"/>
      <c r="CH1103" s="471"/>
      <c r="CI1103" s="471"/>
      <c r="CJ1103" s="471"/>
    </row>
    <row r="1104" spans="3:88" s="15" customFormat="1" x14ac:dyDescent="0.2">
      <c r="C1104" s="481"/>
      <c r="H1104" s="481"/>
      <c r="O1104" s="506"/>
      <c r="Q1104" s="481"/>
      <c r="BK1104" s="16"/>
      <c r="BL1104" s="16"/>
      <c r="BM1104" s="16"/>
      <c r="BN1104" s="17"/>
      <c r="BO1104" s="17"/>
      <c r="BP1104" s="17"/>
      <c r="CC1104" s="471"/>
      <c r="CD1104" s="471"/>
      <c r="CE1104" s="471"/>
      <c r="CF1104" s="471"/>
      <c r="CG1104" s="471"/>
      <c r="CH1104" s="471"/>
      <c r="CI1104" s="471"/>
      <c r="CJ1104" s="471"/>
    </row>
    <row r="1105" spans="3:88" s="15" customFormat="1" x14ac:dyDescent="0.2">
      <c r="C1105" s="481"/>
      <c r="H1105" s="481"/>
      <c r="O1105" s="506"/>
      <c r="Q1105" s="481"/>
      <c r="BK1105" s="16"/>
      <c r="BL1105" s="16"/>
      <c r="BM1105" s="16"/>
      <c r="BN1105" s="17"/>
      <c r="BO1105" s="17"/>
      <c r="BP1105" s="17"/>
      <c r="CC1105" s="471"/>
      <c r="CD1105" s="471"/>
      <c r="CE1105" s="471"/>
      <c r="CF1105" s="471"/>
      <c r="CG1105" s="471"/>
      <c r="CH1105" s="471"/>
      <c r="CI1105" s="471"/>
      <c r="CJ1105" s="471"/>
    </row>
    <row r="1106" spans="3:88" s="15" customFormat="1" x14ac:dyDescent="0.2">
      <c r="C1106" s="481"/>
      <c r="H1106" s="481"/>
      <c r="O1106" s="506"/>
      <c r="Q1106" s="481"/>
      <c r="BK1106" s="16"/>
      <c r="BL1106" s="16"/>
      <c r="BM1106" s="16"/>
      <c r="BN1106" s="17"/>
      <c r="BO1106" s="17"/>
      <c r="BP1106" s="17"/>
      <c r="CC1106" s="471"/>
      <c r="CD1106" s="471"/>
      <c r="CE1106" s="471"/>
      <c r="CF1106" s="471"/>
      <c r="CG1106" s="471"/>
      <c r="CH1106" s="471"/>
      <c r="CI1106" s="471"/>
      <c r="CJ1106" s="471"/>
    </row>
    <row r="1107" spans="3:88" s="15" customFormat="1" x14ac:dyDescent="0.2">
      <c r="C1107" s="481"/>
      <c r="H1107" s="481"/>
      <c r="O1107" s="506"/>
      <c r="Q1107" s="481"/>
      <c r="BK1107" s="16"/>
      <c r="BL1107" s="16"/>
      <c r="BM1107" s="16"/>
      <c r="BN1107" s="17"/>
      <c r="BO1107" s="17"/>
      <c r="BP1107" s="17"/>
      <c r="CC1107" s="471"/>
      <c r="CD1107" s="471"/>
      <c r="CE1107" s="471"/>
      <c r="CF1107" s="471"/>
      <c r="CG1107" s="471"/>
      <c r="CH1107" s="471"/>
      <c r="CI1107" s="471"/>
      <c r="CJ1107" s="471"/>
    </row>
    <row r="1108" spans="3:88" s="15" customFormat="1" x14ac:dyDescent="0.2">
      <c r="C1108" s="481"/>
      <c r="H1108" s="481"/>
      <c r="O1108" s="506"/>
      <c r="Q1108" s="481"/>
      <c r="BK1108" s="16"/>
      <c r="BL1108" s="16"/>
      <c r="BM1108" s="16"/>
      <c r="BN1108" s="17"/>
      <c r="BO1108" s="17"/>
      <c r="BP1108" s="17"/>
      <c r="CC1108" s="471"/>
      <c r="CD1108" s="471"/>
      <c r="CE1108" s="471"/>
      <c r="CF1108" s="471"/>
      <c r="CG1108" s="471"/>
      <c r="CH1108" s="471"/>
      <c r="CI1108" s="471"/>
      <c r="CJ1108" s="471"/>
    </row>
    <row r="1109" spans="3:88" s="15" customFormat="1" x14ac:dyDescent="0.2">
      <c r="C1109" s="481"/>
      <c r="H1109" s="481"/>
      <c r="O1109" s="506"/>
      <c r="Q1109" s="481"/>
      <c r="BK1109" s="16"/>
      <c r="BL1109" s="16"/>
      <c r="BM1109" s="16"/>
      <c r="BN1109" s="17"/>
      <c r="BO1109" s="17"/>
      <c r="BP1109" s="17"/>
      <c r="CC1109" s="471"/>
      <c r="CD1109" s="471"/>
      <c r="CE1109" s="471"/>
      <c r="CF1109" s="471"/>
      <c r="CG1109" s="471"/>
      <c r="CH1109" s="471"/>
      <c r="CI1109" s="471"/>
      <c r="CJ1109" s="471"/>
    </row>
    <row r="1110" spans="3:88" s="15" customFormat="1" x14ac:dyDescent="0.2">
      <c r="C1110" s="481"/>
      <c r="H1110" s="481"/>
      <c r="O1110" s="506"/>
      <c r="Q1110" s="481"/>
      <c r="BK1110" s="16"/>
      <c r="BL1110" s="16"/>
      <c r="BM1110" s="16"/>
      <c r="BN1110" s="17"/>
      <c r="BO1110" s="17"/>
      <c r="BP1110" s="17"/>
      <c r="CC1110" s="471"/>
      <c r="CD1110" s="471"/>
      <c r="CE1110" s="471"/>
      <c r="CF1110" s="471"/>
      <c r="CG1110" s="471"/>
      <c r="CH1110" s="471"/>
      <c r="CI1110" s="471"/>
      <c r="CJ1110" s="471"/>
    </row>
    <row r="1111" spans="3:88" s="15" customFormat="1" x14ac:dyDescent="0.2">
      <c r="C1111" s="481"/>
      <c r="H1111" s="481"/>
      <c r="O1111" s="506"/>
      <c r="Q1111" s="481"/>
      <c r="BK1111" s="16"/>
      <c r="BL1111" s="16"/>
      <c r="BM1111" s="16"/>
      <c r="BN1111" s="17"/>
      <c r="BO1111" s="17"/>
      <c r="BP1111" s="17"/>
      <c r="CC1111" s="471"/>
      <c r="CD1111" s="471"/>
      <c r="CE1111" s="471"/>
      <c r="CF1111" s="471"/>
      <c r="CG1111" s="471"/>
      <c r="CH1111" s="471"/>
      <c r="CI1111" s="471"/>
      <c r="CJ1111" s="471"/>
    </row>
    <row r="1112" spans="3:88" s="15" customFormat="1" x14ac:dyDescent="0.2">
      <c r="C1112" s="481"/>
      <c r="H1112" s="481"/>
      <c r="O1112" s="506"/>
      <c r="Q1112" s="481"/>
      <c r="BK1112" s="16"/>
      <c r="BL1112" s="16"/>
      <c r="BM1112" s="16"/>
      <c r="BN1112" s="17"/>
      <c r="BO1112" s="17"/>
      <c r="BP1112" s="17"/>
      <c r="CC1112" s="471"/>
      <c r="CD1112" s="471"/>
      <c r="CE1112" s="471"/>
      <c r="CF1112" s="471"/>
      <c r="CG1112" s="471"/>
      <c r="CH1112" s="471"/>
      <c r="CI1112" s="471"/>
      <c r="CJ1112" s="471"/>
    </row>
    <row r="1113" spans="3:88" s="15" customFormat="1" x14ac:dyDescent="0.2">
      <c r="C1113" s="481"/>
      <c r="H1113" s="481"/>
      <c r="O1113" s="506"/>
      <c r="Q1113" s="481"/>
      <c r="BK1113" s="16"/>
      <c r="BL1113" s="16"/>
      <c r="BM1113" s="16"/>
      <c r="BN1113" s="17"/>
      <c r="BO1113" s="17"/>
      <c r="BP1113" s="17"/>
      <c r="CC1113" s="471"/>
      <c r="CD1113" s="471"/>
      <c r="CE1113" s="471"/>
      <c r="CF1113" s="471"/>
      <c r="CG1113" s="471"/>
      <c r="CH1113" s="471"/>
      <c r="CI1113" s="471"/>
      <c r="CJ1113" s="471"/>
    </row>
    <row r="1114" spans="3:88" s="15" customFormat="1" x14ac:dyDescent="0.2">
      <c r="C1114" s="481"/>
      <c r="H1114" s="481"/>
      <c r="O1114" s="506"/>
      <c r="Q1114" s="481"/>
      <c r="BK1114" s="16"/>
      <c r="BL1114" s="16"/>
      <c r="BM1114" s="16"/>
      <c r="BN1114" s="17"/>
      <c r="BO1114" s="17"/>
      <c r="BP1114" s="17"/>
      <c r="CC1114" s="471"/>
      <c r="CD1114" s="471"/>
      <c r="CE1114" s="471"/>
      <c r="CF1114" s="471"/>
      <c r="CG1114" s="471"/>
      <c r="CH1114" s="471"/>
      <c r="CI1114" s="471"/>
      <c r="CJ1114" s="471"/>
    </row>
    <row r="1115" spans="3:88" s="15" customFormat="1" x14ac:dyDescent="0.2">
      <c r="C1115" s="481"/>
      <c r="H1115" s="481"/>
      <c r="O1115" s="506"/>
      <c r="Q1115" s="481"/>
      <c r="BK1115" s="16"/>
      <c r="BL1115" s="16"/>
      <c r="BM1115" s="16"/>
      <c r="BN1115" s="17"/>
      <c r="BO1115" s="17"/>
      <c r="BP1115" s="17"/>
      <c r="CC1115" s="471"/>
      <c r="CD1115" s="471"/>
      <c r="CE1115" s="471"/>
      <c r="CF1115" s="471"/>
      <c r="CG1115" s="471"/>
      <c r="CH1115" s="471"/>
      <c r="CI1115" s="471"/>
      <c r="CJ1115" s="471"/>
    </row>
    <row r="1116" spans="3:88" s="15" customFormat="1" x14ac:dyDescent="0.2">
      <c r="C1116" s="481"/>
      <c r="H1116" s="481"/>
      <c r="O1116" s="506"/>
      <c r="Q1116" s="481"/>
      <c r="BK1116" s="16"/>
      <c r="BL1116" s="16"/>
      <c r="BM1116" s="16"/>
      <c r="BN1116" s="17"/>
      <c r="BO1116" s="17"/>
      <c r="BP1116" s="17"/>
      <c r="CC1116" s="471"/>
      <c r="CD1116" s="471"/>
      <c r="CE1116" s="471"/>
      <c r="CF1116" s="471"/>
      <c r="CG1116" s="471"/>
      <c r="CH1116" s="471"/>
      <c r="CI1116" s="471"/>
      <c r="CJ1116" s="471"/>
    </row>
    <row r="1117" spans="3:88" s="15" customFormat="1" x14ac:dyDescent="0.2">
      <c r="C1117" s="481"/>
      <c r="H1117" s="481"/>
      <c r="O1117" s="506"/>
      <c r="Q1117" s="481"/>
      <c r="BK1117" s="16"/>
      <c r="BL1117" s="16"/>
      <c r="BM1117" s="16"/>
      <c r="BN1117" s="17"/>
      <c r="BO1117" s="17"/>
      <c r="BP1117" s="17"/>
      <c r="CC1117" s="471"/>
      <c r="CD1117" s="471"/>
      <c r="CE1117" s="471"/>
      <c r="CF1117" s="471"/>
      <c r="CG1117" s="471"/>
      <c r="CH1117" s="471"/>
      <c r="CI1117" s="471"/>
      <c r="CJ1117" s="471"/>
    </row>
    <row r="1118" spans="3:88" s="15" customFormat="1" x14ac:dyDescent="0.2">
      <c r="C1118" s="481"/>
      <c r="H1118" s="481"/>
      <c r="O1118" s="506"/>
      <c r="Q1118" s="481"/>
      <c r="BK1118" s="16"/>
      <c r="BL1118" s="16"/>
      <c r="BM1118" s="16"/>
      <c r="BN1118" s="17"/>
      <c r="BO1118" s="17"/>
      <c r="BP1118" s="17"/>
      <c r="CC1118" s="471"/>
      <c r="CD1118" s="471"/>
      <c r="CE1118" s="471"/>
      <c r="CF1118" s="471"/>
      <c r="CG1118" s="471"/>
      <c r="CH1118" s="471"/>
      <c r="CI1118" s="471"/>
      <c r="CJ1118" s="471"/>
    </row>
    <row r="1119" spans="3:88" s="15" customFormat="1" x14ac:dyDescent="0.2">
      <c r="C1119" s="481"/>
      <c r="H1119" s="481"/>
      <c r="O1119" s="506"/>
      <c r="Q1119" s="481"/>
      <c r="BK1119" s="16"/>
      <c r="BL1119" s="16"/>
      <c r="BM1119" s="16"/>
      <c r="BN1119" s="17"/>
      <c r="BO1119" s="17"/>
      <c r="BP1119" s="17"/>
      <c r="CC1119" s="471"/>
      <c r="CD1119" s="471"/>
      <c r="CE1119" s="471"/>
      <c r="CF1119" s="471"/>
      <c r="CG1119" s="471"/>
      <c r="CH1119" s="471"/>
      <c r="CI1119" s="471"/>
      <c r="CJ1119" s="471"/>
    </row>
    <row r="1120" spans="3:88" s="15" customFormat="1" x14ac:dyDescent="0.2">
      <c r="C1120" s="481"/>
      <c r="H1120" s="481"/>
      <c r="O1120" s="506"/>
      <c r="Q1120" s="481"/>
      <c r="BK1120" s="16"/>
      <c r="BL1120" s="16"/>
      <c r="BM1120" s="16"/>
      <c r="BN1120" s="17"/>
      <c r="BO1120" s="17"/>
      <c r="BP1120" s="17"/>
      <c r="CC1120" s="471"/>
      <c r="CD1120" s="471"/>
      <c r="CE1120" s="471"/>
      <c r="CF1120" s="471"/>
      <c r="CG1120" s="471"/>
      <c r="CH1120" s="471"/>
      <c r="CI1120" s="471"/>
      <c r="CJ1120" s="471"/>
    </row>
    <row r="1121" spans="3:88" s="15" customFormat="1" x14ac:dyDescent="0.2">
      <c r="C1121" s="481"/>
      <c r="H1121" s="481"/>
      <c r="O1121" s="506"/>
      <c r="Q1121" s="481"/>
      <c r="BK1121" s="16"/>
      <c r="BL1121" s="16"/>
      <c r="BM1121" s="16"/>
      <c r="BN1121" s="17"/>
      <c r="BO1121" s="17"/>
      <c r="BP1121" s="17"/>
      <c r="CC1121" s="471"/>
      <c r="CD1121" s="471"/>
      <c r="CE1121" s="471"/>
      <c r="CF1121" s="471"/>
      <c r="CG1121" s="471"/>
      <c r="CH1121" s="471"/>
      <c r="CI1121" s="471"/>
      <c r="CJ1121" s="471"/>
    </row>
    <row r="1122" spans="3:88" s="15" customFormat="1" x14ac:dyDescent="0.2">
      <c r="C1122" s="481"/>
      <c r="H1122" s="481"/>
      <c r="O1122" s="506"/>
      <c r="Q1122" s="481"/>
      <c r="BK1122" s="16"/>
      <c r="BL1122" s="16"/>
      <c r="BM1122" s="16"/>
      <c r="BN1122" s="17"/>
      <c r="BO1122" s="17"/>
      <c r="BP1122" s="17"/>
      <c r="CC1122" s="471"/>
      <c r="CD1122" s="471"/>
      <c r="CE1122" s="471"/>
      <c r="CF1122" s="471"/>
      <c r="CG1122" s="471"/>
      <c r="CH1122" s="471"/>
      <c r="CI1122" s="471"/>
      <c r="CJ1122" s="471"/>
    </row>
    <row r="1123" spans="3:88" s="15" customFormat="1" x14ac:dyDescent="0.2">
      <c r="C1123" s="481"/>
      <c r="H1123" s="481"/>
      <c r="O1123" s="506"/>
      <c r="Q1123" s="481"/>
      <c r="BK1123" s="16"/>
      <c r="BL1123" s="16"/>
      <c r="BM1123" s="16"/>
      <c r="BN1123" s="17"/>
      <c r="BO1123" s="17"/>
      <c r="BP1123" s="17"/>
      <c r="CC1123" s="471"/>
      <c r="CD1123" s="471"/>
      <c r="CE1123" s="471"/>
      <c r="CF1123" s="471"/>
      <c r="CG1123" s="471"/>
      <c r="CH1123" s="471"/>
      <c r="CI1123" s="471"/>
      <c r="CJ1123" s="471"/>
    </row>
    <row r="1124" spans="3:88" s="15" customFormat="1" x14ac:dyDescent="0.2">
      <c r="C1124" s="481"/>
      <c r="H1124" s="481"/>
      <c r="O1124" s="506"/>
      <c r="Q1124" s="481"/>
      <c r="BK1124" s="16"/>
      <c r="BL1124" s="16"/>
      <c r="BM1124" s="16"/>
      <c r="BN1124" s="17"/>
      <c r="BO1124" s="17"/>
      <c r="BP1124" s="17"/>
      <c r="CC1124" s="471"/>
      <c r="CD1124" s="471"/>
      <c r="CE1124" s="471"/>
      <c r="CF1124" s="471"/>
      <c r="CG1124" s="471"/>
      <c r="CH1124" s="471"/>
      <c r="CI1124" s="471"/>
      <c r="CJ1124" s="471"/>
    </row>
    <row r="1125" spans="3:88" s="15" customFormat="1" x14ac:dyDescent="0.2">
      <c r="C1125" s="481"/>
      <c r="H1125" s="481"/>
      <c r="O1125" s="506"/>
      <c r="Q1125" s="481"/>
      <c r="BK1125" s="16"/>
      <c r="BL1125" s="16"/>
      <c r="BM1125" s="16"/>
      <c r="BN1125" s="17"/>
      <c r="BO1125" s="17"/>
      <c r="BP1125" s="17"/>
      <c r="CC1125" s="471"/>
      <c r="CD1125" s="471"/>
      <c r="CE1125" s="471"/>
      <c r="CF1125" s="471"/>
      <c r="CG1125" s="471"/>
      <c r="CH1125" s="471"/>
      <c r="CI1125" s="471"/>
      <c r="CJ1125" s="471"/>
    </row>
    <row r="1126" spans="3:88" s="15" customFormat="1" x14ac:dyDescent="0.2">
      <c r="C1126" s="481"/>
      <c r="H1126" s="481"/>
      <c r="O1126" s="506"/>
      <c r="Q1126" s="481"/>
      <c r="BK1126" s="16"/>
      <c r="BL1126" s="16"/>
      <c r="BM1126" s="16"/>
      <c r="BN1126" s="17"/>
      <c r="BO1126" s="17"/>
      <c r="BP1126" s="17"/>
      <c r="CC1126" s="471"/>
      <c r="CD1126" s="471"/>
      <c r="CE1126" s="471"/>
      <c r="CF1126" s="471"/>
      <c r="CG1126" s="471"/>
      <c r="CH1126" s="471"/>
      <c r="CI1126" s="471"/>
      <c r="CJ1126" s="471"/>
    </row>
    <row r="1127" spans="3:88" s="15" customFormat="1" x14ac:dyDescent="0.2">
      <c r="C1127" s="481"/>
      <c r="H1127" s="481"/>
      <c r="O1127" s="506"/>
      <c r="Q1127" s="481"/>
      <c r="BK1127" s="16"/>
      <c r="BL1127" s="16"/>
      <c r="BM1127" s="16"/>
      <c r="BN1127" s="17"/>
      <c r="BO1127" s="17"/>
      <c r="BP1127" s="17"/>
      <c r="CC1127" s="471"/>
      <c r="CD1127" s="471"/>
      <c r="CE1127" s="471"/>
      <c r="CF1127" s="471"/>
      <c r="CG1127" s="471"/>
      <c r="CH1127" s="471"/>
      <c r="CI1127" s="471"/>
      <c r="CJ1127" s="471"/>
    </row>
    <row r="1128" spans="3:88" s="15" customFormat="1" x14ac:dyDescent="0.2">
      <c r="C1128" s="481"/>
      <c r="H1128" s="481"/>
      <c r="O1128" s="506"/>
      <c r="Q1128" s="481"/>
      <c r="BK1128" s="16"/>
      <c r="BL1128" s="16"/>
      <c r="BM1128" s="16"/>
      <c r="BN1128" s="17"/>
      <c r="BO1128" s="17"/>
      <c r="BP1128" s="17"/>
      <c r="CC1128" s="471"/>
      <c r="CD1128" s="471"/>
      <c r="CE1128" s="471"/>
      <c r="CF1128" s="471"/>
      <c r="CG1128" s="471"/>
      <c r="CH1128" s="471"/>
      <c r="CI1128" s="471"/>
      <c r="CJ1128" s="471"/>
    </row>
    <row r="1129" spans="3:88" s="15" customFormat="1" x14ac:dyDescent="0.2">
      <c r="C1129" s="481"/>
      <c r="H1129" s="481"/>
      <c r="O1129" s="506"/>
      <c r="Q1129" s="481"/>
      <c r="BK1129" s="16"/>
      <c r="BL1129" s="16"/>
      <c r="BM1129" s="16"/>
      <c r="BN1129" s="17"/>
      <c r="BO1129" s="17"/>
      <c r="BP1129" s="17"/>
      <c r="CC1129" s="471"/>
      <c r="CD1129" s="471"/>
      <c r="CE1129" s="471"/>
      <c r="CF1129" s="471"/>
      <c r="CG1129" s="471"/>
      <c r="CH1129" s="471"/>
      <c r="CI1129" s="471"/>
      <c r="CJ1129" s="471"/>
    </row>
    <row r="1130" spans="3:88" s="15" customFormat="1" x14ac:dyDescent="0.2">
      <c r="C1130" s="481"/>
      <c r="H1130" s="481"/>
      <c r="O1130" s="506"/>
      <c r="Q1130" s="481"/>
      <c r="BK1130" s="16"/>
      <c r="BL1130" s="16"/>
      <c r="BM1130" s="16"/>
      <c r="BN1130" s="17"/>
      <c r="BO1130" s="17"/>
      <c r="BP1130" s="17"/>
      <c r="CC1130" s="471"/>
      <c r="CD1130" s="471"/>
      <c r="CE1130" s="471"/>
      <c r="CF1130" s="471"/>
      <c r="CG1130" s="471"/>
      <c r="CH1130" s="471"/>
      <c r="CI1130" s="471"/>
      <c r="CJ1130" s="471"/>
    </row>
    <row r="1131" spans="3:88" s="15" customFormat="1" x14ac:dyDescent="0.2">
      <c r="C1131" s="481"/>
      <c r="H1131" s="481"/>
      <c r="O1131" s="506"/>
      <c r="Q1131" s="481"/>
      <c r="BK1131" s="16"/>
      <c r="BL1131" s="16"/>
      <c r="BM1131" s="16"/>
      <c r="BN1131" s="17"/>
      <c r="BO1131" s="17"/>
      <c r="BP1131" s="17"/>
      <c r="CC1131" s="471"/>
      <c r="CD1131" s="471"/>
      <c r="CE1131" s="471"/>
      <c r="CF1131" s="471"/>
      <c r="CG1131" s="471"/>
      <c r="CH1131" s="471"/>
      <c r="CI1131" s="471"/>
      <c r="CJ1131" s="471"/>
    </row>
    <row r="1132" spans="3:88" s="15" customFormat="1" x14ac:dyDescent="0.2">
      <c r="C1132" s="481"/>
      <c r="H1132" s="481"/>
      <c r="O1132" s="506"/>
      <c r="Q1132" s="481"/>
      <c r="BK1132" s="16"/>
      <c r="BL1132" s="16"/>
      <c r="BM1132" s="16"/>
      <c r="BN1132" s="17"/>
      <c r="BO1132" s="17"/>
      <c r="BP1132" s="17"/>
      <c r="CC1132" s="471"/>
      <c r="CD1132" s="471"/>
      <c r="CE1132" s="471"/>
      <c r="CF1132" s="471"/>
      <c r="CG1132" s="471"/>
      <c r="CH1132" s="471"/>
      <c r="CI1132" s="471"/>
      <c r="CJ1132" s="471"/>
    </row>
    <row r="1133" spans="3:88" s="15" customFormat="1" x14ac:dyDescent="0.2">
      <c r="C1133" s="481"/>
      <c r="H1133" s="481"/>
      <c r="O1133" s="506"/>
      <c r="Q1133" s="481"/>
      <c r="BK1133" s="16"/>
      <c r="BL1133" s="16"/>
      <c r="BM1133" s="16"/>
      <c r="BN1133" s="17"/>
      <c r="BO1133" s="17"/>
      <c r="BP1133" s="17"/>
      <c r="CC1133" s="471"/>
      <c r="CD1133" s="471"/>
      <c r="CE1133" s="471"/>
      <c r="CF1133" s="471"/>
      <c r="CG1133" s="471"/>
      <c r="CH1133" s="471"/>
      <c r="CI1133" s="471"/>
      <c r="CJ1133" s="471"/>
    </row>
    <row r="1134" spans="3:88" s="15" customFormat="1" x14ac:dyDescent="0.2">
      <c r="C1134" s="481"/>
      <c r="H1134" s="481"/>
      <c r="O1134" s="506"/>
      <c r="Q1134" s="481"/>
      <c r="BK1134" s="16"/>
      <c r="BL1134" s="16"/>
      <c r="BM1134" s="16"/>
      <c r="BN1134" s="17"/>
      <c r="BO1134" s="17"/>
      <c r="BP1134" s="17"/>
      <c r="CC1134" s="471"/>
      <c r="CD1134" s="471"/>
      <c r="CE1134" s="471"/>
      <c r="CF1134" s="471"/>
      <c r="CG1134" s="471"/>
      <c r="CH1134" s="471"/>
      <c r="CI1134" s="471"/>
      <c r="CJ1134" s="471"/>
    </row>
    <row r="1135" spans="3:88" s="15" customFormat="1" x14ac:dyDescent="0.2">
      <c r="C1135" s="481"/>
      <c r="H1135" s="481"/>
      <c r="O1135" s="506"/>
      <c r="Q1135" s="481"/>
      <c r="BK1135" s="16"/>
      <c r="BL1135" s="16"/>
      <c r="BM1135" s="16"/>
      <c r="BN1135" s="17"/>
      <c r="BO1135" s="17"/>
      <c r="BP1135" s="17"/>
      <c r="CC1135" s="471"/>
      <c r="CD1135" s="471"/>
      <c r="CE1135" s="471"/>
      <c r="CF1135" s="471"/>
      <c r="CG1135" s="471"/>
      <c r="CH1135" s="471"/>
      <c r="CI1135" s="471"/>
      <c r="CJ1135" s="471"/>
    </row>
    <row r="1136" spans="3:88" s="15" customFormat="1" x14ac:dyDescent="0.2">
      <c r="C1136" s="481"/>
      <c r="H1136" s="481"/>
      <c r="O1136" s="506"/>
      <c r="Q1136" s="481"/>
      <c r="BK1136" s="16"/>
      <c r="BL1136" s="16"/>
      <c r="BM1136" s="16"/>
      <c r="BN1136" s="17"/>
      <c r="BO1136" s="17"/>
      <c r="BP1136" s="17"/>
      <c r="CC1136" s="471"/>
      <c r="CD1136" s="471"/>
      <c r="CE1136" s="471"/>
      <c r="CF1136" s="471"/>
      <c r="CG1136" s="471"/>
      <c r="CH1136" s="471"/>
      <c r="CI1136" s="471"/>
      <c r="CJ1136" s="471"/>
    </row>
    <row r="1137" spans="3:88" s="15" customFormat="1" x14ac:dyDescent="0.2">
      <c r="C1137" s="481"/>
      <c r="H1137" s="481"/>
      <c r="O1137" s="506"/>
      <c r="Q1137" s="481"/>
      <c r="BK1137" s="16"/>
      <c r="BL1137" s="16"/>
      <c r="BM1137" s="16"/>
      <c r="BN1137" s="17"/>
      <c r="BO1137" s="17"/>
      <c r="BP1137" s="17"/>
      <c r="CC1137" s="471"/>
      <c r="CD1137" s="471"/>
      <c r="CE1137" s="471"/>
      <c r="CF1137" s="471"/>
      <c r="CG1137" s="471"/>
      <c r="CH1137" s="471"/>
      <c r="CI1137" s="471"/>
      <c r="CJ1137" s="471"/>
    </row>
    <row r="1138" spans="3:88" s="15" customFormat="1" x14ac:dyDescent="0.2">
      <c r="C1138" s="481"/>
      <c r="H1138" s="481"/>
      <c r="O1138" s="506"/>
      <c r="Q1138" s="481"/>
      <c r="BK1138" s="16"/>
      <c r="BL1138" s="16"/>
      <c r="BM1138" s="16"/>
      <c r="BN1138" s="17"/>
      <c r="BO1138" s="17"/>
      <c r="BP1138" s="17"/>
      <c r="CC1138" s="471"/>
      <c r="CD1138" s="471"/>
      <c r="CE1138" s="471"/>
      <c r="CF1138" s="471"/>
      <c r="CG1138" s="471"/>
      <c r="CH1138" s="471"/>
      <c r="CI1138" s="471"/>
      <c r="CJ1138" s="471"/>
    </row>
    <row r="1139" spans="3:88" s="15" customFormat="1" x14ac:dyDescent="0.2">
      <c r="C1139" s="481"/>
      <c r="H1139" s="481"/>
      <c r="O1139" s="506"/>
      <c r="Q1139" s="481"/>
      <c r="BK1139" s="16"/>
      <c r="BL1139" s="16"/>
      <c r="BM1139" s="16"/>
      <c r="BN1139" s="17"/>
      <c r="BO1139" s="17"/>
      <c r="BP1139" s="17"/>
      <c r="CC1139" s="471"/>
      <c r="CD1139" s="471"/>
      <c r="CE1139" s="471"/>
      <c r="CF1139" s="471"/>
      <c r="CG1139" s="471"/>
      <c r="CH1139" s="471"/>
      <c r="CI1139" s="471"/>
      <c r="CJ1139" s="471"/>
    </row>
    <row r="1140" spans="3:88" s="15" customFormat="1" x14ac:dyDescent="0.2">
      <c r="C1140" s="481"/>
      <c r="H1140" s="481"/>
      <c r="O1140" s="506"/>
      <c r="Q1140" s="481"/>
      <c r="BK1140" s="16"/>
      <c r="BL1140" s="16"/>
      <c r="BM1140" s="16"/>
      <c r="BN1140" s="17"/>
      <c r="BO1140" s="17"/>
      <c r="BP1140" s="17"/>
      <c r="CC1140" s="471"/>
      <c r="CD1140" s="471"/>
      <c r="CE1140" s="471"/>
      <c r="CF1140" s="471"/>
      <c r="CG1140" s="471"/>
      <c r="CH1140" s="471"/>
      <c r="CI1140" s="471"/>
      <c r="CJ1140" s="471"/>
    </row>
    <row r="1141" spans="3:88" s="15" customFormat="1" x14ac:dyDescent="0.2">
      <c r="C1141" s="481"/>
      <c r="H1141" s="481"/>
      <c r="O1141" s="506"/>
      <c r="Q1141" s="481"/>
      <c r="BK1141" s="16"/>
      <c r="BL1141" s="16"/>
      <c r="BM1141" s="16"/>
      <c r="BN1141" s="17"/>
      <c r="BO1141" s="17"/>
      <c r="BP1141" s="17"/>
      <c r="CC1141" s="471"/>
      <c r="CD1141" s="471"/>
      <c r="CE1141" s="471"/>
      <c r="CF1141" s="471"/>
      <c r="CG1141" s="471"/>
      <c r="CH1141" s="471"/>
      <c r="CI1141" s="471"/>
      <c r="CJ1141" s="471"/>
    </row>
    <row r="1142" spans="3:88" s="15" customFormat="1" x14ac:dyDescent="0.2">
      <c r="C1142" s="481"/>
      <c r="H1142" s="481"/>
      <c r="O1142" s="506"/>
      <c r="Q1142" s="481"/>
      <c r="BK1142" s="16"/>
      <c r="BL1142" s="16"/>
      <c r="BM1142" s="16"/>
      <c r="BN1142" s="17"/>
      <c r="BO1142" s="17"/>
      <c r="BP1142" s="17"/>
      <c r="CC1142" s="471"/>
      <c r="CD1142" s="471"/>
      <c r="CE1142" s="471"/>
      <c r="CF1142" s="471"/>
      <c r="CG1142" s="471"/>
      <c r="CH1142" s="471"/>
      <c r="CI1142" s="471"/>
      <c r="CJ1142" s="471"/>
    </row>
    <row r="1143" spans="3:88" s="15" customFormat="1" x14ac:dyDescent="0.2">
      <c r="C1143" s="481"/>
      <c r="H1143" s="481"/>
      <c r="O1143" s="506"/>
      <c r="Q1143" s="481"/>
      <c r="BK1143" s="16"/>
      <c r="BL1143" s="16"/>
      <c r="BM1143" s="16"/>
      <c r="BN1143" s="17"/>
      <c r="BO1143" s="17"/>
      <c r="BP1143" s="17"/>
      <c r="CC1143" s="471"/>
      <c r="CD1143" s="471"/>
      <c r="CE1143" s="471"/>
      <c r="CF1143" s="471"/>
      <c r="CG1143" s="471"/>
      <c r="CH1143" s="471"/>
      <c r="CI1143" s="471"/>
      <c r="CJ1143" s="471"/>
    </row>
    <row r="1144" spans="3:88" s="15" customFormat="1" x14ac:dyDescent="0.2">
      <c r="C1144" s="481"/>
      <c r="H1144" s="481"/>
      <c r="O1144" s="506"/>
      <c r="Q1144" s="481"/>
      <c r="BK1144" s="16"/>
      <c r="BL1144" s="16"/>
      <c r="BM1144" s="16"/>
      <c r="BN1144" s="17"/>
      <c r="BO1144" s="17"/>
      <c r="BP1144" s="17"/>
      <c r="CC1144" s="471"/>
      <c r="CD1144" s="471"/>
      <c r="CE1144" s="471"/>
      <c r="CF1144" s="471"/>
      <c r="CG1144" s="471"/>
      <c r="CH1144" s="471"/>
      <c r="CI1144" s="471"/>
      <c r="CJ1144" s="471"/>
    </row>
    <row r="1145" spans="3:88" s="15" customFormat="1" x14ac:dyDescent="0.2">
      <c r="C1145" s="481"/>
      <c r="H1145" s="481"/>
      <c r="O1145" s="506"/>
      <c r="Q1145" s="481"/>
      <c r="BK1145" s="16"/>
      <c r="BL1145" s="16"/>
      <c r="BM1145" s="16"/>
      <c r="BN1145" s="17"/>
      <c r="BO1145" s="17"/>
      <c r="BP1145" s="17"/>
      <c r="CC1145" s="471"/>
      <c r="CD1145" s="471"/>
      <c r="CE1145" s="471"/>
      <c r="CF1145" s="471"/>
      <c r="CG1145" s="471"/>
      <c r="CH1145" s="471"/>
      <c r="CI1145" s="471"/>
      <c r="CJ1145" s="471"/>
    </row>
    <row r="1146" spans="3:88" s="15" customFormat="1" x14ac:dyDescent="0.2">
      <c r="C1146" s="481"/>
      <c r="H1146" s="481"/>
      <c r="O1146" s="506"/>
      <c r="Q1146" s="481"/>
      <c r="BK1146" s="16"/>
      <c r="BL1146" s="16"/>
      <c r="BM1146" s="16"/>
      <c r="BN1146" s="17"/>
      <c r="BO1146" s="17"/>
      <c r="BP1146" s="17"/>
      <c r="CC1146" s="471"/>
      <c r="CD1146" s="471"/>
      <c r="CE1146" s="471"/>
      <c r="CF1146" s="471"/>
      <c r="CG1146" s="471"/>
      <c r="CH1146" s="471"/>
      <c r="CI1146" s="471"/>
      <c r="CJ1146" s="471"/>
    </row>
    <row r="1147" spans="3:88" s="15" customFormat="1" x14ac:dyDescent="0.2">
      <c r="C1147" s="481"/>
      <c r="H1147" s="481"/>
      <c r="O1147" s="506"/>
      <c r="Q1147" s="481"/>
      <c r="BK1147" s="16"/>
      <c r="BL1147" s="16"/>
      <c r="BM1147" s="16"/>
      <c r="BN1147" s="17"/>
      <c r="BO1147" s="17"/>
      <c r="BP1147" s="17"/>
      <c r="CC1147" s="471"/>
      <c r="CD1147" s="471"/>
      <c r="CE1147" s="471"/>
      <c r="CF1147" s="471"/>
      <c r="CG1147" s="471"/>
      <c r="CH1147" s="471"/>
      <c r="CI1147" s="471"/>
      <c r="CJ1147" s="471"/>
    </row>
    <row r="1148" spans="3:88" s="15" customFormat="1" x14ac:dyDescent="0.2">
      <c r="C1148" s="481"/>
      <c r="H1148" s="481"/>
      <c r="O1148" s="506"/>
      <c r="Q1148" s="481"/>
      <c r="BK1148" s="16"/>
      <c r="BL1148" s="16"/>
      <c r="BM1148" s="16"/>
      <c r="BN1148" s="17"/>
      <c r="BO1148" s="17"/>
      <c r="BP1148" s="17"/>
      <c r="CC1148" s="471"/>
      <c r="CD1148" s="471"/>
      <c r="CE1148" s="471"/>
      <c r="CF1148" s="471"/>
      <c r="CG1148" s="471"/>
      <c r="CH1148" s="471"/>
      <c r="CI1148" s="471"/>
      <c r="CJ1148" s="471"/>
    </row>
    <row r="1149" spans="3:88" s="15" customFormat="1" x14ac:dyDescent="0.2">
      <c r="C1149" s="481"/>
      <c r="H1149" s="481"/>
      <c r="O1149" s="506"/>
      <c r="Q1149" s="481"/>
      <c r="BK1149" s="16"/>
      <c r="BL1149" s="16"/>
      <c r="BM1149" s="16"/>
      <c r="BN1149" s="17"/>
      <c r="BO1149" s="17"/>
      <c r="BP1149" s="17"/>
      <c r="CC1149" s="471"/>
      <c r="CD1149" s="471"/>
      <c r="CE1149" s="471"/>
      <c r="CF1149" s="471"/>
      <c r="CG1149" s="471"/>
      <c r="CH1149" s="471"/>
      <c r="CI1149" s="471"/>
      <c r="CJ1149" s="471"/>
    </row>
    <row r="1150" spans="3:88" s="15" customFormat="1" x14ac:dyDescent="0.2">
      <c r="C1150" s="481"/>
      <c r="H1150" s="481"/>
      <c r="O1150" s="506"/>
      <c r="Q1150" s="481"/>
      <c r="BK1150" s="16"/>
      <c r="BL1150" s="16"/>
      <c r="BM1150" s="16"/>
      <c r="BN1150" s="17"/>
      <c r="BO1150" s="17"/>
      <c r="BP1150" s="17"/>
      <c r="CC1150" s="471"/>
      <c r="CD1150" s="471"/>
      <c r="CE1150" s="471"/>
      <c r="CF1150" s="471"/>
      <c r="CG1150" s="471"/>
      <c r="CH1150" s="471"/>
      <c r="CI1150" s="471"/>
      <c r="CJ1150" s="471"/>
    </row>
    <row r="1151" spans="3:88" s="15" customFormat="1" x14ac:dyDescent="0.2">
      <c r="C1151" s="481"/>
      <c r="H1151" s="481"/>
      <c r="O1151" s="506"/>
      <c r="Q1151" s="481"/>
      <c r="BK1151" s="16"/>
      <c r="BL1151" s="16"/>
      <c r="BM1151" s="16"/>
      <c r="BN1151" s="17"/>
      <c r="BO1151" s="17"/>
      <c r="BP1151" s="17"/>
      <c r="CC1151" s="471"/>
      <c r="CD1151" s="471"/>
      <c r="CE1151" s="471"/>
      <c r="CF1151" s="471"/>
      <c r="CG1151" s="471"/>
      <c r="CH1151" s="471"/>
      <c r="CI1151" s="471"/>
      <c r="CJ1151" s="471"/>
    </row>
    <row r="1152" spans="3:88" s="15" customFormat="1" x14ac:dyDescent="0.2">
      <c r="C1152" s="481"/>
      <c r="H1152" s="481"/>
      <c r="O1152" s="506"/>
      <c r="Q1152" s="481"/>
      <c r="BK1152" s="16"/>
      <c r="BL1152" s="16"/>
      <c r="BM1152" s="16"/>
      <c r="BN1152" s="17"/>
      <c r="BO1152" s="17"/>
      <c r="BP1152" s="17"/>
      <c r="CC1152" s="471"/>
      <c r="CD1152" s="471"/>
      <c r="CE1152" s="471"/>
      <c r="CF1152" s="471"/>
      <c r="CG1152" s="471"/>
      <c r="CH1152" s="471"/>
      <c r="CI1152" s="471"/>
      <c r="CJ1152" s="471"/>
    </row>
    <row r="1153" spans="3:88" s="15" customFormat="1" x14ac:dyDescent="0.2">
      <c r="C1153" s="481"/>
      <c r="H1153" s="481"/>
      <c r="O1153" s="506"/>
      <c r="Q1153" s="481"/>
      <c r="BK1153" s="16"/>
      <c r="BL1153" s="16"/>
      <c r="BM1153" s="16"/>
      <c r="BN1153" s="17"/>
      <c r="BO1153" s="17"/>
      <c r="BP1153" s="17"/>
      <c r="CC1153" s="471"/>
      <c r="CD1153" s="471"/>
      <c r="CE1153" s="471"/>
      <c r="CF1153" s="471"/>
      <c r="CG1153" s="471"/>
      <c r="CH1153" s="471"/>
      <c r="CI1153" s="471"/>
      <c r="CJ1153" s="471"/>
    </row>
    <row r="1154" spans="3:88" s="15" customFormat="1" x14ac:dyDescent="0.2">
      <c r="C1154" s="481"/>
      <c r="H1154" s="481"/>
      <c r="O1154" s="506"/>
      <c r="Q1154" s="481"/>
      <c r="BK1154" s="16"/>
      <c r="BL1154" s="16"/>
      <c r="BM1154" s="16"/>
      <c r="BN1154" s="17"/>
      <c r="BO1154" s="17"/>
      <c r="BP1154" s="17"/>
      <c r="CC1154" s="471"/>
      <c r="CD1154" s="471"/>
      <c r="CE1154" s="471"/>
      <c r="CF1154" s="471"/>
      <c r="CG1154" s="471"/>
      <c r="CH1154" s="471"/>
      <c r="CI1154" s="471"/>
      <c r="CJ1154" s="471"/>
    </row>
    <row r="1155" spans="3:88" s="15" customFormat="1" x14ac:dyDescent="0.2">
      <c r="C1155" s="481"/>
      <c r="H1155" s="481"/>
      <c r="O1155" s="506"/>
      <c r="Q1155" s="481"/>
      <c r="BK1155" s="16"/>
      <c r="BL1155" s="16"/>
      <c r="BM1155" s="16"/>
      <c r="BN1155" s="17"/>
      <c r="BO1155" s="17"/>
      <c r="BP1155" s="17"/>
      <c r="CC1155" s="471"/>
      <c r="CD1155" s="471"/>
      <c r="CE1155" s="471"/>
      <c r="CF1155" s="471"/>
      <c r="CG1155" s="471"/>
      <c r="CH1155" s="471"/>
      <c r="CI1155" s="471"/>
      <c r="CJ1155" s="471"/>
    </row>
    <row r="1156" spans="3:88" s="15" customFormat="1" x14ac:dyDescent="0.2">
      <c r="C1156" s="481"/>
      <c r="H1156" s="481"/>
      <c r="O1156" s="506"/>
      <c r="Q1156" s="481"/>
      <c r="BK1156" s="16"/>
      <c r="BL1156" s="16"/>
      <c r="BM1156" s="16"/>
      <c r="BN1156" s="17"/>
      <c r="BO1156" s="17"/>
      <c r="BP1156" s="17"/>
      <c r="CC1156" s="471"/>
      <c r="CD1156" s="471"/>
      <c r="CE1156" s="471"/>
      <c r="CF1156" s="471"/>
      <c r="CG1156" s="471"/>
      <c r="CH1156" s="471"/>
      <c r="CI1156" s="471"/>
      <c r="CJ1156" s="471"/>
    </row>
    <row r="1157" spans="3:88" s="15" customFormat="1" x14ac:dyDescent="0.2">
      <c r="C1157" s="481"/>
      <c r="H1157" s="481"/>
      <c r="O1157" s="506"/>
      <c r="Q1157" s="481"/>
      <c r="BK1157" s="16"/>
      <c r="BL1157" s="16"/>
      <c r="BM1157" s="16"/>
      <c r="BN1157" s="17"/>
      <c r="BO1157" s="17"/>
      <c r="BP1157" s="17"/>
      <c r="CC1157" s="471"/>
      <c r="CD1157" s="471"/>
      <c r="CE1157" s="471"/>
      <c r="CF1157" s="471"/>
      <c r="CG1157" s="471"/>
      <c r="CH1157" s="471"/>
      <c r="CI1157" s="471"/>
      <c r="CJ1157" s="471"/>
    </row>
    <row r="1158" spans="3:88" s="15" customFormat="1" x14ac:dyDescent="0.2">
      <c r="C1158" s="481"/>
      <c r="H1158" s="481"/>
      <c r="O1158" s="506"/>
      <c r="Q1158" s="481"/>
      <c r="BK1158" s="16"/>
      <c r="BL1158" s="16"/>
      <c r="BM1158" s="16"/>
      <c r="BN1158" s="17"/>
      <c r="BO1158" s="17"/>
      <c r="BP1158" s="17"/>
      <c r="CC1158" s="471"/>
      <c r="CD1158" s="471"/>
      <c r="CE1158" s="471"/>
      <c r="CF1158" s="471"/>
      <c r="CG1158" s="471"/>
      <c r="CH1158" s="471"/>
      <c r="CI1158" s="471"/>
      <c r="CJ1158" s="471"/>
    </row>
    <row r="1159" spans="3:88" s="15" customFormat="1" x14ac:dyDescent="0.2">
      <c r="C1159" s="481"/>
      <c r="H1159" s="481"/>
      <c r="O1159" s="506"/>
      <c r="Q1159" s="481"/>
      <c r="BK1159" s="16"/>
      <c r="BL1159" s="16"/>
      <c r="BM1159" s="16"/>
      <c r="BN1159" s="17"/>
      <c r="BO1159" s="17"/>
      <c r="BP1159" s="17"/>
      <c r="CC1159" s="471"/>
      <c r="CD1159" s="471"/>
      <c r="CE1159" s="471"/>
      <c r="CF1159" s="471"/>
      <c r="CG1159" s="471"/>
      <c r="CH1159" s="471"/>
      <c r="CI1159" s="471"/>
      <c r="CJ1159" s="471"/>
    </row>
    <row r="1160" spans="3:88" s="15" customFormat="1" x14ac:dyDescent="0.2">
      <c r="C1160" s="481"/>
      <c r="H1160" s="481"/>
      <c r="O1160" s="506"/>
      <c r="Q1160" s="481"/>
      <c r="BK1160" s="16"/>
      <c r="BL1160" s="16"/>
      <c r="BM1160" s="16"/>
      <c r="BN1160" s="17"/>
      <c r="BO1160" s="17"/>
      <c r="BP1160" s="17"/>
      <c r="CC1160" s="471"/>
      <c r="CD1160" s="471"/>
      <c r="CE1160" s="471"/>
      <c r="CF1160" s="471"/>
      <c r="CG1160" s="471"/>
      <c r="CH1160" s="471"/>
      <c r="CI1160" s="471"/>
      <c r="CJ1160" s="471"/>
    </row>
    <row r="1161" spans="3:88" s="15" customFormat="1" x14ac:dyDescent="0.2">
      <c r="C1161" s="481"/>
      <c r="H1161" s="481"/>
      <c r="O1161" s="506"/>
      <c r="Q1161" s="481"/>
      <c r="BK1161" s="16"/>
      <c r="BL1161" s="16"/>
      <c r="BM1161" s="16"/>
      <c r="BN1161" s="17"/>
      <c r="BO1161" s="17"/>
      <c r="BP1161" s="17"/>
      <c r="CC1161" s="471"/>
      <c r="CD1161" s="471"/>
      <c r="CE1161" s="471"/>
      <c r="CF1161" s="471"/>
      <c r="CG1161" s="471"/>
      <c r="CH1161" s="471"/>
      <c r="CI1161" s="471"/>
      <c r="CJ1161" s="471"/>
    </row>
    <row r="1162" spans="3:88" s="15" customFormat="1" x14ac:dyDescent="0.2">
      <c r="C1162" s="481"/>
      <c r="H1162" s="481"/>
      <c r="O1162" s="506"/>
      <c r="Q1162" s="481"/>
      <c r="BK1162" s="16"/>
      <c r="BL1162" s="16"/>
      <c r="BM1162" s="16"/>
      <c r="BN1162" s="17"/>
      <c r="BO1162" s="17"/>
      <c r="BP1162" s="17"/>
      <c r="CC1162" s="471"/>
      <c r="CD1162" s="471"/>
      <c r="CE1162" s="471"/>
      <c r="CF1162" s="471"/>
      <c r="CG1162" s="471"/>
      <c r="CH1162" s="471"/>
      <c r="CI1162" s="471"/>
      <c r="CJ1162" s="471"/>
    </row>
    <row r="1163" spans="3:88" s="15" customFormat="1" x14ac:dyDescent="0.2">
      <c r="C1163" s="481"/>
      <c r="H1163" s="481"/>
      <c r="O1163" s="506"/>
      <c r="Q1163" s="481"/>
      <c r="BK1163" s="16"/>
      <c r="BL1163" s="16"/>
      <c r="BM1163" s="16"/>
      <c r="BN1163" s="17"/>
      <c r="BO1163" s="17"/>
      <c r="BP1163" s="17"/>
      <c r="CC1163" s="471"/>
      <c r="CD1163" s="471"/>
      <c r="CE1163" s="471"/>
      <c r="CF1163" s="471"/>
      <c r="CG1163" s="471"/>
      <c r="CH1163" s="471"/>
      <c r="CI1163" s="471"/>
      <c r="CJ1163" s="471"/>
    </row>
    <row r="1164" spans="3:88" s="15" customFormat="1" x14ac:dyDescent="0.2">
      <c r="C1164" s="481"/>
      <c r="H1164" s="481"/>
      <c r="O1164" s="506"/>
      <c r="Q1164" s="481"/>
      <c r="BK1164" s="16"/>
      <c r="BL1164" s="16"/>
      <c r="BM1164" s="16"/>
      <c r="BN1164" s="17"/>
      <c r="BO1164" s="17"/>
      <c r="BP1164" s="17"/>
      <c r="CC1164" s="471"/>
      <c r="CD1164" s="471"/>
      <c r="CE1164" s="471"/>
      <c r="CF1164" s="471"/>
      <c r="CG1164" s="471"/>
      <c r="CH1164" s="471"/>
      <c r="CI1164" s="471"/>
      <c r="CJ1164" s="471"/>
    </row>
    <row r="1165" spans="3:88" s="15" customFormat="1" x14ac:dyDescent="0.2">
      <c r="C1165" s="481"/>
      <c r="H1165" s="481"/>
      <c r="O1165" s="506"/>
      <c r="Q1165" s="481"/>
      <c r="BK1165" s="16"/>
      <c r="BL1165" s="16"/>
      <c r="BM1165" s="16"/>
      <c r="BN1165" s="17"/>
      <c r="BO1165" s="17"/>
      <c r="BP1165" s="17"/>
      <c r="CC1165" s="471"/>
      <c r="CD1165" s="471"/>
      <c r="CE1165" s="471"/>
      <c r="CF1165" s="471"/>
      <c r="CG1165" s="471"/>
      <c r="CH1165" s="471"/>
      <c r="CI1165" s="471"/>
      <c r="CJ1165" s="471"/>
    </row>
    <row r="1166" spans="3:88" s="15" customFormat="1" x14ac:dyDescent="0.2">
      <c r="C1166" s="481"/>
      <c r="H1166" s="481"/>
      <c r="O1166" s="506"/>
      <c r="Q1166" s="481"/>
      <c r="BK1166" s="16"/>
      <c r="BL1166" s="16"/>
      <c r="BM1166" s="16"/>
      <c r="BN1166" s="17"/>
      <c r="BO1166" s="17"/>
      <c r="BP1166" s="17"/>
      <c r="CC1166" s="471"/>
      <c r="CD1166" s="471"/>
      <c r="CE1166" s="471"/>
      <c r="CF1166" s="471"/>
      <c r="CG1166" s="471"/>
      <c r="CH1166" s="471"/>
      <c r="CI1166" s="471"/>
      <c r="CJ1166" s="471"/>
    </row>
    <row r="1167" spans="3:88" s="15" customFormat="1" x14ac:dyDescent="0.2">
      <c r="C1167" s="481"/>
      <c r="H1167" s="481"/>
      <c r="O1167" s="506"/>
      <c r="Q1167" s="481"/>
      <c r="BK1167" s="16"/>
      <c r="BL1167" s="16"/>
      <c r="BM1167" s="16"/>
      <c r="BN1167" s="17"/>
      <c r="BO1167" s="17"/>
      <c r="BP1167" s="17"/>
      <c r="CC1167" s="471"/>
      <c r="CD1167" s="471"/>
      <c r="CE1167" s="471"/>
      <c r="CF1167" s="471"/>
      <c r="CG1167" s="471"/>
      <c r="CH1167" s="471"/>
      <c r="CI1167" s="471"/>
      <c r="CJ1167" s="471"/>
    </row>
    <row r="1168" spans="3:88" s="15" customFormat="1" x14ac:dyDescent="0.2">
      <c r="C1168" s="481"/>
      <c r="H1168" s="481"/>
      <c r="O1168" s="506"/>
      <c r="Q1168" s="481"/>
      <c r="BK1168" s="16"/>
      <c r="BL1168" s="16"/>
      <c r="BM1168" s="16"/>
      <c r="BN1168" s="17"/>
      <c r="BO1168" s="17"/>
      <c r="BP1168" s="17"/>
      <c r="CC1168" s="471"/>
      <c r="CD1168" s="471"/>
      <c r="CE1168" s="471"/>
      <c r="CF1168" s="471"/>
      <c r="CG1168" s="471"/>
      <c r="CH1168" s="471"/>
      <c r="CI1168" s="471"/>
      <c r="CJ1168" s="471"/>
    </row>
    <row r="1169" spans="3:88" s="15" customFormat="1" x14ac:dyDescent="0.2">
      <c r="C1169" s="481"/>
      <c r="H1169" s="481"/>
      <c r="O1169" s="506"/>
      <c r="Q1169" s="481"/>
      <c r="BK1169" s="16"/>
      <c r="BL1169" s="16"/>
      <c r="BM1169" s="16"/>
      <c r="BN1169" s="17"/>
      <c r="BO1169" s="17"/>
      <c r="BP1169" s="17"/>
      <c r="CC1169" s="471"/>
      <c r="CD1169" s="471"/>
      <c r="CE1169" s="471"/>
      <c r="CF1169" s="471"/>
      <c r="CG1169" s="471"/>
      <c r="CH1169" s="471"/>
      <c r="CI1169" s="471"/>
      <c r="CJ1169" s="471"/>
    </row>
    <row r="1170" spans="3:88" s="15" customFormat="1" x14ac:dyDescent="0.2">
      <c r="C1170" s="481"/>
      <c r="H1170" s="481"/>
      <c r="O1170" s="506"/>
      <c r="Q1170" s="481"/>
      <c r="BK1170" s="16"/>
      <c r="BL1170" s="16"/>
      <c r="BM1170" s="16"/>
      <c r="BN1170" s="17"/>
      <c r="BO1170" s="17"/>
      <c r="BP1170" s="17"/>
      <c r="CC1170" s="471"/>
      <c r="CD1170" s="471"/>
      <c r="CE1170" s="471"/>
      <c r="CF1170" s="471"/>
      <c r="CG1170" s="471"/>
      <c r="CH1170" s="471"/>
      <c r="CI1170" s="471"/>
      <c r="CJ1170" s="471"/>
    </row>
    <row r="1171" spans="3:88" s="15" customFormat="1" x14ac:dyDescent="0.2">
      <c r="C1171" s="481"/>
      <c r="H1171" s="481"/>
      <c r="O1171" s="506"/>
      <c r="Q1171" s="481"/>
      <c r="BK1171" s="16"/>
      <c r="BL1171" s="16"/>
      <c r="BM1171" s="16"/>
      <c r="BN1171" s="17"/>
      <c r="BO1171" s="17"/>
      <c r="BP1171" s="17"/>
      <c r="CC1171" s="471"/>
      <c r="CD1171" s="471"/>
      <c r="CE1171" s="471"/>
      <c r="CF1171" s="471"/>
      <c r="CG1171" s="471"/>
      <c r="CH1171" s="471"/>
      <c r="CI1171" s="471"/>
      <c r="CJ1171" s="471"/>
    </row>
    <row r="1172" spans="3:88" s="15" customFormat="1" x14ac:dyDescent="0.2">
      <c r="C1172" s="481"/>
      <c r="H1172" s="481"/>
      <c r="O1172" s="506"/>
      <c r="Q1172" s="481"/>
      <c r="BK1172" s="16"/>
      <c r="BL1172" s="16"/>
      <c r="BM1172" s="16"/>
      <c r="BN1172" s="17"/>
      <c r="BO1172" s="17"/>
      <c r="BP1172" s="17"/>
      <c r="CC1172" s="471"/>
      <c r="CD1172" s="471"/>
      <c r="CE1172" s="471"/>
      <c r="CF1172" s="471"/>
      <c r="CG1172" s="471"/>
      <c r="CH1172" s="471"/>
      <c r="CI1172" s="471"/>
      <c r="CJ1172" s="471"/>
    </row>
    <row r="1173" spans="3:88" s="15" customFormat="1" x14ac:dyDescent="0.2">
      <c r="C1173" s="481"/>
      <c r="H1173" s="481"/>
      <c r="O1173" s="506"/>
      <c r="Q1173" s="481"/>
      <c r="BK1173" s="16"/>
      <c r="BL1173" s="16"/>
      <c r="BM1173" s="16"/>
      <c r="BN1173" s="17"/>
      <c r="BO1173" s="17"/>
      <c r="BP1173" s="17"/>
      <c r="CC1173" s="471"/>
      <c r="CD1173" s="471"/>
      <c r="CE1173" s="471"/>
      <c r="CF1173" s="471"/>
      <c r="CG1173" s="471"/>
      <c r="CH1173" s="471"/>
      <c r="CI1173" s="471"/>
      <c r="CJ1173" s="471"/>
    </row>
    <row r="1174" spans="3:88" s="15" customFormat="1" x14ac:dyDescent="0.2">
      <c r="C1174" s="481"/>
      <c r="H1174" s="481"/>
      <c r="O1174" s="506"/>
      <c r="Q1174" s="481"/>
      <c r="BK1174" s="16"/>
      <c r="BL1174" s="16"/>
      <c r="BM1174" s="16"/>
      <c r="BN1174" s="17"/>
      <c r="BO1174" s="17"/>
      <c r="BP1174" s="17"/>
      <c r="CC1174" s="471"/>
      <c r="CD1174" s="471"/>
      <c r="CE1174" s="471"/>
      <c r="CF1174" s="471"/>
      <c r="CG1174" s="471"/>
      <c r="CH1174" s="471"/>
      <c r="CI1174" s="471"/>
      <c r="CJ1174" s="471"/>
    </row>
    <row r="1175" spans="3:88" s="15" customFormat="1" x14ac:dyDescent="0.2">
      <c r="C1175" s="481"/>
      <c r="H1175" s="481"/>
      <c r="O1175" s="506"/>
      <c r="Q1175" s="481"/>
      <c r="BK1175" s="16"/>
      <c r="BL1175" s="16"/>
      <c r="BM1175" s="16"/>
      <c r="BN1175" s="17"/>
      <c r="BO1175" s="17"/>
      <c r="BP1175" s="17"/>
      <c r="CC1175" s="471"/>
      <c r="CD1175" s="471"/>
      <c r="CE1175" s="471"/>
      <c r="CF1175" s="471"/>
      <c r="CG1175" s="471"/>
      <c r="CH1175" s="471"/>
      <c r="CI1175" s="471"/>
      <c r="CJ1175" s="471"/>
    </row>
    <row r="1176" spans="3:88" s="15" customFormat="1" x14ac:dyDescent="0.2">
      <c r="C1176" s="481"/>
      <c r="H1176" s="481"/>
      <c r="O1176" s="506"/>
      <c r="Q1176" s="481"/>
      <c r="BK1176" s="16"/>
      <c r="BL1176" s="16"/>
      <c r="BM1176" s="16"/>
      <c r="BN1176" s="17"/>
      <c r="BO1176" s="17"/>
      <c r="BP1176" s="17"/>
      <c r="CC1176" s="471"/>
      <c r="CD1176" s="471"/>
      <c r="CE1176" s="471"/>
      <c r="CF1176" s="471"/>
      <c r="CG1176" s="471"/>
      <c r="CH1176" s="471"/>
      <c r="CI1176" s="471"/>
      <c r="CJ1176" s="471"/>
    </row>
    <row r="1177" spans="3:88" s="15" customFormat="1" x14ac:dyDescent="0.2">
      <c r="C1177" s="481"/>
      <c r="H1177" s="481"/>
      <c r="O1177" s="506"/>
      <c r="Q1177" s="481"/>
      <c r="BK1177" s="16"/>
      <c r="BL1177" s="16"/>
      <c r="BM1177" s="16"/>
      <c r="BN1177" s="17"/>
      <c r="BO1177" s="17"/>
      <c r="BP1177" s="17"/>
      <c r="CC1177" s="471"/>
      <c r="CD1177" s="471"/>
      <c r="CE1177" s="471"/>
      <c r="CF1177" s="471"/>
      <c r="CG1177" s="471"/>
      <c r="CH1177" s="471"/>
      <c r="CI1177" s="471"/>
      <c r="CJ1177" s="471"/>
    </row>
    <row r="1178" spans="3:88" s="15" customFormat="1" x14ac:dyDescent="0.2">
      <c r="C1178" s="481"/>
      <c r="H1178" s="481"/>
      <c r="O1178" s="506"/>
      <c r="Q1178" s="481"/>
      <c r="BK1178" s="16"/>
      <c r="BL1178" s="16"/>
      <c r="BM1178" s="16"/>
      <c r="BN1178" s="17"/>
      <c r="BO1178" s="17"/>
      <c r="BP1178" s="17"/>
      <c r="CC1178" s="471"/>
      <c r="CD1178" s="471"/>
      <c r="CE1178" s="471"/>
      <c r="CF1178" s="471"/>
      <c r="CG1178" s="471"/>
      <c r="CH1178" s="471"/>
      <c r="CI1178" s="471"/>
      <c r="CJ1178" s="471"/>
    </row>
    <row r="1179" spans="3:88" s="15" customFormat="1" x14ac:dyDescent="0.2">
      <c r="C1179" s="481"/>
      <c r="H1179" s="481"/>
      <c r="O1179" s="506"/>
      <c r="Q1179" s="481"/>
      <c r="BK1179" s="16"/>
      <c r="BL1179" s="16"/>
      <c r="BM1179" s="16"/>
      <c r="BN1179" s="17"/>
      <c r="BO1179" s="17"/>
      <c r="BP1179" s="17"/>
      <c r="CC1179" s="471"/>
      <c r="CD1179" s="471"/>
      <c r="CE1179" s="471"/>
      <c r="CF1179" s="471"/>
      <c r="CG1179" s="471"/>
      <c r="CH1179" s="471"/>
      <c r="CI1179" s="471"/>
      <c r="CJ1179" s="471"/>
    </row>
    <row r="1180" spans="3:88" s="15" customFormat="1" x14ac:dyDescent="0.2">
      <c r="C1180" s="481"/>
      <c r="H1180" s="481"/>
      <c r="O1180" s="506"/>
      <c r="Q1180" s="481"/>
      <c r="BK1180" s="16"/>
      <c r="BL1180" s="16"/>
      <c r="BM1180" s="16"/>
      <c r="BN1180" s="17"/>
      <c r="BO1180" s="17"/>
      <c r="BP1180" s="17"/>
      <c r="CC1180" s="471"/>
      <c r="CD1180" s="471"/>
      <c r="CE1180" s="471"/>
      <c r="CF1180" s="471"/>
      <c r="CG1180" s="471"/>
      <c r="CH1180" s="471"/>
      <c r="CI1180" s="471"/>
      <c r="CJ1180" s="471"/>
    </row>
    <row r="1181" spans="3:88" s="15" customFormat="1" x14ac:dyDescent="0.2">
      <c r="C1181" s="481"/>
      <c r="H1181" s="481"/>
      <c r="O1181" s="506"/>
      <c r="Q1181" s="481"/>
      <c r="BK1181" s="16"/>
      <c r="BL1181" s="16"/>
      <c r="BM1181" s="16"/>
      <c r="BN1181" s="17"/>
      <c r="BO1181" s="17"/>
      <c r="BP1181" s="17"/>
      <c r="CC1181" s="471"/>
      <c r="CD1181" s="471"/>
      <c r="CE1181" s="471"/>
      <c r="CF1181" s="471"/>
      <c r="CG1181" s="471"/>
      <c r="CH1181" s="471"/>
      <c r="CI1181" s="471"/>
      <c r="CJ1181" s="471"/>
    </row>
    <row r="1182" spans="3:88" s="15" customFormat="1" x14ac:dyDescent="0.2">
      <c r="C1182" s="481"/>
      <c r="H1182" s="481"/>
      <c r="O1182" s="506"/>
      <c r="Q1182" s="481"/>
      <c r="BK1182" s="16"/>
      <c r="BL1182" s="16"/>
      <c r="BM1182" s="16"/>
      <c r="BN1182" s="17"/>
      <c r="BO1182" s="17"/>
      <c r="BP1182" s="17"/>
      <c r="CC1182" s="471"/>
      <c r="CD1182" s="471"/>
      <c r="CE1182" s="471"/>
      <c r="CF1182" s="471"/>
      <c r="CG1182" s="471"/>
      <c r="CH1182" s="471"/>
      <c r="CI1182" s="471"/>
      <c r="CJ1182" s="471"/>
    </row>
    <row r="1183" spans="3:88" s="15" customFormat="1" x14ac:dyDescent="0.2">
      <c r="C1183" s="481"/>
      <c r="H1183" s="481"/>
      <c r="O1183" s="506"/>
      <c r="Q1183" s="481"/>
      <c r="BK1183" s="16"/>
      <c r="BL1183" s="16"/>
      <c r="BM1183" s="16"/>
      <c r="BN1183" s="17"/>
      <c r="BO1183" s="17"/>
      <c r="BP1183" s="17"/>
      <c r="CC1183" s="471"/>
      <c r="CD1183" s="471"/>
      <c r="CE1183" s="471"/>
      <c r="CF1183" s="471"/>
      <c r="CG1183" s="471"/>
      <c r="CH1183" s="471"/>
      <c r="CI1183" s="471"/>
      <c r="CJ1183" s="471"/>
    </row>
    <row r="1184" spans="3:88" s="15" customFormat="1" x14ac:dyDescent="0.2">
      <c r="C1184" s="481"/>
      <c r="H1184" s="481"/>
      <c r="O1184" s="506"/>
      <c r="Q1184" s="481"/>
      <c r="BK1184" s="16"/>
      <c r="BL1184" s="16"/>
      <c r="BM1184" s="16"/>
      <c r="BN1184" s="17"/>
      <c r="BO1184" s="17"/>
      <c r="BP1184" s="17"/>
      <c r="CC1184" s="471"/>
      <c r="CD1184" s="471"/>
      <c r="CE1184" s="471"/>
      <c r="CF1184" s="471"/>
      <c r="CG1184" s="471"/>
      <c r="CH1184" s="471"/>
      <c r="CI1184" s="471"/>
      <c r="CJ1184" s="471"/>
    </row>
    <row r="1185" spans="3:88" s="15" customFormat="1" x14ac:dyDescent="0.2">
      <c r="C1185" s="481"/>
      <c r="H1185" s="481"/>
      <c r="O1185" s="506"/>
      <c r="Q1185" s="481"/>
      <c r="BK1185" s="16"/>
      <c r="BL1185" s="16"/>
      <c r="BM1185" s="16"/>
      <c r="BN1185" s="17"/>
      <c r="BO1185" s="17"/>
      <c r="BP1185" s="17"/>
      <c r="CC1185" s="471"/>
      <c r="CD1185" s="471"/>
      <c r="CE1185" s="471"/>
      <c r="CF1185" s="471"/>
      <c r="CG1185" s="471"/>
      <c r="CH1185" s="471"/>
      <c r="CI1185" s="471"/>
      <c r="CJ1185" s="471"/>
    </row>
    <row r="1186" spans="3:88" s="15" customFormat="1" x14ac:dyDescent="0.2">
      <c r="C1186" s="481"/>
      <c r="H1186" s="481"/>
      <c r="O1186" s="506"/>
      <c r="Q1186" s="481"/>
      <c r="BK1186" s="16"/>
      <c r="BL1186" s="16"/>
      <c r="BM1186" s="16"/>
      <c r="BN1186" s="17"/>
      <c r="BO1186" s="17"/>
      <c r="BP1186" s="17"/>
      <c r="CC1186" s="471"/>
      <c r="CD1186" s="471"/>
      <c r="CE1186" s="471"/>
      <c r="CF1186" s="471"/>
      <c r="CG1186" s="471"/>
      <c r="CH1186" s="471"/>
      <c r="CI1186" s="471"/>
      <c r="CJ1186" s="471"/>
    </row>
    <row r="1187" spans="3:88" s="15" customFormat="1" x14ac:dyDescent="0.2">
      <c r="C1187" s="481"/>
      <c r="H1187" s="481"/>
      <c r="O1187" s="506"/>
      <c r="Q1187" s="481"/>
      <c r="BK1187" s="16"/>
      <c r="BL1187" s="16"/>
      <c r="BM1187" s="16"/>
      <c r="BN1187" s="17"/>
      <c r="BO1187" s="17"/>
      <c r="BP1187" s="17"/>
      <c r="CC1187" s="471"/>
      <c r="CD1187" s="471"/>
      <c r="CE1187" s="471"/>
      <c r="CF1187" s="471"/>
      <c r="CG1187" s="471"/>
      <c r="CH1187" s="471"/>
      <c r="CI1187" s="471"/>
      <c r="CJ1187" s="471"/>
    </row>
    <row r="1188" spans="3:88" s="15" customFormat="1" x14ac:dyDescent="0.2">
      <c r="C1188" s="481"/>
      <c r="H1188" s="481"/>
      <c r="O1188" s="506"/>
      <c r="Q1188" s="481"/>
      <c r="BK1188" s="16"/>
      <c r="BL1188" s="16"/>
      <c r="BM1188" s="16"/>
      <c r="BN1188" s="17"/>
      <c r="BO1188" s="17"/>
      <c r="BP1188" s="17"/>
      <c r="CC1188" s="471"/>
      <c r="CD1188" s="471"/>
      <c r="CE1188" s="471"/>
      <c r="CF1188" s="471"/>
      <c r="CG1188" s="471"/>
      <c r="CH1188" s="471"/>
      <c r="CI1188" s="471"/>
      <c r="CJ1188" s="471"/>
    </row>
    <row r="1189" spans="3:88" s="15" customFormat="1" x14ac:dyDescent="0.2">
      <c r="C1189" s="481"/>
      <c r="H1189" s="481"/>
      <c r="O1189" s="506"/>
      <c r="Q1189" s="481"/>
      <c r="BK1189" s="16"/>
      <c r="BL1189" s="16"/>
      <c r="BM1189" s="16"/>
      <c r="BN1189" s="17"/>
      <c r="BO1189" s="17"/>
      <c r="BP1189" s="17"/>
      <c r="CC1189" s="471"/>
      <c r="CD1189" s="471"/>
      <c r="CE1189" s="471"/>
      <c r="CF1189" s="471"/>
      <c r="CG1189" s="471"/>
      <c r="CH1189" s="471"/>
      <c r="CI1189" s="471"/>
      <c r="CJ1189" s="471"/>
    </row>
    <row r="1190" spans="3:88" s="15" customFormat="1" x14ac:dyDescent="0.2">
      <c r="C1190" s="481"/>
      <c r="H1190" s="481"/>
      <c r="O1190" s="506"/>
      <c r="Q1190" s="481"/>
      <c r="BK1190" s="16"/>
      <c r="BL1190" s="16"/>
      <c r="BM1190" s="16"/>
      <c r="BN1190" s="17"/>
      <c r="BO1190" s="17"/>
      <c r="BP1190" s="17"/>
      <c r="CC1190" s="471"/>
      <c r="CD1190" s="471"/>
      <c r="CE1190" s="471"/>
      <c r="CF1190" s="471"/>
      <c r="CG1190" s="471"/>
      <c r="CH1190" s="471"/>
      <c r="CI1190" s="471"/>
      <c r="CJ1190" s="471"/>
    </row>
    <row r="1191" spans="3:88" s="15" customFormat="1" x14ac:dyDescent="0.2">
      <c r="C1191" s="481"/>
      <c r="H1191" s="481"/>
      <c r="O1191" s="506"/>
      <c r="Q1191" s="481"/>
      <c r="BK1191" s="16"/>
      <c r="BL1191" s="16"/>
      <c r="BM1191" s="16"/>
      <c r="BN1191" s="17"/>
      <c r="BO1191" s="17"/>
      <c r="BP1191" s="17"/>
      <c r="CC1191" s="471"/>
      <c r="CD1191" s="471"/>
      <c r="CE1191" s="471"/>
      <c r="CF1191" s="471"/>
      <c r="CG1191" s="471"/>
      <c r="CH1191" s="471"/>
      <c r="CI1191" s="471"/>
      <c r="CJ1191" s="471"/>
    </row>
    <row r="1192" spans="3:88" s="15" customFormat="1" x14ac:dyDescent="0.2">
      <c r="C1192" s="481"/>
      <c r="H1192" s="481"/>
      <c r="O1192" s="506"/>
      <c r="Q1192" s="481"/>
      <c r="BK1192" s="16"/>
      <c r="BL1192" s="16"/>
      <c r="BM1192" s="16"/>
      <c r="BN1192" s="17"/>
      <c r="BO1192" s="17"/>
      <c r="BP1192" s="17"/>
      <c r="CC1192" s="471"/>
      <c r="CD1192" s="471"/>
      <c r="CE1192" s="471"/>
      <c r="CF1192" s="471"/>
      <c r="CG1192" s="471"/>
      <c r="CH1192" s="471"/>
      <c r="CI1192" s="471"/>
      <c r="CJ1192" s="471"/>
    </row>
    <row r="1193" spans="3:88" s="15" customFormat="1" x14ac:dyDescent="0.2">
      <c r="C1193" s="481"/>
      <c r="H1193" s="481"/>
      <c r="O1193" s="506"/>
      <c r="Q1193" s="481"/>
      <c r="BK1193" s="16"/>
      <c r="BL1193" s="16"/>
      <c r="BM1193" s="16"/>
      <c r="BN1193" s="17"/>
      <c r="BO1193" s="17"/>
      <c r="BP1193" s="17"/>
      <c r="CC1193" s="471"/>
      <c r="CD1193" s="471"/>
      <c r="CE1193" s="471"/>
      <c r="CF1193" s="471"/>
      <c r="CG1193" s="471"/>
      <c r="CH1193" s="471"/>
      <c r="CI1193" s="471"/>
      <c r="CJ1193" s="471"/>
    </row>
    <row r="1194" spans="3:88" s="15" customFormat="1" x14ac:dyDescent="0.2">
      <c r="C1194" s="481"/>
      <c r="H1194" s="481"/>
      <c r="O1194" s="506"/>
      <c r="Q1194" s="481"/>
      <c r="BK1194" s="16"/>
      <c r="BL1194" s="16"/>
      <c r="BM1194" s="16"/>
      <c r="BN1194" s="17"/>
      <c r="BO1194" s="17"/>
      <c r="BP1194" s="17"/>
      <c r="CC1194" s="471"/>
      <c r="CD1194" s="471"/>
      <c r="CE1194" s="471"/>
      <c r="CF1194" s="471"/>
      <c r="CG1194" s="471"/>
      <c r="CH1194" s="471"/>
      <c r="CI1194" s="471"/>
      <c r="CJ1194" s="471"/>
    </row>
    <row r="1195" spans="3:88" s="15" customFormat="1" x14ac:dyDescent="0.2">
      <c r="C1195" s="481"/>
      <c r="H1195" s="481"/>
      <c r="O1195" s="506"/>
      <c r="Q1195" s="481"/>
      <c r="BK1195" s="16"/>
      <c r="BL1195" s="16"/>
      <c r="BM1195" s="16"/>
      <c r="BN1195" s="17"/>
      <c r="BO1195" s="17"/>
      <c r="BP1195" s="17"/>
      <c r="CC1195" s="471"/>
      <c r="CD1195" s="471"/>
      <c r="CE1195" s="471"/>
      <c r="CF1195" s="471"/>
      <c r="CG1195" s="471"/>
      <c r="CH1195" s="471"/>
      <c r="CI1195" s="471"/>
      <c r="CJ1195" s="471"/>
    </row>
    <row r="1196" spans="3:88" s="15" customFormat="1" x14ac:dyDescent="0.2">
      <c r="C1196" s="481"/>
      <c r="H1196" s="481"/>
      <c r="O1196" s="506"/>
      <c r="Q1196" s="481"/>
      <c r="BK1196" s="16"/>
      <c r="BL1196" s="16"/>
      <c r="BM1196" s="16"/>
      <c r="BN1196" s="17"/>
      <c r="BO1196" s="17"/>
      <c r="BP1196" s="17"/>
      <c r="CC1196" s="471"/>
      <c r="CD1196" s="471"/>
      <c r="CE1196" s="471"/>
      <c r="CF1196" s="471"/>
      <c r="CG1196" s="471"/>
      <c r="CH1196" s="471"/>
      <c r="CI1196" s="471"/>
      <c r="CJ1196" s="471"/>
    </row>
    <row r="1197" spans="3:88" s="15" customFormat="1" x14ac:dyDescent="0.2">
      <c r="C1197" s="481"/>
      <c r="H1197" s="481"/>
      <c r="O1197" s="506"/>
      <c r="Q1197" s="481"/>
      <c r="BK1197" s="16"/>
      <c r="BL1197" s="16"/>
      <c r="BM1197" s="16"/>
      <c r="BN1197" s="17"/>
      <c r="BO1197" s="17"/>
      <c r="BP1197" s="17"/>
      <c r="CC1197" s="471"/>
      <c r="CD1197" s="471"/>
      <c r="CE1197" s="471"/>
      <c r="CF1197" s="471"/>
      <c r="CG1197" s="471"/>
      <c r="CH1197" s="471"/>
      <c r="CI1197" s="471"/>
      <c r="CJ1197" s="471"/>
    </row>
    <row r="1198" spans="3:88" s="15" customFormat="1" x14ac:dyDescent="0.2">
      <c r="C1198" s="481"/>
      <c r="H1198" s="481"/>
      <c r="O1198" s="506"/>
      <c r="Q1198" s="481"/>
      <c r="BK1198" s="16"/>
      <c r="BL1198" s="16"/>
      <c r="BM1198" s="16"/>
      <c r="BN1198" s="17"/>
      <c r="BO1198" s="17"/>
      <c r="BP1198" s="17"/>
      <c r="CC1198" s="471"/>
      <c r="CD1198" s="471"/>
      <c r="CE1198" s="471"/>
      <c r="CF1198" s="471"/>
      <c r="CG1198" s="471"/>
      <c r="CH1198" s="471"/>
      <c r="CI1198" s="471"/>
      <c r="CJ1198" s="471"/>
    </row>
    <row r="1199" spans="3:88" s="15" customFormat="1" x14ac:dyDescent="0.2">
      <c r="C1199" s="481"/>
      <c r="H1199" s="481"/>
      <c r="O1199" s="506"/>
      <c r="Q1199" s="481"/>
      <c r="BK1199" s="16"/>
      <c r="BL1199" s="16"/>
      <c r="BM1199" s="16"/>
      <c r="BN1199" s="17"/>
      <c r="BO1199" s="17"/>
      <c r="BP1199" s="17"/>
      <c r="CC1199" s="471"/>
      <c r="CD1199" s="471"/>
      <c r="CE1199" s="471"/>
      <c r="CF1199" s="471"/>
      <c r="CG1199" s="471"/>
      <c r="CH1199" s="471"/>
      <c r="CI1199" s="471"/>
      <c r="CJ1199" s="471"/>
    </row>
    <row r="1200" spans="3:88" s="15" customFormat="1" x14ac:dyDescent="0.2">
      <c r="C1200" s="481"/>
      <c r="H1200" s="481"/>
      <c r="O1200" s="506"/>
      <c r="Q1200" s="481"/>
      <c r="BK1200" s="16"/>
      <c r="BL1200" s="16"/>
      <c r="BM1200" s="16"/>
      <c r="BN1200" s="17"/>
      <c r="BO1200" s="17"/>
      <c r="BP1200" s="17"/>
      <c r="CC1200" s="471"/>
      <c r="CD1200" s="471"/>
      <c r="CE1200" s="471"/>
      <c r="CF1200" s="471"/>
      <c r="CG1200" s="471"/>
      <c r="CH1200" s="471"/>
      <c r="CI1200" s="471"/>
      <c r="CJ1200" s="471"/>
    </row>
    <row r="1201" spans="3:88" s="15" customFormat="1" x14ac:dyDescent="0.2">
      <c r="C1201" s="481"/>
      <c r="H1201" s="481"/>
      <c r="O1201" s="506"/>
      <c r="Q1201" s="481"/>
      <c r="BK1201" s="16"/>
      <c r="BL1201" s="16"/>
      <c r="BM1201" s="16"/>
      <c r="BN1201" s="17"/>
      <c r="BO1201" s="17"/>
      <c r="BP1201" s="17"/>
      <c r="CC1201" s="471"/>
      <c r="CD1201" s="471"/>
      <c r="CE1201" s="471"/>
      <c r="CF1201" s="471"/>
      <c r="CG1201" s="471"/>
      <c r="CH1201" s="471"/>
      <c r="CI1201" s="471"/>
      <c r="CJ1201" s="471"/>
    </row>
    <row r="1202" spans="3:88" s="15" customFormat="1" x14ac:dyDescent="0.2">
      <c r="C1202" s="481"/>
      <c r="H1202" s="481"/>
      <c r="O1202" s="506"/>
      <c r="Q1202" s="481"/>
      <c r="BK1202" s="16"/>
      <c r="BL1202" s="16"/>
      <c r="BM1202" s="16"/>
      <c r="BN1202" s="17"/>
      <c r="BO1202" s="17"/>
      <c r="BP1202" s="17"/>
      <c r="CC1202" s="471"/>
      <c r="CD1202" s="471"/>
      <c r="CE1202" s="471"/>
      <c r="CF1202" s="471"/>
      <c r="CG1202" s="471"/>
      <c r="CH1202" s="471"/>
      <c r="CI1202" s="471"/>
      <c r="CJ1202" s="471"/>
    </row>
    <row r="1203" spans="3:88" s="15" customFormat="1" x14ac:dyDescent="0.2">
      <c r="C1203" s="481"/>
      <c r="H1203" s="481"/>
      <c r="O1203" s="506"/>
      <c r="Q1203" s="481"/>
      <c r="BK1203" s="16"/>
      <c r="BL1203" s="16"/>
      <c r="BM1203" s="16"/>
      <c r="BN1203" s="17"/>
      <c r="BO1203" s="17"/>
      <c r="BP1203" s="17"/>
      <c r="CC1203" s="471"/>
      <c r="CD1203" s="471"/>
      <c r="CE1203" s="471"/>
      <c r="CF1203" s="471"/>
      <c r="CG1203" s="471"/>
      <c r="CH1203" s="471"/>
      <c r="CI1203" s="471"/>
      <c r="CJ1203" s="471"/>
    </row>
    <row r="1204" spans="3:88" s="15" customFormat="1" x14ac:dyDescent="0.2">
      <c r="C1204" s="481"/>
      <c r="H1204" s="481"/>
      <c r="O1204" s="506"/>
      <c r="Q1204" s="481"/>
      <c r="BK1204" s="16"/>
      <c r="BL1204" s="16"/>
      <c r="BM1204" s="16"/>
      <c r="BN1204" s="17"/>
      <c r="BO1204" s="17"/>
      <c r="BP1204" s="17"/>
      <c r="CC1204" s="471"/>
      <c r="CD1204" s="471"/>
      <c r="CE1204" s="471"/>
      <c r="CF1204" s="471"/>
      <c r="CG1204" s="471"/>
      <c r="CH1204" s="471"/>
      <c r="CI1204" s="471"/>
      <c r="CJ1204" s="471"/>
    </row>
    <row r="1205" spans="3:88" s="15" customFormat="1" x14ac:dyDescent="0.2">
      <c r="C1205" s="481"/>
      <c r="H1205" s="481"/>
      <c r="O1205" s="506"/>
      <c r="Q1205" s="481"/>
      <c r="BK1205" s="16"/>
      <c r="BL1205" s="16"/>
      <c r="BM1205" s="16"/>
      <c r="BN1205" s="17"/>
      <c r="BO1205" s="17"/>
      <c r="BP1205" s="17"/>
      <c r="CC1205" s="471"/>
      <c r="CD1205" s="471"/>
      <c r="CE1205" s="471"/>
      <c r="CF1205" s="471"/>
      <c r="CG1205" s="471"/>
      <c r="CH1205" s="471"/>
      <c r="CI1205" s="471"/>
      <c r="CJ1205" s="471"/>
    </row>
    <row r="1206" spans="3:88" s="15" customFormat="1" x14ac:dyDescent="0.2">
      <c r="C1206" s="481"/>
      <c r="H1206" s="481"/>
      <c r="O1206" s="506"/>
      <c r="Q1206" s="481"/>
      <c r="BK1206" s="16"/>
      <c r="BL1206" s="16"/>
      <c r="BM1206" s="16"/>
      <c r="BN1206" s="17"/>
      <c r="BO1206" s="17"/>
      <c r="BP1206" s="17"/>
      <c r="CC1206" s="471"/>
      <c r="CD1206" s="471"/>
      <c r="CE1206" s="471"/>
      <c r="CF1206" s="471"/>
      <c r="CG1206" s="471"/>
      <c r="CH1206" s="471"/>
      <c r="CI1206" s="471"/>
      <c r="CJ1206" s="471"/>
    </row>
    <row r="1207" spans="3:88" s="15" customFormat="1" x14ac:dyDescent="0.2">
      <c r="C1207" s="481"/>
      <c r="H1207" s="481"/>
      <c r="O1207" s="506"/>
      <c r="Q1207" s="481"/>
      <c r="BK1207" s="16"/>
      <c r="BL1207" s="16"/>
      <c r="BM1207" s="16"/>
      <c r="BN1207" s="17"/>
      <c r="BO1207" s="17"/>
      <c r="BP1207" s="17"/>
      <c r="CC1207" s="471"/>
      <c r="CD1207" s="471"/>
      <c r="CE1207" s="471"/>
      <c r="CF1207" s="471"/>
      <c r="CG1207" s="471"/>
      <c r="CH1207" s="471"/>
      <c r="CI1207" s="471"/>
      <c r="CJ1207" s="471"/>
    </row>
    <row r="1208" spans="3:88" s="15" customFormat="1" x14ac:dyDescent="0.2">
      <c r="C1208" s="481"/>
      <c r="H1208" s="481"/>
      <c r="O1208" s="506"/>
      <c r="Q1208" s="481"/>
      <c r="BK1208" s="16"/>
      <c r="BL1208" s="16"/>
      <c r="BM1208" s="16"/>
      <c r="BN1208" s="17"/>
      <c r="BO1208" s="17"/>
      <c r="BP1208" s="17"/>
      <c r="CC1208" s="471"/>
      <c r="CD1208" s="471"/>
      <c r="CE1208" s="471"/>
      <c r="CF1208" s="471"/>
      <c r="CG1208" s="471"/>
      <c r="CH1208" s="471"/>
      <c r="CI1208" s="471"/>
      <c r="CJ1208" s="471"/>
    </row>
    <row r="1209" spans="3:88" s="15" customFormat="1" x14ac:dyDescent="0.2">
      <c r="C1209" s="481"/>
      <c r="H1209" s="481"/>
      <c r="O1209" s="506"/>
      <c r="Q1209" s="481"/>
      <c r="BK1209" s="16"/>
      <c r="BL1209" s="16"/>
      <c r="BM1209" s="16"/>
      <c r="BN1209" s="17"/>
      <c r="BO1209" s="17"/>
      <c r="BP1209" s="17"/>
      <c r="CC1209" s="471"/>
      <c r="CD1209" s="471"/>
      <c r="CE1209" s="471"/>
      <c r="CF1209" s="471"/>
      <c r="CG1209" s="471"/>
      <c r="CH1209" s="471"/>
      <c r="CI1209" s="471"/>
      <c r="CJ1209" s="471"/>
    </row>
    <row r="1210" spans="3:88" s="15" customFormat="1" x14ac:dyDescent="0.2">
      <c r="C1210" s="481"/>
      <c r="H1210" s="481"/>
      <c r="O1210" s="506"/>
      <c r="Q1210" s="481"/>
      <c r="BK1210" s="16"/>
      <c r="BL1210" s="16"/>
      <c r="BM1210" s="16"/>
      <c r="BN1210" s="17"/>
      <c r="BO1210" s="17"/>
      <c r="BP1210" s="17"/>
      <c r="CC1210" s="471"/>
      <c r="CD1210" s="471"/>
      <c r="CE1210" s="471"/>
      <c r="CF1210" s="471"/>
      <c r="CG1210" s="471"/>
      <c r="CH1210" s="471"/>
      <c r="CI1210" s="471"/>
      <c r="CJ1210" s="471"/>
    </row>
    <row r="1211" spans="3:88" s="15" customFormat="1" x14ac:dyDescent="0.2">
      <c r="C1211" s="481"/>
      <c r="H1211" s="481"/>
      <c r="O1211" s="506"/>
      <c r="Q1211" s="481"/>
      <c r="BK1211" s="16"/>
      <c r="BL1211" s="16"/>
      <c r="BM1211" s="16"/>
      <c r="BN1211" s="17"/>
      <c r="BO1211" s="17"/>
      <c r="BP1211" s="17"/>
      <c r="CC1211" s="471"/>
      <c r="CD1211" s="471"/>
      <c r="CE1211" s="471"/>
      <c r="CF1211" s="471"/>
      <c r="CG1211" s="471"/>
      <c r="CH1211" s="471"/>
      <c r="CI1211" s="471"/>
      <c r="CJ1211" s="471"/>
    </row>
    <row r="1212" spans="3:88" s="15" customFormat="1" x14ac:dyDescent="0.2">
      <c r="C1212" s="481"/>
      <c r="H1212" s="481"/>
      <c r="O1212" s="506"/>
      <c r="Q1212" s="481"/>
      <c r="BK1212" s="16"/>
      <c r="BL1212" s="16"/>
      <c r="BM1212" s="16"/>
      <c r="BN1212" s="17"/>
      <c r="BO1212" s="17"/>
      <c r="BP1212" s="17"/>
      <c r="CC1212" s="471"/>
      <c r="CD1212" s="471"/>
      <c r="CE1212" s="471"/>
      <c r="CF1212" s="471"/>
      <c r="CG1212" s="471"/>
      <c r="CH1212" s="471"/>
      <c r="CI1212" s="471"/>
      <c r="CJ1212" s="471"/>
    </row>
    <row r="1213" spans="3:88" s="15" customFormat="1" x14ac:dyDescent="0.2">
      <c r="C1213" s="481"/>
      <c r="H1213" s="481"/>
      <c r="O1213" s="506"/>
      <c r="Q1213" s="481"/>
      <c r="BK1213" s="16"/>
      <c r="BL1213" s="16"/>
      <c r="BM1213" s="16"/>
      <c r="BN1213" s="17"/>
      <c r="BO1213" s="17"/>
      <c r="BP1213" s="17"/>
      <c r="CC1213" s="471"/>
      <c r="CD1213" s="471"/>
      <c r="CE1213" s="471"/>
      <c r="CF1213" s="471"/>
      <c r="CG1213" s="471"/>
      <c r="CH1213" s="471"/>
      <c r="CI1213" s="471"/>
      <c r="CJ1213" s="471"/>
    </row>
    <row r="1214" spans="3:88" s="15" customFormat="1" x14ac:dyDescent="0.2">
      <c r="C1214" s="481"/>
      <c r="H1214" s="481"/>
      <c r="O1214" s="506"/>
      <c r="Q1214" s="481"/>
      <c r="BK1214" s="16"/>
      <c r="BL1214" s="16"/>
      <c r="BM1214" s="16"/>
      <c r="BN1214" s="17"/>
      <c r="BO1214" s="17"/>
      <c r="BP1214" s="17"/>
      <c r="CC1214" s="471"/>
      <c r="CD1214" s="471"/>
      <c r="CE1214" s="471"/>
      <c r="CF1214" s="471"/>
      <c r="CG1214" s="471"/>
      <c r="CH1214" s="471"/>
      <c r="CI1214" s="471"/>
      <c r="CJ1214" s="471"/>
    </row>
    <row r="1215" spans="3:88" s="15" customFormat="1" x14ac:dyDescent="0.2">
      <c r="C1215" s="481"/>
      <c r="H1215" s="481"/>
      <c r="O1215" s="506"/>
      <c r="Q1215" s="481"/>
      <c r="BK1215" s="16"/>
      <c r="BL1215" s="16"/>
      <c r="BM1215" s="16"/>
      <c r="BN1215" s="17"/>
      <c r="BO1215" s="17"/>
      <c r="BP1215" s="17"/>
      <c r="CC1215" s="471"/>
      <c r="CD1215" s="471"/>
      <c r="CE1215" s="471"/>
      <c r="CF1215" s="471"/>
      <c r="CG1215" s="471"/>
      <c r="CH1215" s="471"/>
      <c r="CI1215" s="471"/>
      <c r="CJ1215" s="471"/>
    </row>
    <row r="1216" spans="3:88" s="15" customFormat="1" x14ac:dyDescent="0.2">
      <c r="C1216" s="481"/>
      <c r="H1216" s="481"/>
      <c r="O1216" s="506"/>
      <c r="Q1216" s="481"/>
      <c r="BK1216" s="16"/>
      <c r="BL1216" s="16"/>
      <c r="BM1216" s="16"/>
      <c r="BN1216" s="17"/>
      <c r="BO1216" s="17"/>
      <c r="BP1216" s="17"/>
      <c r="CC1216" s="471"/>
      <c r="CD1216" s="471"/>
      <c r="CE1216" s="471"/>
      <c r="CF1216" s="471"/>
      <c r="CG1216" s="471"/>
      <c r="CH1216" s="471"/>
      <c r="CI1216" s="471"/>
      <c r="CJ1216" s="471"/>
    </row>
    <row r="1217" spans="3:88" s="15" customFormat="1" x14ac:dyDescent="0.2">
      <c r="C1217" s="481"/>
      <c r="H1217" s="481"/>
      <c r="O1217" s="506"/>
      <c r="Q1217" s="481"/>
      <c r="BK1217" s="16"/>
      <c r="BL1217" s="16"/>
      <c r="BM1217" s="16"/>
      <c r="BN1217" s="17"/>
      <c r="BO1217" s="17"/>
      <c r="BP1217" s="17"/>
      <c r="CC1217" s="471"/>
      <c r="CD1217" s="471"/>
      <c r="CE1217" s="471"/>
      <c r="CF1217" s="471"/>
      <c r="CG1217" s="471"/>
      <c r="CH1217" s="471"/>
      <c r="CI1217" s="471"/>
      <c r="CJ1217" s="471"/>
    </row>
    <row r="1218" spans="3:88" s="15" customFormat="1" x14ac:dyDescent="0.2">
      <c r="C1218" s="481"/>
      <c r="H1218" s="481"/>
      <c r="O1218" s="506"/>
      <c r="Q1218" s="481"/>
      <c r="BK1218" s="16"/>
      <c r="BL1218" s="16"/>
      <c r="BM1218" s="16"/>
      <c r="BN1218" s="17"/>
      <c r="BO1218" s="17"/>
      <c r="BP1218" s="17"/>
      <c r="CC1218" s="471"/>
      <c r="CD1218" s="471"/>
      <c r="CE1218" s="471"/>
      <c r="CF1218" s="471"/>
      <c r="CG1218" s="471"/>
      <c r="CH1218" s="471"/>
      <c r="CI1218" s="471"/>
      <c r="CJ1218" s="471"/>
    </row>
    <row r="1219" spans="3:88" s="15" customFormat="1" x14ac:dyDescent="0.2">
      <c r="C1219" s="481"/>
      <c r="H1219" s="481"/>
      <c r="O1219" s="506"/>
      <c r="Q1219" s="481"/>
      <c r="BK1219" s="16"/>
      <c r="BL1219" s="16"/>
      <c r="BM1219" s="16"/>
      <c r="BN1219" s="17"/>
      <c r="BO1219" s="17"/>
      <c r="BP1219" s="17"/>
      <c r="CC1219" s="471"/>
      <c r="CD1219" s="471"/>
      <c r="CE1219" s="471"/>
      <c r="CF1219" s="471"/>
      <c r="CG1219" s="471"/>
      <c r="CH1219" s="471"/>
      <c r="CI1219" s="471"/>
      <c r="CJ1219" s="471"/>
    </row>
    <row r="1220" spans="3:88" s="15" customFormat="1" x14ac:dyDescent="0.2">
      <c r="C1220" s="481"/>
      <c r="H1220" s="481"/>
      <c r="O1220" s="506"/>
      <c r="Q1220" s="481"/>
      <c r="BK1220" s="16"/>
      <c r="BL1220" s="16"/>
      <c r="BM1220" s="16"/>
      <c r="BN1220" s="17"/>
      <c r="BO1220" s="17"/>
      <c r="BP1220" s="17"/>
      <c r="CC1220" s="471"/>
      <c r="CD1220" s="471"/>
      <c r="CE1220" s="471"/>
      <c r="CF1220" s="471"/>
      <c r="CG1220" s="471"/>
      <c r="CH1220" s="471"/>
      <c r="CI1220" s="471"/>
      <c r="CJ1220" s="471"/>
    </row>
    <row r="1221" spans="3:88" s="15" customFormat="1" x14ac:dyDescent="0.2">
      <c r="C1221" s="481"/>
      <c r="H1221" s="481"/>
      <c r="O1221" s="506"/>
      <c r="Q1221" s="481"/>
      <c r="BK1221" s="16"/>
      <c r="BL1221" s="16"/>
      <c r="BM1221" s="16"/>
      <c r="BN1221" s="17"/>
      <c r="BO1221" s="17"/>
      <c r="BP1221" s="17"/>
      <c r="CC1221" s="471"/>
      <c r="CD1221" s="471"/>
      <c r="CE1221" s="471"/>
      <c r="CF1221" s="471"/>
      <c r="CG1221" s="471"/>
      <c r="CH1221" s="471"/>
      <c r="CI1221" s="471"/>
      <c r="CJ1221" s="471"/>
    </row>
    <row r="1222" spans="3:88" s="15" customFormat="1" x14ac:dyDescent="0.2">
      <c r="C1222" s="481"/>
      <c r="H1222" s="481"/>
      <c r="O1222" s="506"/>
      <c r="Q1222" s="481"/>
      <c r="BK1222" s="16"/>
      <c r="BL1222" s="16"/>
      <c r="BM1222" s="16"/>
      <c r="BN1222" s="17"/>
      <c r="BO1222" s="17"/>
      <c r="BP1222" s="17"/>
      <c r="CC1222" s="471"/>
      <c r="CD1222" s="471"/>
      <c r="CE1222" s="471"/>
      <c r="CF1222" s="471"/>
      <c r="CG1222" s="471"/>
      <c r="CH1222" s="471"/>
      <c r="CI1222" s="471"/>
      <c r="CJ1222" s="471"/>
    </row>
    <row r="1223" spans="3:88" s="15" customFormat="1" x14ac:dyDescent="0.2">
      <c r="C1223" s="481"/>
      <c r="H1223" s="481"/>
      <c r="O1223" s="506"/>
      <c r="Q1223" s="481"/>
      <c r="BK1223" s="16"/>
      <c r="BL1223" s="16"/>
      <c r="BM1223" s="16"/>
      <c r="BN1223" s="17"/>
      <c r="BO1223" s="17"/>
      <c r="BP1223" s="17"/>
      <c r="CC1223" s="471"/>
      <c r="CD1223" s="471"/>
      <c r="CE1223" s="471"/>
      <c r="CF1223" s="471"/>
      <c r="CG1223" s="471"/>
      <c r="CH1223" s="471"/>
      <c r="CI1223" s="471"/>
      <c r="CJ1223" s="471"/>
    </row>
    <row r="1224" spans="3:88" s="15" customFormat="1" x14ac:dyDescent="0.2">
      <c r="C1224" s="481"/>
      <c r="H1224" s="481"/>
      <c r="O1224" s="506"/>
      <c r="Q1224" s="481"/>
      <c r="BK1224" s="16"/>
      <c r="BL1224" s="16"/>
      <c r="BM1224" s="16"/>
      <c r="BN1224" s="17"/>
      <c r="BO1224" s="17"/>
      <c r="BP1224" s="17"/>
      <c r="CC1224" s="471"/>
      <c r="CD1224" s="471"/>
      <c r="CE1224" s="471"/>
      <c r="CF1224" s="471"/>
      <c r="CG1224" s="471"/>
      <c r="CH1224" s="471"/>
      <c r="CI1224" s="471"/>
      <c r="CJ1224" s="471"/>
    </row>
    <row r="1225" spans="3:88" s="15" customFormat="1" x14ac:dyDescent="0.2">
      <c r="C1225" s="481"/>
      <c r="H1225" s="481"/>
      <c r="O1225" s="506"/>
      <c r="Q1225" s="481"/>
      <c r="BK1225" s="16"/>
      <c r="BL1225" s="16"/>
      <c r="BM1225" s="16"/>
      <c r="BN1225" s="17"/>
      <c r="BO1225" s="17"/>
      <c r="BP1225" s="17"/>
      <c r="CC1225" s="471"/>
      <c r="CD1225" s="471"/>
      <c r="CE1225" s="471"/>
      <c r="CF1225" s="471"/>
      <c r="CG1225" s="471"/>
      <c r="CH1225" s="471"/>
      <c r="CI1225" s="471"/>
      <c r="CJ1225" s="471"/>
    </row>
    <row r="1226" spans="3:88" s="15" customFormat="1" x14ac:dyDescent="0.2">
      <c r="C1226" s="481"/>
      <c r="H1226" s="481"/>
      <c r="O1226" s="506"/>
      <c r="Q1226" s="481"/>
      <c r="BK1226" s="16"/>
      <c r="BL1226" s="16"/>
      <c r="BM1226" s="16"/>
      <c r="BN1226" s="17"/>
      <c r="BO1226" s="17"/>
      <c r="BP1226" s="17"/>
      <c r="CC1226" s="471"/>
      <c r="CD1226" s="471"/>
      <c r="CE1226" s="471"/>
      <c r="CF1226" s="471"/>
      <c r="CG1226" s="471"/>
      <c r="CH1226" s="471"/>
      <c r="CI1226" s="471"/>
      <c r="CJ1226" s="471"/>
    </row>
    <row r="1227" spans="3:88" s="15" customFormat="1" x14ac:dyDescent="0.2">
      <c r="C1227" s="481"/>
      <c r="H1227" s="481"/>
      <c r="O1227" s="506"/>
      <c r="Q1227" s="481"/>
      <c r="BK1227" s="16"/>
      <c r="BL1227" s="16"/>
      <c r="BM1227" s="16"/>
      <c r="BN1227" s="17"/>
      <c r="BO1227" s="17"/>
      <c r="BP1227" s="17"/>
      <c r="CC1227" s="471"/>
      <c r="CD1227" s="471"/>
      <c r="CE1227" s="471"/>
      <c r="CF1227" s="471"/>
      <c r="CG1227" s="471"/>
      <c r="CH1227" s="471"/>
      <c r="CI1227" s="471"/>
      <c r="CJ1227" s="471"/>
    </row>
    <row r="1228" spans="3:88" s="15" customFormat="1" x14ac:dyDescent="0.2">
      <c r="C1228" s="481"/>
      <c r="H1228" s="481"/>
      <c r="O1228" s="506"/>
      <c r="Q1228" s="481"/>
      <c r="BK1228" s="16"/>
      <c r="BL1228" s="16"/>
      <c r="BM1228" s="16"/>
      <c r="BN1228" s="17"/>
      <c r="BO1228" s="17"/>
      <c r="BP1228" s="17"/>
      <c r="CC1228" s="471"/>
      <c r="CD1228" s="471"/>
      <c r="CE1228" s="471"/>
      <c r="CF1228" s="471"/>
      <c r="CG1228" s="471"/>
      <c r="CH1228" s="471"/>
      <c r="CI1228" s="471"/>
      <c r="CJ1228" s="471"/>
    </row>
    <row r="1229" spans="3:88" s="15" customFormat="1" x14ac:dyDescent="0.2">
      <c r="C1229" s="481"/>
      <c r="H1229" s="481"/>
      <c r="O1229" s="506"/>
      <c r="Q1229" s="481"/>
      <c r="BK1229" s="16"/>
      <c r="BL1229" s="16"/>
      <c r="BM1229" s="16"/>
      <c r="BN1229" s="17"/>
      <c r="BO1229" s="17"/>
      <c r="BP1229" s="17"/>
      <c r="CC1229" s="471"/>
      <c r="CD1229" s="471"/>
      <c r="CE1229" s="471"/>
      <c r="CF1229" s="471"/>
      <c r="CG1229" s="471"/>
      <c r="CH1229" s="471"/>
      <c r="CI1229" s="471"/>
      <c r="CJ1229" s="471"/>
    </row>
    <row r="1230" spans="3:88" s="15" customFormat="1" x14ac:dyDescent="0.2">
      <c r="C1230" s="481"/>
      <c r="H1230" s="481"/>
      <c r="O1230" s="506"/>
      <c r="Q1230" s="481"/>
      <c r="BK1230" s="16"/>
      <c r="BL1230" s="16"/>
      <c r="BM1230" s="16"/>
      <c r="BN1230" s="17"/>
      <c r="BO1230" s="17"/>
      <c r="BP1230" s="17"/>
      <c r="CC1230" s="471"/>
      <c r="CD1230" s="471"/>
      <c r="CE1230" s="471"/>
      <c r="CF1230" s="471"/>
      <c r="CG1230" s="471"/>
      <c r="CH1230" s="471"/>
      <c r="CI1230" s="471"/>
      <c r="CJ1230" s="471"/>
    </row>
    <row r="1231" spans="3:88" s="15" customFormat="1" x14ac:dyDescent="0.2">
      <c r="C1231" s="481"/>
      <c r="H1231" s="481"/>
      <c r="O1231" s="506"/>
      <c r="Q1231" s="481"/>
      <c r="BK1231" s="16"/>
      <c r="BL1231" s="16"/>
      <c r="BM1231" s="16"/>
      <c r="BN1231" s="17"/>
      <c r="BO1231" s="17"/>
      <c r="BP1231" s="17"/>
      <c r="CC1231" s="471"/>
      <c r="CD1231" s="471"/>
      <c r="CE1231" s="471"/>
      <c r="CF1231" s="471"/>
      <c r="CG1231" s="471"/>
      <c r="CH1231" s="471"/>
      <c r="CI1231" s="471"/>
      <c r="CJ1231" s="471"/>
    </row>
    <row r="1232" spans="3:88" s="15" customFormat="1" x14ac:dyDescent="0.2">
      <c r="C1232" s="481"/>
      <c r="H1232" s="481"/>
      <c r="O1232" s="506"/>
      <c r="Q1232" s="481"/>
      <c r="BK1232" s="16"/>
      <c r="BL1232" s="16"/>
      <c r="BM1232" s="16"/>
      <c r="BN1232" s="17"/>
      <c r="BO1232" s="17"/>
      <c r="BP1232" s="17"/>
      <c r="CC1232" s="471"/>
      <c r="CD1232" s="471"/>
      <c r="CE1232" s="471"/>
      <c r="CF1232" s="471"/>
      <c r="CG1232" s="471"/>
      <c r="CH1232" s="471"/>
      <c r="CI1232" s="471"/>
      <c r="CJ1232" s="471"/>
    </row>
    <row r="1233" spans="3:88" s="15" customFormat="1" x14ac:dyDescent="0.2">
      <c r="C1233" s="481"/>
      <c r="H1233" s="481"/>
      <c r="O1233" s="506"/>
      <c r="Q1233" s="481"/>
      <c r="BK1233" s="16"/>
      <c r="BL1233" s="16"/>
      <c r="BM1233" s="16"/>
      <c r="BN1233" s="17"/>
      <c r="BO1233" s="17"/>
      <c r="BP1233" s="17"/>
      <c r="CC1233" s="471"/>
      <c r="CD1233" s="471"/>
      <c r="CE1233" s="471"/>
      <c r="CF1233" s="471"/>
      <c r="CG1233" s="471"/>
      <c r="CH1233" s="471"/>
      <c r="CI1233" s="471"/>
      <c r="CJ1233" s="471"/>
    </row>
    <row r="1234" spans="3:88" s="15" customFormat="1" x14ac:dyDescent="0.2">
      <c r="C1234" s="481"/>
      <c r="H1234" s="481"/>
      <c r="O1234" s="506"/>
      <c r="Q1234" s="481"/>
      <c r="BK1234" s="16"/>
      <c r="BL1234" s="16"/>
      <c r="BM1234" s="16"/>
      <c r="BN1234" s="17"/>
      <c r="BO1234" s="17"/>
      <c r="BP1234" s="17"/>
      <c r="CC1234" s="471"/>
      <c r="CD1234" s="471"/>
      <c r="CE1234" s="471"/>
      <c r="CF1234" s="471"/>
      <c r="CG1234" s="471"/>
      <c r="CH1234" s="471"/>
      <c r="CI1234" s="471"/>
      <c r="CJ1234" s="471"/>
    </row>
    <row r="1235" spans="3:88" s="15" customFormat="1" x14ac:dyDescent="0.2">
      <c r="C1235" s="481"/>
      <c r="H1235" s="481"/>
      <c r="O1235" s="506"/>
      <c r="Q1235" s="481"/>
      <c r="BK1235" s="16"/>
      <c r="BL1235" s="16"/>
      <c r="BM1235" s="16"/>
      <c r="BN1235" s="17"/>
      <c r="BO1235" s="17"/>
      <c r="BP1235" s="17"/>
      <c r="CC1235" s="471"/>
      <c r="CD1235" s="471"/>
      <c r="CE1235" s="471"/>
      <c r="CF1235" s="471"/>
      <c r="CG1235" s="471"/>
      <c r="CH1235" s="471"/>
      <c r="CI1235" s="471"/>
      <c r="CJ1235" s="471"/>
    </row>
    <row r="1236" spans="3:88" s="15" customFormat="1" x14ac:dyDescent="0.2">
      <c r="C1236" s="481"/>
      <c r="H1236" s="481"/>
      <c r="O1236" s="506"/>
      <c r="Q1236" s="481"/>
      <c r="BK1236" s="16"/>
      <c r="BL1236" s="16"/>
      <c r="BM1236" s="16"/>
      <c r="BN1236" s="17"/>
      <c r="BO1236" s="17"/>
      <c r="BP1236" s="17"/>
      <c r="CC1236" s="471"/>
      <c r="CD1236" s="471"/>
      <c r="CE1236" s="471"/>
      <c r="CF1236" s="471"/>
      <c r="CG1236" s="471"/>
      <c r="CH1236" s="471"/>
      <c r="CI1236" s="471"/>
      <c r="CJ1236" s="471"/>
    </row>
    <row r="1237" spans="3:88" s="15" customFormat="1" x14ac:dyDescent="0.2">
      <c r="C1237" s="481"/>
      <c r="H1237" s="481"/>
      <c r="O1237" s="506"/>
      <c r="Q1237" s="481"/>
      <c r="BK1237" s="16"/>
      <c r="BL1237" s="16"/>
      <c r="BM1237" s="16"/>
      <c r="BN1237" s="17"/>
      <c r="BO1237" s="17"/>
      <c r="BP1237" s="17"/>
      <c r="CC1237" s="471"/>
      <c r="CD1237" s="471"/>
      <c r="CE1237" s="471"/>
      <c r="CF1237" s="471"/>
      <c r="CG1237" s="471"/>
      <c r="CH1237" s="471"/>
      <c r="CI1237" s="471"/>
      <c r="CJ1237" s="471"/>
    </row>
    <row r="1238" spans="3:88" s="15" customFormat="1" x14ac:dyDescent="0.2">
      <c r="C1238" s="481"/>
      <c r="H1238" s="481"/>
      <c r="O1238" s="506"/>
      <c r="Q1238" s="481"/>
      <c r="BK1238" s="16"/>
      <c r="BL1238" s="16"/>
      <c r="BM1238" s="16"/>
      <c r="BN1238" s="17"/>
      <c r="BO1238" s="17"/>
      <c r="BP1238" s="17"/>
      <c r="CC1238" s="471"/>
      <c r="CD1238" s="471"/>
      <c r="CE1238" s="471"/>
      <c r="CF1238" s="471"/>
      <c r="CG1238" s="471"/>
      <c r="CH1238" s="471"/>
      <c r="CI1238" s="471"/>
      <c r="CJ1238" s="471"/>
    </row>
    <row r="1239" spans="3:88" s="15" customFormat="1" x14ac:dyDescent="0.2">
      <c r="C1239" s="481"/>
      <c r="H1239" s="481"/>
      <c r="O1239" s="506"/>
      <c r="Q1239" s="481"/>
      <c r="BK1239" s="16"/>
      <c r="BL1239" s="16"/>
      <c r="BM1239" s="16"/>
      <c r="BN1239" s="17"/>
      <c r="BO1239" s="17"/>
      <c r="BP1239" s="17"/>
      <c r="CC1239" s="471"/>
      <c r="CD1239" s="471"/>
      <c r="CE1239" s="471"/>
      <c r="CF1239" s="471"/>
      <c r="CG1239" s="471"/>
      <c r="CH1239" s="471"/>
      <c r="CI1239" s="471"/>
      <c r="CJ1239" s="471"/>
    </row>
    <row r="1240" spans="3:88" s="15" customFormat="1" x14ac:dyDescent="0.2">
      <c r="C1240" s="481"/>
      <c r="H1240" s="481"/>
      <c r="O1240" s="506"/>
      <c r="Q1240" s="481"/>
      <c r="BK1240" s="16"/>
      <c r="BL1240" s="16"/>
      <c r="BM1240" s="16"/>
      <c r="BN1240" s="17"/>
      <c r="BO1240" s="17"/>
      <c r="BP1240" s="17"/>
      <c r="CC1240" s="471"/>
      <c r="CD1240" s="471"/>
      <c r="CE1240" s="471"/>
      <c r="CF1240" s="471"/>
      <c r="CG1240" s="471"/>
      <c r="CH1240" s="471"/>
      <c r="CI1240" s="471"/>
      <c r="CJ1240" s="471"/>
    </row>
    <row r="1241" spans="3:88" s="15" customFormat="1" x14ac:dyDescent="0.2">
      <c r="C1241" s="481"/>
      <c r="H1241" s="481"/>
      <c r="O1241" s="506"/>
      <c r="Q1241" s="481"/>
      <c r="BK1241" s="16"/>
      <c r="BL1241" s="16"/>
      <c r="BM1241" s="16"/>
      <c r="BN1241" s="17"/>
      <c r="BO1241" s="17"/>
      <c r="BP1241" s="17"/>
      <c r="CC1241" s="471"/>
      <c r="CD1241" s="471"/>
      <c r="CE1241" s="471"/>
      <c r="CF1241" s="471"/>
      <c r="CG1241" s="471"/>
      <c r="CH1241" s="471"/>
      <c r="CI1241" s="471"/>
      <c r="CJ1241" s="471"/>
    </row>
    <row r="1242" spans="3:88" s="15" customFormat="1" x14ac:dyDescent="0.2">
      <c r="C1242" s="481"/>
      <c r="H1242" s="481"/>
      <c r="O1242" s="506"/>
      <c r="Q1242" s="481"/>
      <c r="BK1242" s="16"/>
      <c r="BL1242" s="16"/>
      <c r="BM1242" s="16"/>
      <c r="BN1242" s="17"/>
      <c r="BO1242" s="17"/>
      <c r="BP1242" s="17"/>
      <c r="CC1242" s="471"/>
      <c r="CD1242" s="471"/>
      <c r="CE1242" s="471"/>
      <c r="CF1242" s="471"/>
      <c r="CG1242" s="471"/>
      <c r="CH1242" s="471"/>
      <c r="CI1242" s="471"/>
      <c r="CJ1242" s="471"/>
    </row>
    <row r="1243" spans="3:88" s="15" customFormat="1" x14ac:dyDescent="0.2">
      <c r="C1243" s="481"/>
      <c r="H1243" s="481"/>
      <c r="O1243" s="506"/>
      <c r="Q1243" s="481"/>
      <c r="BK1243" s="16"/>
      <c r="BL1243" s="16"/>
      <c r="BM1243" s="16"/>
      <c r="BN1243" s="17"/>
      <c r="BO1243" s="17"/>
      <c r="BP1243" s="17"/>
      <c r="CC1243" s="471"/>
      <c r="CD1243" s="471"/>
      <c r="CE1243" s="471"/>
      <c r="CF1243" s="471"/>
      <c r="CG1243" s="471"/>
      <c r="CH1243" s="471"/>
      <c r="CI1243" s="471"/>
      <c r="CJ1243" s="471"/>
    </row>
    <row r="1244" spans="3:88" s="15" customFormat="1" x14ac:dyDescent="0.2">
      <c r="C1244" s="481"/>
      <c r="H1244" s="481"/>
      <c r="O1244" s="506"/>
      <c r="Q1244" s="481"/>
      <c r="BK1244" s="16"/>
      <c r="BL1244" s="16"/>
      <c r="BM1244" s="16"/>
      <c r="BN1244" s="17"/>
      <c r="BO1244" s="17"/>
      <c r="BP1244" s="17"/>
      <c r="CC1244" s="471"/>
      <c r="CD1244" s="471"/>
      <c r="CE1244" s="471"/>
      <c r="CF1244" s="471"/>
      <c r="CG1244" s="471"/>
      <c r="CH1244" s="471"/>
      <c r="CI1244" s="471"/>
      <c r="CJ1244" s="471"/>
    </row>
    <row r="1245" spans="3:88" s="15" customFormat="1" x14ac:dyDescent="0.2">
      <c r="C1245" s="481"/>
      <c r="H1245" s="481"/>
      <c r="O1245" s="506"/>
      <c r="Q1245" s="481"/>
      <c r="BK1245" s="16"/>
      <c r="BL1245" s="16"/>
      <c r="BM1245" s="16"/>
      <c r="BN1245" s="17"/>
      <c r="BO1245" s="17"/>
      <c r="BP1245" s="17"/>
      <c r="CC1245" s="471"/>
      <c r="CD1245" s="471"/>
      <c r="CE1245" s="471"/>
      <c r="CF1245" s="471"/>
      <c r="CG1245" s="471"/>
      <c r="CH1245" s="471"/>
      <c r="CI1245" s="471"/>
      <c r="CJ1245" s="471"/>
    </row>
    <row r="1246" spans="3:88" s="15" customFormat="1" x14ac:dyDescent="0.2">
      <c r="C1246" s="481"/>
      <c r="H1246" s="481"/>
      <c r="O1246" s="506"/>
      <c r="Q1246" s="481"/>
      <c r="BK1246" s="16"/>
      <c r="BL1246" s="16"/>
      <c r="BM1246" s="16"/>
      <c r="BN1246" s="17"/>
      <c r="BO1246" s="17"/>
      <c r="BP1246" s="17"/>
      <c r="CC1246" s="471"/>
      <c r="CD1246" s="471"/>
      <c r="CE1246" s="471"/>
      <c r="CF1246" s="471"/>
      <c r="CG1246" s="471"/>
      <c r="CH1246" s="471"/>
      <c r="CI1246" s="471"/>
      <c r="CJ1246" s="471"/>
    </row>
    <row r="1247" spans="3:88" s="15" customFormat="1" x14ac:dyDescent="0.2">
      <c r="C1247" s="481"/>
      <c r="H1247" s="481"/>
      <c r="O1247" s="506"/>
      <c r="Q1247" s="481"/>
      <c r="BK1247" s="16"/>
      <c r="BL1247" s="16"/>
      <c r="BM1247" s="16"/>
      <c r="BN1247" s="17"/>
      <c r="BO1247" s="17"/>
      <c r="BP1247" s="17"/>
      <c r="CC1247" s="471"/>
      <c r="CD1247" s="471"/>
      <c r="CE1247" s="471"/>
      <c r="CF1247" s="471"/>
      <c r="CG1247" s="471"/>
      <c r="CH1247" s="471"/>
      <c r="CI1247" s="471"/>
      <c r="CJ1247" s="471"/>
    </row>
    <row r="1248" spans="3:88" s="15" customFormat="1" x14ac:dyDescent="0.2">
      <c r="C1248" s="481"/>
      <c r="H1248" s="481"/>
      <c r="O1248" s="506"/>
      <c r="Q1248" s="481"/>
      <c r="BK1248" s="16"/>
      <c r="BL1248" s="16"/>
      <c r="BM1248" s="16"/>
      <c r="BN1248" s="17"/>
      <c r="BO1248" s="17"/>
      <c r="BP1248" s="17"/>
      <c r="CC1248" s="471"/>
      <c r="CD1248" s="471"/>
      <c r="CE1248" s="471"/>
      <c r="CF1248" s="471"/>
      <c r="CG1248" s="471"/>
      <c r="CH1248" s="471"/>
      <c r="CI1248" s="471"/>
      <c r="CJ1248" s="471"/>
    </row>
    <row r="1249" spans="3:88" s="15" customFormat="1" x14ac:dyDescent="0.2">
      <c r="C1249" s="481"/>
      <c r="H1249" s="481"/>
      <c r="O1249" s="506"/>
      <c r="Q1249" s="481"/>
      <c r="BK1249" s="16"/>
      <c r="BL1249" s="16"/>
      <c r="BM1249" s="16"/>
      <c r="BN1249" s="17"/>
      <c r="BO1249" s="17"/>
      <c r="BP1249" s="17"/>
      <c r="CC1249" s="471"/>
      <c r="CD1249" s="471"/>
      <c r="CE1249" s="471"/>
      <c r="CF1249" s="471"/>
      <c r="CG1249" s="471"/>
      <c r="CH1249" s="471"/>
      <c r="CI1249" s="471"/>
      <c r="CJ1249" s="471"/>
    </row>
    <row r="1250" spans="3:88" s="15" customFormat="1" x14ac:dyDescent="0.2">
      <c r="C1250" s="481"/>
      <c r="H1250" s="481"/>
      <c r="O1250" s="506"/>
      <c r="Q1250" s="481"/>
      <c r="BK1250" s="16"/>
      <c r="BL1250" s="16"/>
      <c r="BM1250" s="16"/>
      <c r="BN1250" s="17"/>
      <c r="BO1250" s="17"/>
      <c r="BP1250" s="17"/>
      <c r="CC1250" s="471"/>
      <c r="CD1250" s="471"/>
      <c r="CE1250" s="471"/>
      <c r="CF1250" s="471"/>
      <c r="CG1250" s="471"/>
      <c r="CH1250" s="471"/>
      <c r="CI1250" s="471"/>
      <c r="CJ1250" s="471"/>
    </row>
    <row r="1251" spans="3:88" s="15" customFormat="1" x14ac:dyDescent="0.2">
      <c r="C1251" s="481"/>
      <c r="H1251" s="481"/>
      <c r="O1251" s="506"/>
      <c r="Q1251" s="481"/>
      <c r="BK1251" s="16"/>
      <c r="BL1251" s="16"/>
      <c r="BM1251" s="16"/>
      <c r="BN1251" s="17"/>
      <c r="BO1251" s="17"/>
      <c r="BP1251" s="17"/>
      <c r="CC1251" s="471"/>
      <c r="CD1251" s="471"/>
      <c r="CE1251" s="471"/>
      <c r="CF1251" s="471"/>
      <c r="CG1251" s="471"/>
      <c r="CH1251" s="471"/>
      <c r="CI1251" s="471"/>
      <c r="CJ1251" s="471"/>
    </row>
    <row r="1252" spans="3:88" s="15" customFormat="1" x14ac:dyDescent="0.2">
      <c r="C1252" s="481"/>
      <c r="H1252" s="481"/>
      <c r="O1252" s="506"/>
      <c r="Q1252" s="481"/>
      <c r="BK1252" s="16"/>
      <c r="BL1252" s="16"/>
      <c r="BM1252" s="16"/>
      <c r="BN1252" s="17"/>
      <c r="BO1252" s="17"/>
      <c r="BP1252" s="17"/>
      <c r="CC1252" s="471"/>
      <c r="CD1252" s="471"/>
      <c r="CE1252" s="471"/>
      <c r="CF1252" s="471"/>
      <c r="CG1252" s="471"/>
      <c r="CH1252" s="471"/>
      <c r="CI1252" s="471"/>
      <c r="CJ1252" s="471"/>
    </row>
    <row r="1253" spans="3:88" s="15" customFormat="1" x14ac:dyDescent="0.2">
      <c r="C1253" s="481"/>
      <c r="H1253" s="481"/>
      <c r="O1253" s="506"/>
      <c r="Q1253" s="481"/>
      <c r="BK1253" s="16"/>
      <c r="BL1253" s="16"/>
      <c r="BM1253" s="16"/>
      <c r="BN1253" s="17"/>
      <c r="BO1253" s="17"/>
      <c r="BP1253" s="17"/>
      <c r="CC1253" s="471"/>
      <c r="CD1253" s="471"/>
      <c r="CE1253" s="471"/>
      <c r="CF1253" s="471"/>
      <c r="CG1253" s="471"/>
      <c r="CH1253" s="471"/>
      <c r="CI1253" s="471"/>
      <c r="CJ1253" s="471"/>
    </row>
    <row r="1254" spans="3:88" s="15" customFormat="1" x14ac:dyDescent="0.2">
      <c r="C1254" s="481"/>
      <c r="H1254" s="481"/>
      <c r="O1254" s="506"/>
      <c r="Q1254" s="481"/>
      <c r="BK1254" s="16"/>
      <c r="BL1254" s="16"/>
      <c r="BM1254" s="16"/>
      <c r="BN1254" s="17"/>
      <c r="BO1254" s="17"/>
      <c r="BP1254" s="17"/>
      <c r="CC1254" s="471"/>
      <c r="CD1254" s="471"/>
      <c r="CE1254" s="471"/>
      <c r="CF1254" s="471"/>
      <c r="CG1254" s="471"/>
      <c r="CH1254" s="471"/>
      <c r="CI1254" s="471"/>
      <c r="CJ1254" s="471"/>
    </row>
    <row r="1255" spans="3:88" s="15" customFormat="1" x14ac:dyDescent="0.2">
      <c r="C1255" s="481"/>
      <c r="H1255" s="481"/>
      <c r="O1255" s="506"/>
      <c r="Q1255" s="481"/>
      <c r="BK1255" s="16"/>
      <c r="BL1255" s="16"/>
      <c r="BM1255" s="16"/>
      <c r="BN1255" s="17"/>
      <c r="BO1255" s="17"/>
      <c r="BP1255" s="17"/>
      <c r="CC1255" s="471"/>
      <c r="CD1255" s="471"/>
      <c r="CE1255" s="471"/>
      <c r="CF1255" s="471"/>
      <c r="CG1255" s="471"/>
      <c r="CH1255" s="471"/>
      <c r="CI1255" s="471"/>
      <c r="CJ1255" s="471"/>
    </row>
    <row r="1256" spans="3:88" s="15" customFormat="1" x14ac:dyDescent="0.2">
      <c r="C1256" s="481"/>
      <c r="H1256" s="481"/>
      <c r="O1256" s="506"/>
      <c r="Q1256" s="481"/>
      <c r="BK1256" s="16"/>
      <c r="BL1256" s="16"/>
      <c r="BM1256" s="16"/>
      <c r="BN1256" s="17"/>
      <c r="BO1256" s="17"/>
      <c r="BP1256" s="17"/>
      <c r="CC1256" s="471"/>
      <c r="CD1256" s="471"/>
      <c r="CE1256" s="471"/>
      <c r="CF1256" s="471"/>
      <c r="CG1256" s="471"/>
      <c r="CH1256" s="471"/>
      <c r="CI1256" s="471"/>
      <c r="CJ1256" s="471"/>
    </row>
    <row r="1257" spans="3:88" s="15" customFormat="1" x14ac:dyDescent="0.2">
      <c r="C1257" s="481"/>
      <c r="H1257" s="481"/>
      <c r="O1257" s="506"/>
      <c r="Q1257" s="481"/>
      <c r="BK1257" s="16"/>
      <c r="BL1257" s="16"/>
      <c r="BM1257" s="16"/>
      <c r="BN1257" s="17"/>
      <c r="BO1257" s="17"/>
      <c r="BP1257" s="17"/>
      <c r="CC1257" s="471"/>
      <c r="CD1257" s="471"/>
      <c r="CE1257" s="471"/>
      <c r="CF1257" s="471"/>
      <c r="CG1257" s="471"/>
      <c r="CH1257" s="471"/>
      <c r="CI1257" s="471"/>
      <c r="CJ1257" s="471"/>
    </row>
    <row r="1258" spans="3:88" s="15" customFormat="1" x14ac:dyDescent="0.2">
      <c r="C1258" s="481"/>
      <c r="H1258" s="481"/>
      <c r="O1258" s="506"/>
      <c r="Q1258" s="481"/>
      <c r="BK1258" s="16"/>
      <c r="BL1258" s="16"/>
      <c r="BM1258" s="16"/>
      <c r="BN1258" s="17"/>
      <c r="BO1258" s="17"/>
      <c r="BP1258" s="17"/>
      <c r="CC1258" s="471"/>
      <c r="CD1258" s="471"/>
      <c r="CE1258" s="471"/>
      <c r="CF1258" s="471"/>
      <c r="CG1258" s="471"/>
      <c r="CH1258" s="471"/>
      <c r="CI1258" s="471"/>
      <c r="CJ1258" s="471"/>
    </row>
    <row r="1259" spans="3:88" s="15" customFormat="1" x14ac:dyDescent="0.2">
      <c r="C1259" s="481"/>
      <c r="H1259" s="481"/>
      <c r="O1259" s="506"/>
      <c r="Q1259" s="481"/>
      <c r="BK1259" s="16"/>
      <c r="BL1259" s="16"/>
      <c r="BM1259" s="16"/>
      <c r="BN1259" s="17"/>
      <c r="BO1259" s="17"/>
      <c r="BP1259" s="17"/>
      <c r="CC1259" s="471"/>
      <c r="CD1259" s="471"/>
      <c r="CE1259" s="471"/>
      <c r="CF1259" s="471"/>
      <c r="CG1259" s="471"/>
      <c r="CH1259" s="471"/>
      <c r="CI1259" s="471"/>
      <c r="CJ1259" s="471"/>
    </row>
    <row r="1260" spans="3:88" s="15" customFormat="1" x14ac:dyDescent="0.2">
      <c r="C1260" s="481"/>
      <c r="H1260" s="481"/>
      <c r="O1260" s="506"/>
      <c r="Q1260" s="481"/>
      <c r="BK1260" s="16"/>
      <c r="BL1260" s="16"/>
      <c r="BM1260" s="16"/>
      <c r="BN1260" s="17"/>
      <c r="BO1260" s="17"/>
      <c r="BP1260" s="17"/>
      <c r="CC1260" s="471"/>
      <c r="CD1260" s="471"/>
      <c r="CE1260" s="471"/>
      <c r="CF1260" s="471"/>
      <c r="CG1260" s="471"/>
      <c r="CH1260" s="471"/>
      <c r="CI1260" s="471"/>
      <c r="CJ1260" s="471"/>
    </row>
    <row r="1261" spans="3:88" s="15" customFormat="1" x14ac:dyDescent="0.2">
      <c r="C1261" s="481"/>
      <c r="H1261" s="481"/>
      <c r="O1261" s="506"/>
      <c r="Q1261" s="481"/>
      <c r="BK1261" s="16"/>
      <c r="BL1261" s="16"/>
      <c r="BM1261" s="16"/>
      <c r="BN1261" s="17"/>
      <c r="BO1261" s="17"/>
      <c r="BP1261" s="17"/>
      <c r="CC1261" s="471"/>
      <c r="CD1261" s="471"/>
      <c r="CE1261" s="471"/>
      <c r="CF1261" s="471"/>
      <c r="CG1261" s="471"/>
      <c r="CH1261" s="471"/>
      <c r="CI1261" s="471"/>
      <c r="CJ1261" s="471"/>
    </row>
    <row r="1262" spans="3:88" s="15" customFormat="1" x14ac:dyDescent="0.2">
      <c r="C1262" s="481"/>
      <c r="H1262" s="481"/>
      <c r="O1262" s="506"/>
      <c r="Q1262" s="481"/>
      <c r="BK1262" s="16"/>
      <c r="BL1262" s="16"/>
      <c r="BM1262" s="16"/>
      <c r="BN1262" s="17"/>
      <c r="BO1262" s="17"/>
      <c r="BP1262" s="17"/>
      <c r="CC1262" s="471"/>
      <c r="CD1262" s="471"/>
      <c r="CE1262" s="471"/>
      <c r="CF1262" s="471"/>
      <c r="CG1262" s="471"/>
      <c r="CH1262" s="471"/>
      <c r="CI1262" s="471"/>
      <c r="CJ1262" s="471"/>
    </row>
    <row r="1263" spans="3:88" s="15" customFormat="1" x14ac:dyDescent="0.2">
      <c r="C1263" s="481"/>
      <c r="H1263" s="481"/>
      <c r="O1263" s="506"/>
      <c r="Q1263" s="481"/>
      <c r="BK1263" s="16"/>
      <c r="BL1263" s="16"/>
      <c r="BM1263" s="16"/>
      <c r="BN1263" s="17"/>
      <c r="BO1263" s="17"/>
      <c r="BP1263" s="17"/>
      <c r="CC1263" s="471"/>
      <c r="CD1263" s="471"/>
      <c r="CE1263" s="471"/>
      <c r="CF1263" s="471"/>
      <c r="CG1263" s="471"/>
      <c r="CH1263" s="471"/>
      <c r="CI1263" s="471"/>
      <c r="CJ1263" s="471"/>
    </row>
    <row r="1264" spans="3:88" s="15" customFormat="1" x14ac:dyDescent="0.2">
      <c r="C1264" s="481"/>
      <c r="H1264" s="481"/>
      <c r="O1264" s="506"/>
      <c r="Q1264" s="481"/>
      <c r="BK1264" s="16"/>
      <c r="BL1264" s="16"/>
      <c r="BM1264" s="16"/>
      <c r="BN1264" s="17"/>
      <c r="BO1264" s="17"/>
      <c r="BP1264" s="17"/>
      <c r="CC1264" s="471"/>
      <c r="CD1264" s="471"/>
      <c r="CE1264" s="471"/>
      <c r="CF1264" s="471"/>
      <c r="CG1264" s="471"/>
      <c r="CH1264" s="471"/>
      <c r="CI1264" s="471"/>
      <c r="CJ1264" s="471"/>
    </row>
    <row r="1265" spans="3:88" s="15" customFormat="1" x14ac:dyDescent="0.2">
      <c r="C1265" s="481"/>
      <c r="H1265" s="481"/>
      <c r="O1265" s="506"/>
      <c r="Q1265" s="481"/>
      <c r="BK1265" s="16"/>
      <c r="BL1265" s="16"/>
      <c r="BM1265" s="16"/>
      <c r="BN1265" s="17"/>
      <c r="BO1265" s="17"/>
      <c r="BP1265" s="17"/>
      <c r="CC1265" s="471"/>
      <c r="CD1265" s="471"/>
      <c r="CE1265" s="471"/>
      <c r="CF1265" s="471"/>
      <c r="CG1265" s="471"/>
      <c r="CH1265" s="471"/>
      <c r="CI1265" s="471"/>
      <c r="CJ1265" s="471"/>
    </row>
    <row r="1266" spans="3:88" s="15" customFormat="1" x14ac:dyDescent="0.2">
      <c r="C1266" s="481"/>
      <c r="H1266" s="481"/>
      <c r="O1266" s="506"/>
      <c r="Q1266" s="481"/>
      <c r="BK1266" s="16"/>
      <c r="BL1266" s="16"/>
      <c r="BM1266" s="16"/>
      <c r="BN1266" s="17"/>
      <c r="BO1266" s="17"/>
      <c r="BP1266" s="17"/>
      <c r="CC1266" s="471"/>
      <c r="CD1266" s="471"/>
      <c r="CE1266" s="471"/>
      <c r="CF1266" s="471"/>
      <c r="CG1266" s="471"/>
      <c r="CH1266" s="471"/>
      <c r="CI1266" s="471"/>
      <c r="CJ1266" s="471"/>
    </row>
    <row r="1267" spans="3:88" s="15" customFormat="1" x14ac:dyDescent="0.2">
      <c r="C1267" s="481"/>
      <c r="H1267" s="481"/>
      <c r="O1267" s="506"/>
      <c r="Q1267" s="481"/>
      <c r="BK1267" s="16"/>
      <c r="BL1267" s="16"/>
      <c r="BM1267" s="16"/>
      <c r="BN1267" s="17"/>
      <c r="BO1267" s="17"/>
      <c r="BP1267" s="17"/>
      <c r="CC1267" s="471"/>
      <c r="CD1267" s="471"/>
      <c r="CE1267" s="471"/>
      <c r="CF1267" s="471"/>
      <c r="CG1267" s="471"/>
      <c r="CH1267" s="471"/>
      <c r="CI1267" s="471"/>
      <c r="CJ1267" s="471"/>
    </row>
    <row r="1268" spans="3:88" s="15" customFormat="1" x14ac:dyDescent="0.2">
      <c r="C1268" s="481"/>
      <c r="H1268" s="481"/>
      <c r="O1268" s="506"/>
      <c r="Q1268" s="481"/>
      <c r="BK1268" s="16"/>
      <c r="BL1268" s="16"/>
      <c r="BM1268" s="16"/>
      <c r="BN1268" s="17"/>
      <c r="BO1268" s="17"/>
      <c r="BP1268" s="17"/>
      <c r="CC1268" s="471"/>
      <c r="CD1268" s="471"/>
      <c r="CE1268" s="471"/>
      <c r="CF1268" s="471"/>
      <c r="CG1268" s="471"/>
      <c r="CH1268" s="471"/>
      <c r="CI1268" s="471"/>
      <c r="CJ1268" s="471"/>
    </row>
    <row r="1269" spans="3:88" s="15" customFormat="1" x14ac:dyDescent="0.2">
      <c r="C1269" s="481"/>
      <c r="H1269" s="481"/>
      <c r="O1269" s="506"/>
      <c r="Q1269" s="481"/>
      <c r="BK1269" s="16"/>
      <c r="BL1269" s="16"/>
      <c r="BM1269" s="16"/>
      <c r="BN1269" s="17"/>
      <c r="BO1269" s="17"/>
      <c r="BP1269" s="17"/>
      <c r="CC1269" s="471"/>
      <c r="CD1269" s="471"/>
      <c r="CE1269" s="471"/>
      <c r="CF1269" s="471"/>
      <c r="CG1269" s="471"/>
      <c r="CH1269" s="471"/>
      <c r="CI1269" s="471"/>
      <c r="CJ1269" s="471"/>
    </row>
    <row r="1270" spans="3:88" s="15" customFormat="1" x14ac:dyDescent="0.2">
      <c r="C1270" s="481"/>
      <c r="H1270" s="481"/>
      <c r="O1270" s="506"/>
      <c r="Q1270" s="481"/>
      <c r="BK1270" s="16"/>
      <c r="BL1270" s="16"/>
      <c r="BM1270" s="16"/>
      <c r="BN1270" s="17"/>
      <c r="BO1270" s="17"/>
      <c r="BP1270" s="17"/>
      <c r="CC1270" s="471"/>
      <c r="CD1270" s="471"/>
      <c r="CE1270" s="471"/>
      <c r="CF1270" s="471"/>
      <c r="CG1270" s="471"/>
      <c r="CH1270" s="471"/>
      <c r="CI1270" s="471"/>
      <c r="CJ1270" s="471"/>
    </row>
    <row r="1271" spans="3:88" s="15" customFormat="1" x14ac:dyDescent="0.2">
      <c r="C1271" s="481"/>
      <c r="H1271" s="481"/>
      <c r="O1271" s="506"/>
      <c r="Q1271" s="481"/>
      <c r="BK1271" s="16"/>
      <c r="BL1271" s="16"/>
      <c r="BM1271" s="16"/>
      <c r="BN1271" s="17"/>
      <c r="BO1271" s="17"/>
      <c r="BP1271" s="17"/>
      <c r="CC1271" s="471"/>
      <c r="CD1271" s="471"/>
      <c r="CE1271" s="471"/>
      <c r="CF1271" s="471"/>
      <c r="CG1271" s="471"/>
      <c r="CH1271" s="471"/>
      <c r="CI1271" s="471"/>
      <c r="CJ1271" s="471"/>
    </row>
    <row r="1272" spans="3:88" s="15" customFormat="1" x14ac:dyDescent="0.2">
      <c r="C1272" s="481"/>
      <c r="H1272" s="481"/>
      <c r="O1272" s="506"/>
      <c r="Q1272" s="481"/>
      <c r="BK1272" s="16"/>
      <c r="BL1272" s="16"/>
      <c r="BM1272" s="16"/>
      <c r="BN1272" s="17"/>
      <c r="BO1272" s="17"/>
      <c r="BP1272" s="17"/>
      <c r="CC1272" s="471"/>
      <c r="CD1272" s="471"/>
      <c r="CE1272" s="471"/>
      <c r="CF1272" s="471"/>
      <c r="CG1272" s="471"/>
      <c r="CH1272" s="471"/>
      <c r="CI1272" s="471"/>
      <c r="CJ1272" s="471"/>
    </row>
    <row r="1273" spans="3:88" s="15" customFormat="1" x14ac:dyDescent="0.2">
      <c r="C1273" s="481"/>
      <c r="H1273" s="481"/>
      <c r="O1273" s="506"/>
      <c r="Q1273" s="481"/>
      <c r="BK1273" s="16"/>
      <c r="BL1273" s="16"/>
      <c r="BM1273" s="16"/>
      <c r="BN1273" s="17"/>
      <c r="BO1273" s="17"/>
      <c r="BP1273" s="17"/>
      <c r="CC1273" s="471"/>
      <c r="CD1273" s="471"/>
      <c r="CE1273" s="471"/>
      <c r="CF1273" s="471"/>
      <c r="CG1273" s="471"/>
      <c r="CH1273" s="471"/>
      <c r="CI1273" s="471"/>
      <c r="CJ1273" s="471"/>
    </row>
    <row r="1274" spans="3:88" s="15" customFormat="1" x14ac:dyDescent="0.2">
      <c r="C1274" s="481"/>
      <c r="H1274" s="481"/>
      <c r="O1274" s="506"/>
      <c r="Q1274" s="481"/>
      <c r="BK1274" s="16"/>
      <c r="BL1274" s="16"/>
      <c r="BM1274" s="16"/>
      <c r="BN1274" s="17"/>
      <c r="BO1274" s="17"/>
      <c r="BP1274" s="17"/>
      <c r="CC1274" s="471"/>
      <c r="CD1274" s="471"/>
      <c r="CE1274" s="471"/>
      <c r="CF1274" s="471"/>
      <c r="CG1274" s="471"/>
      <c r="CH1274" s="471"/>
      <c r="CI1274" s="471"/>
      <c r="CJ1274" s="471"/>
    </row>
    <row r="1275" spans="3:88" s="15" customFormat="1" x14ac:dyDescent="0.2">
      <c r="C1275" s="481"/>
      <c r="H1275" s="481"/>
      <c r="O1275" s="506"/>
      <c r="Q1275" s="481"/>
      <c r="BK1275" s="16"/>
      <c r="BL1275" s="16"/>
      <c r="BM1275" s="16"/>
      <c r="BN1275" s="17"/>
      <c r="BO1275" s="17"/>
      <c r="BP1275" s="17"/>
      <c r="CC1275" s="471"/>
      <c r="CD1275" s="471"/>
      <c r="CE1275" s="471"/>
      <c r="CF1275" s="471"/>
      <c r="CG1275" s="471"/>
      <c r="CH1275" s="471"/>
      <c r="CI1275" s="471"/>
      <c r="CJ1275" s="471"/>
    </row>
    <row r="1276" spans="3:88" s="15" customFormat="1" x14ac:dyDescent="0.2">
      <c r="C1276" s="481"/>
      <c r="H1276" s="481"/>
      <c r="O1276" s="506"/>
      <c r="Q1276" s="481"/>
      <c r="BK1276" s="16"/>
      <c r="BL1276" s="16"/>
      <c r="BM1276" s="16"/>
      <c r="BN1276" s="17"/>
      <c r="BO1276" s="17"/>
      <c r="BP1276" s="17"/>
      <c r="CC1276" s="471"/>
      <c r="CD1276" s="471"/>
      <c r="CE1276" s="471"/>
      <c r="CF1276" s="471"/>
      <c r="CG1276" s="471"/>
      <c r="CH1276" s="471"/>
      <c r="CI1276" s="471"/>
      <c r="CJ1276" s="471"/>
    </row>
    <row r="1277" spans="3:88" s="15" customFormat="1" x14ac:dyDescent="0.2">
      <c r="C1277" s="481"/>
      <c r="H1277" s="481"/>
      <c r="O1277" s="506"/>
      <c r="Q1277" s="481"/>
      <c r="BK1277" s="16"/>
      <c r="BL1277" s="16"/>
      <c r="BM1277" s="16"/>
      <c r="BN1277" s="17"/>
      <c r="BO1277" s="17"/>
      <c r="BP1277" s="17"/>
      <c r="CC1277" s="471"/>
      <c r="CD1277" s="471"/>
      <c r="CE1277" s="471"/>
      <c r="CF1277" s="471"/>
      <c r="CG1277" s="471"/>
      <c r="CH1277" s="471"/>
      <c r="CI1277" s="471"/>
      <c r="CJ1277" s="471"/>
    </row>
    <row r="1278" spans="3:88" s="15" customFormat="1" x14ac:dyDescent="0.2">
      <c r="C1278" s="481"/>
      <c r="H1278" s="481"/>
      <c r="O1278" s="506"/>
      <c r="Q1278" s="481"/>
      <c r="BK1278" s="16"/>
      <c r="BL1278" s="16"/>
      <c r="BM1278" s="16"/>
      <c r="BN1278" s="17"/>
      <c r="BO1278" s="17"/>
      <c r="BP1278" s="17"/>
      <c r="CC1278" s="471"/>
      <c r="CD1278" s="471"/>
      <c r="CE1278" s="471"/>
      <c r="CF1278" s="471"/>
      <c r="CG1278" s="471"/>
      <c r="CH1278" s="471"/>
      <c r="CI1278" s="471"/>
      <c r="CJ1278" s="471"/>
    </row>
    <row r="1279" spans="3:88" s="15" customFormat="1" x14ac:dyDescent="0.2">
      <c r="C1279" s="481"/>
      <c r="H1279" s="481"/>
      <c r="O1279" s="506"/>
      <c r="Q1279" s="481"/>
      <c r="BK1279" s="16"/>
      <c r="BL1279" s="16"/>
      <c r="BM1279" s="16"/>
      <c r="BN1279" s="17"/>
      <c r="BO1279" s="17"/>
      <c r="BP1279" s="17"/>
      <c r="CC1279" s="471"/>
      <c r="CD1279" s="471"/>
      <c r="CE1279" s="471"/>
      <c r="CF1279" s="471"/>
      <c r="CG1279" s="471"/>
      <c r="CH1279" s="471"/>
      <c r="CI1279" s="471"/>
      <c r="CJ1279" s="471"/>
    </row>
    <row r="1280" spans="3:88" s="15" customFormat="1" x14ac:dyDescent="0.2">
      <c r="C1280" s="481"/>
      <c r="H1280" s="481"/>
      <c r="O1280" s="506"/>
      <c r="Q1280" s="481"/>
      <c r="BK1280" s="16"/>
      <c r="BL1280" s="16"/>
      <c r="BM1280" s="16"/>
      <c r="BN1280" s="17"/>
      <c r="BO1280" s="17"/>
      <c r="BP1280" s="17"/>
      <c r="CC1280" s="471"/>
      <c r="CD1280" s="471"/>
      <c r="CE1280" s="471"/>
      <c r="CF1280" s="471"/>
      <c r="CG1280" s="471"/>
      <c r="CH1280" s="471"/>
      <c r="CI1280" s="471"/>
      <c r="CJ1280" s="471"/>
    </row>
    <row r="1281" spans="3:88" s="15" customFormat="1" x14ac:dyDescent="0.2">
      <c r="C1281" s="481"/>
      <c r="H1281" s="481"/>
      <c r="O1281" s="506"/>
      <c r="Q1281" s="481"/>
      <c r="BK1281" s="16"/>
      <c r="BL1281" s="16"/>
      <c r="BM1281" s="16"/>
      <c r="BN1281" s="17"/>
      <c r="BO1281" s="17"/>
      <c r="BP1281" s="17"/>
      <c r="CC1281" s="471"/>
      <c r="CD1281" s="471"/>
      <c r="CE1281" s="471"/>
      <c r="CF1281" s="471"/>
      <c r="CG1281" s="471"/>
      <c r="CH1281" s="471"/>
      <c r="CI1281" s="471"/>
      <c r="CJ1281" s="471"/>
    </row>
    <row r="1282" spans="3:88" s="15" customFormat="1" x14ac:dyDescent="0.2">
      <c r="C1282" s="481"/>
      <c r="H1282" s="481"/>
      <c r="O1282" s="506"/>
      <c r="Q1282" s="481"/>
      <c r="BK1282" s="16"/>
      <c r="BL1282" s="16"/>
      <c r="BM1282" s="16"/>
      <c r="BN1282" s="17"/>
      <c r="BO1282" s="17"/>
      <c r="BP1282" s="17"/>
      <c r="CC1282" s="471"/>
      <c r="CD1282" s="471"/>
      <c r="CE1282" s="471"/>
      <c r="CF1282" s="471"/>
      <c r="CG1282" s="471"/>
      <c r="CH1282" s="471"/>
      <c r="CI1282" s="471"/>
      <c r="CJ1282" s="471"/>
    </row>
    <row r="1283" spans="3:88" s="15" customFormat="1" x14ac:dyDescent="0.2">
      <c r="C1283" s="481"/>
      <c r="H1283" s="481"/>
      <c r="O1283" s="506"/>
      <c r="Q1283" s="481"/>
      <c r="BK1283" s="16"/>
      <c r="BL1283" s="16"/>
      <c r="BM1283" s="16"/>
      <c r="BN1283" s="17"/>
      <c r="BO1283" s="17"/>
      <c r="BP1283" s="17"/>
      <c r="CC1283" s="471"/>
      <c r="CD1283" s="471"/>
      <c r="CE1283" s="471"/>
      <c r="CF1283" s="471"/>
      <c r="CG1283" s="471"/>
      <c r="CH1283" s="471"/>
      <c r="CI1283" s="471"/>
      <c r="CJ1283" s="471"/>
    </row>
    <row r="1284" spans="3:88" s="15" customFormat="1" x14ac:dyDescent="0.2">
      <c r="C1284" s="481"/>
      <c r="H1284" s="481"/>
      <c r="O1284" s="506"/>
      <c r="Q1284" s="481"/>
      <c r="BK1284" s="16"/>
      <c r="BL1284" s="16"/>
      <c r="BM1284" s="16"/>
      <c r="BN1284" s="17"/>
      <c r="BO1284" s="17"/>
      <c r="BP1284" s="17"/>
      <c r="CC1284" s="471"/>
      <c r="CD1284" s="471"/>
      <c r="CE1284" s="471"/>
      <c r="CF1284" s="471"/>
      <c r="CG1284" s="471"/>
      <c r="CH1284" s="471"/>
      <c r="CI1284" s="471"/>
      <c r="CJ1284" s="471"/>
    </row>
    <row r="1285" spans="3:88" s="15" customFormat="1" x14ac:dyDescent="0.2">
      <c r="C1285" s="481"/>
      <c r="H1285" s="481"/>
      <c r="O1285" s="506"/>
      <c r="Q1285" s="481"/>
      <c r="BK1285" s="16"/>
      <c r="BL1285" s="16"/>
      <c r="BM1285" s="16"/>
      <c r="BN1285" s="17"/>
      <c r="BO1285" s="17"/>
      <c r="BP1285" s="17"/>
      <c r="CC1285" s="471"/>
      <c r="CD1285" s="471"/>
      <c r="CE1285" s="471"/>
      <c r="CF1285" s="471"/>
      <c r="CG1285" s="471"/>
      <c r="CH1285" s="471"/>
      <c r="CI1285" s="471"/>
      <c r="CJ1285" s="471"/>
    </row>
    <row r="1286" spans="3:88" s="15" customFormat="1" x14ac:dyDescent="0.2">
      <c r="C1286" s="481"/>
      <c r="H1286" s="481"/>
      <c r="O1286" s="506"/>
      <c r="Q1286" s="481"/>
      <c r="BK1286" s="16"/>
      <c r="BL1286" s="16"/>
      <c r="BM1286" s="16"/>
      <c r="BN1286" s="17"/>
      <c r="BO1286" s="17"/>
      <c r="BP1286" s="17"/>
      <c r="CC1286" s="471"/>
      <c r="CD1286" s="471"/>
      <c r="CE1286" s="471"/>
      <c r="CF1286" s="471"/>
      <c r="CG1286" s="471"/>
      <c r="CH1286" s="471"/>
      <c r="CI1286" s="471"/>
      <c r="CJ1286" s="471"/>
    </row>
    <row r="1287" spans="3:88" s="15" customFormat="1" x14ac:dyDescent="0.2">
      <c r="C1287" s="481"/>
      <c r="H1287" s="481"/>
      <c r="O1287" s="506"/>
      <c r="Q1287" s="481"/>
      <c r="BK1287" s="16"/>
      <c r="BL1287" s="16"/>
      <c r="BM1287" s="16"/>
      <c r="BN1287" s="17"/>
      <c r="BO1287" s="17"/>
      <c r="BP1287" s="17"/>
      <c r="CC1287" s="471"/>
      <c r="CD1287" s="471"/>
      <c r="CE1287" s="471"/>
      <c r="CF1287" s="471"/>
      <c r="CG1287" s="471"/>
      <c r="CH1287" s="471"/>
      <c r="CI1287" s="471"/>
      <c r="CJ1287" s="471"/>
    </row>
    <row r="1288" spans="3:88" s="15" customFormat="1" x14ac:dyDescent="0.2">
      <c r="C1288" s="481"/>
      <c r="H1288" s="481"/>
      <c r="O1288" s="506"/>
      <c r="Q1288" s="481"/>
      <c r="BK1288" s="16"/>
      <c r="BL1288" s="16"/>
      <c r="BM1288" s="16"/>
      <c r="BN1288" s="17"/>
      <c r="BO1288" s="17"/>
      <c r="BP1288" s="17"/>
      <c r="CC1288" s="471"/>
      <c r="CD1288" s="471"/>
      <c r="CE1288" s="471"/>
      <c r="CF1288" s="471"/>
      <c r="CG1288" s="471"/>
      <c r="CH1288" s="471"/>
      <c r="CI1288" s="471"/>
      <c r="CJ1288" s="471"/>
    </row>
    <row r="1289" spans="3:88" s="15" customFormat="1" x14ac:dyDescent="0.2">
      <c r="C1289" s="481"/>
      <c r="H1289" s="481"/>
      <c r="O1289" s="506"/>
      <c r="Q1289" s="481"/>
      <c r="BK1289" s="16"/>
      <c r="BL1289" s="16"/>
      <c r="BM1289" s="16"/>
      <c r="BN1289" s="17"/>
      <c r="BO1289" s="17"/>
      <c r="BP1289" s="17"/>
      <c r="CC1289" s="471"/>
      <c r="CD1289" s="471"/>
      <c r="CE1289" s="471"/>
      <c r="CF1289" s="471"/>
      <c r="CG1289" s="471"/>
      <c r="CH1289" s="471"/>
      <c r="CI1289" s="471"/>
      <c r="CJ1289" s="471"/>
    </row>
    <row r="1290" spans="3:88" s="15" customFormat="1" x14ac:dyDescent="0.2">
      <c r="C1290" s="481"/>
      <c r="H1290" s="481"/>
      <c r="O1290" s="506"/>
      <c r="Q1290" s="481"/>
      <c r="BK1290" s="16"/>
      <c r="BL1290" s="16"/>
      <c r="BM1290" s="16"/>
      <c r="BN1290" s="17"/>
      <c r="BO1290" s="17"/>
      <c r="BP1290" s="17"/>
      <c r="CC1290" s="471"/>
      <c r="CD1290" s="471"/>
      <c r="CE1290" s="471"/>
      <c r="CF1290" s="471"/>
      <c r="CG1290" s="471"/>
      <c r="CH1290" s="471"/>
      <c r="CI1290" s="471"/>
      <c r="CJ1290" s="471"/>
    </row>
    <row r="1291" spans="3:88" s="15" customFormat="1" x14ac:dyDescent="0.2">
      <c r="C1291" s="481"/>
      <c r="H1291" s="481"/>
      <c r="O1291" s="506"/>
      <c r="Q1291" s="481"/>
      <c r="BK1291" s="16"/>
      <c r="BL1291" s="16"/>
      <c r="BM1291" s="16"/>
      <c r="BN1291" s="17"/>
      <c r="BO1291" s="17"/>
      <c r="BP1291" s="17"/>
      <c r="CC1291" s="471"/>
      <c r="CD1291" s="471"/>
      <c r="CE1291" s="471"/>
      <c r="CF1291" s="471"/>
      <c r="CG1291" s="471"/>
      <c r="CH1291" s="471"/>
      <c r="CI1291" s="471"/>
      <c r="CJ1291" s="471"/>
    </row>
    <row r="1292" spans="3:88" s="15" customFormat="1" x14ac:dyDescent="0.2">
      <c r="C1292" s="481"/>
      <c r="H1292" s="481"/>
      <c r="O1292" s="506"/>
      <c r="Q1292" s="481"/>
      <c r="BK1292" s="16"/>
      <c r="BL1292" s="16"/>
      <c r="BM1292" s="16"/>
      <c r="BN1292" s="17"/>
      <c r="BO1292" s="17"/>
      <c r="BP1292" s="17"/>
      <c r="CC1292" s="471"/>
      <c r="CD1292" s="471"/>
      <c r="CE1292" s="471"/>
      <c r="CF1292" s="471"/>
      <c r="CG1292" s="471"/>
      <c r="CH1292" s="471"/>
      <c r="CI1292" s="471"/>
      <c r="CJ1292" s="471"/>
    </row>
    <row r="1293" spans="3:88" s="15" customFormat="1" x14ac:dyDescent="0.2">
      <c r="C1293" s="481"/>
      <c r="H1293" s="481"/>
      <c r="O1293" s="506"/>
      <c r="Q1293" s="481"/>
      <c r="BK1293" s="16"/>
      <c r="BL1293" s="16"/>
      <c r="BM1293" s="16"/>
      <c r="BN1293" s="17"/>
      <c r="BO1293" s="17"/>
      <c r="BP1293" s="17"/>
      <c r="CC1293" s="471"/>
      <c r="CD1293" s="471"/>
      <c r="CE1293" s="471"/>
      <c r="CF1293" s="471"/>
      <c r="CG1293" s="471"/>
      <c r="CH1293" s="471"/>
      <c r="CI1293" s="471"/>
      <c r="CJ1293" s="471"/>
    </row>
    <row r="1294" spans="3:88" s="15" customFormat="1" x14ac:dyDescent="0.2">
      <c r="C1294" s="481"/>
      <c r="H1294" s="481"/>
      <c r="O1294" s="506"/>
      <c r="Q1294" s="481"/>
      <c r="BK1294" s="16"/>
      <c r="BL1294" s="16"/>
      <c r="BM1294" s="16"/>
      <c r="BN1294" s="17"/>
      <c r="BO1294" s="17"/>
      <c r="BP1294" s="17"/>
      <c r="CC1294" s="471"/>
      <c r="CD1294" s="471"/>
      <c r="CE1294" s="471"/>
      <c r="CF1294" s="471"/>
      <c r="CG1294" s="471"/>
      <c r="CH1294" s="471"/>
      <c r="CI1294" s="471"/>
      <c r="CJ1294" s="471"/>
    </row>
    <row r="1295" spans="3:88" s="15" customFormat="1" x14ac:dyDescent="0.2">
      <c r="C1295" s="481"/>
      <c r="H1295" s="481"/>
      <c r="O1295" s="506"/>
      <c r="Q1295" s="481"/>
      <c r="BK1295" s="16"/>
      <c r="BL1295" s="16"/>
      <c r="BM1295" s="16"/>
      <c r="BN1295" s="17"/>
      <c r="BO1295" s="17"/>
      <c r="BP1295" s="17"/>
      <c r="CC1295" s="471"/>
      <c r="CD1295" s="471"/>
      <c r="CE1295" s="471"/>
      <c r="CF1295" s="471"/>
      <c r="CG1295" s="471"/>
      <c r="CH1295" s="471"/>
      <c r="CI1295" s="471"/>
      <c r="CJ1295" s="471"/>
    </row>
    <row r="1296" spans="3:88" s="15" customFormat="1" x14ac:dyDescent="0.2">
      <c r="C1296" s="481"/>
      <c r="H1296" s="481"/>
      <c r="O1296" s="506"/>
      <c r="Q1296" s="481"/>
      <c r="BK1296" s="16"/>
      <c r="BL1296" s="16"/>
      <c r="BM1296" s="16"/>
      <c r="BN1296" s="17"/>
      <c r="BO1296" s="17"/>
      <c r="BP1296" s="17"/>
      <c r="CC1296" s="471"/>
      <c r="CD1296" s="471"/>
      <c r="CE1296" s="471"/>
      <c r="CF1296" s="471"/>
      <c r="CG1296" s="471"/>
      <c r="CH1296" s="471"/>
      <c r="CI1296" s="471"/>
      <c r="CJ1296" s="471"/>
    </row>
    <row r="1297" spans="3:88" s="15" customFormat="1" x14ac:dyDescent="0.2">
      <c r="C1297" s="481"/>
      <c r="H1297" s="481"/>
      <c r="O1297" s="506"/>
      <c r="Q1297" s="481"/>
      <c r="BK1297" s="16"/>
      <c r="BL1297" s="16"/>
      <c r="BM1297" s="16"/>
      <c r="BN1297" s="17"/>
      <c r="BO1297" s="17"/>
      <c r="BP1297" s="17"/>
      <c r="CC1297" s="471"/>
      <c r="CD1297" s="471"/>
      <c r="CE1297" s="471"/>
      <c r="CF1297" s="471"/>
      <c r="CG1297" s="471"/>
      <c r="CH1297" s="471"/>
      <c r="CI1297" s="471"/>
      <c r="CJ1297" s="471"/>
    </row>
    <row r="1298" spans="3:88" s="15" customFormat="1" x14ac:dyDescent="0.2">
      <c r="C1298" s="481"/>
      <c r="H1298" s="481"/>
      <c r="O1298" s="506"/>
      <c r="Q1298" s="481"/>
      <c r="BK1298" s="16"/>
      <c r="BL1298" s="16"/>
      <c r="BM1298" s="16"/>
      <c r="BN1298" s="17"/>
      <c r="BO1298" s="17"/>
      <c r="BP1298" s="17"/>
      <c r="CC1298" s="471"/>
      <c r="CD1298" s="471"/>
      <c r="CE1298" s="471"/>
      <c r="CF1298" s="471"/>
      <c r="CG1298" s="471"/>
      <c r="CH1298" s="471"/>
      <c r="CI1298" s="471"/>
      <c r="CJ1298" s="471"/>
    </row>
    <row r="1299" spans="3:88" s="15" customFormat="1" x14ac:dyDescent="0.2">
      <c r="C1299" s="481"/>
      <c r="H1299" s="481"/>
      <c r="O1299" s="506"/>
      <c r="Q1299" s="481"/>
      <c r="BK1299" s="16"/>
      <c r="BL1299" s="16"/>
      <c r="BM1299" s="16"/>
      <c r="BN1299" s="17"/>
      <c r="BO1299" s="17"/>
      <c r="BP1299" s="17"/>
      <c r="CC1299" s="471"/>
      <c r="CD1299" s="471"/>
      <c r="CE1299" s="471"/>
      <c r="CF1299" s="471"/>
      <c r="CG1299" s="471"/>
      <c r="CH1299" s="471"/>
      <c r="CI1299" s="471"/>
      <c r="CJ1299" s="471"/>
    </row>
    <row r="1300" spans="3:88" s="15" customFormat="1" x14ac:dyDescent="0.2">
      <c r="C1300" s="481"/>
      <c r="H1300" s="481"/>
      <c r="O1300" s="506"/>
      <c r="Q1300" s="481"/>
      <c r="BK1300" s="16"/>
      <c r="BL1300" s="16"/>
      <c r="BM1300" s="16"/>
      <c r="BN1300" s="17"/>
      <c r="BO1300" s="17"/>
      <c r="BP1300" s="17"/>
      <c r="CC1300" s="471"/>
      <c r="CD1300" s="471"/>
      <c r="CE1300" s="471"/>
      <c r="CF1300" s="471"/>
      <c r="CG1300" s="471"/>
      <c r="CH1300" s="471"/>
      <c r="CI1300" s="471"/>
      <c r="CJ1300" s="471"/>
    </row>
    <row r="1301" spans="3:88" s="15" customFormat="1" x14ac:dyDescent="0.2">
      <c r="C1301" s="481"/>
      <c r="H1301" s="481"/>
      <c r="O1301" s="506"/>
      <c r="Q1301" s="481"/>
      <c r="BK1301" s="16"/>
      <c r="BL1301" s="16"/>
      <c r="BM1301" s="16"/>
      <c r="BN1301" s="17"/>
      <c r="BO1301" s="17"/>
      <c r="BP1301" s="17"/>
      <c r="CC1301" s="471"/>
      <c r="CD1301" s="471"/>
      <c r="CE1301" s="471"/>
      <c r="CF1301" s="471"/>
      <c r="CG1301" s="471"/>
      <c r="CH1301" s="471"/>
      <c r="CI1301" s="471"/>
      <c r="CJ1301" s="471"/>
    </row>
    <row r="1302" spans="3:88" s="15" customFormat="1" x14ac:dyDescent="0.2">
      <c r="C1302" s="481"/>
      <c r="H1302" s="481"/>
      <c r="O1302" s="506"/>
      <c r="Q1302" s="481"/>
      <c r="BK1302" s="16"/>
      <c r="BL1302" s="16"/>
      <c r="BM1302" s="16"/>
      <c r="BN1302" s="17"/>
      <c r="BO1302" s="17"/>
      <c r="BP1302" s="17"/>
      <c r="CC1302" s="471"/>
      <c r="CD1302" s="471"/>
      <c r="CE1302" s="471"/>
      <c r="CF1302" s="471"/>
      <c r="CG1302" s="471"/>
      <c r="CH1302" s="471"/>
      <c r="CI1302" s="471"/>
      <c r="CJ1302" s="471"/>
    </row>
    <row r="1303" spans="3:88" s="15" customFormat="1" x14ac:dyDescent="0.2">
      <c r="C1303" s="481"/>
      <c r="H1303" s="481"/>
      <c r="O1303" s="506"/>
      <c r="Q1303" s="481"/>
      <c r="BK1303" s="16"/>
      <c r="BL1303" s="16"/>
      <c r="BM1303" s="16"/>
      <c r="BN1303" s="17"/>
      <c r="BO1303" s="17"/>
      <c r="BP1303" s="17"/>
      <c r="CC1303" s="471"/>
      <c r="CD1303" s="471"/>
      <c r="CE1303" s="471"/>
      <c r="CF1303" s="471"/>
      <c r="CG1303" s="471"/>
      <c r="CH1303" s="471"/>
      <c r="CI1303" s="471"/>
      <c r="CJ1303" s="471"/>
    </row>
    <row r="1304" spans="3:88" s="15" customFormat="1" x14ac:dyDescent="0.2">
      <c r="C1304" s="481"/>
      <c r="H1304" s="481"/>
      <c r="O1304" s="506"/>
      <c r="Q1304" s="481"/>
      <c r="BK1304" s="16"/>
      <c r="BL1304" s="16"/>
      <c r="BM1304" s="16"/>
      <c r="BN1304" s="17"/>
      <c r="BO1304" s="17"/>
      <c r="BP1304" s="17"/>
      <c r="CC1304" s="471"/>
      <c r="CD1304" s="471"/>
      <c r="CE1304" s="471"/>
      <c r="CF1304" s="471"/>
      <c r="CG1304" s="471"/>
      <c r="CH1304" s="471"/>
      <c r="CI1304" s="471"/>
      <c r="CJ1304" s="471"/>
    </row>
    <row r="1305" spans="3:88" s="15" customFormat="1" x14ac:dyDescent="0.2">
      <c r="C1305" s="481"/>
      <c r="H1305" s="481"/>
      <c r="O1305" s="506"/>
      <c r="Q1305" s="481"/>
      <c r="BK1305" s="16"/>
      <c r="BL1305" s="16"/>
      <c r="BM1305" s="16"/>
      <c r="BN1305" s="17"/>
      <c r="BO1305" s="17"/>
      <c r="BP1305" s="17"/>
      <c r="CC1305" s="471"/>
      <c r="CD1305" s="471"/>
      <c r="CE1305" s="471"/>
      <c r="CF1305" s="471"/>
      <c r="CG1305" s="471"/>
      <c r="CH1305" s="471"/>
      <c r="CI1305" s="471"/>
      <c r="CJ1305" s="471"/>
    </row>
    <row r="1306" spans="3:88" s="15" customFormat="1" x14ac:dyDescent="0.2">
      <c r="C1306" s="481"/>
      <c r="H1306" s="481"/>
      <c r="O1306" s="506"/>
      <c r="Q1306" s="481"/>
      <c r="BK1306" s="16"/>
      <c r="BL1306" s="16"/>
      <c r="BM1306" s="16"/>
      <c r="BN1306" s="17"/>
      <c r="BO1306" s="17"/>
      <c r="BP1306" s="17"/>
      <c r="CC1306" s="471"/>
      <c r="CD1306" s="471"/>
      <c r="CE1306" s="471"/>
      <c r="CF1306" s="471"/>
      <c r="CG1306" s="471"/>
      <c r="CH1306" s="471"/>
      <c r="CI1306" s="471"/>
      <c r="CJ1306" s="471"/>
    </row>
    <row r="1307" spans="3:88" s="15" customFormat="1" x14ac:dyDescent="0.2">
      <c r="C1307" s="481"/>
      <c r="H1307" s="481"/>
      <c r="O1307" s="506"/>
      <c r="Q1307" s="481"/>
      <c r="BK1307" s="16"/>
      <c r="BL1307" s="16"/>
      <c r="BM1307" s="16"/>
      <c r="BN1307" s="17"/>
      <c r="BO1307" s="17"/>
      <c r="BP1307" s="17"/>
      <c r="CC1307" s="471"/>
      <c r="CD1307" s="471"/>
      <c r="CE1307" s="471"/>
      <c r="CF1307" s="471"/>
      <c r="CG1307" s="471"/>
      <c r="CH1307" s="471"/>
      <c r="CI1307" s="471"/>
      <c r="CJ1307" s="471"/>
    </row>
    <row r="1308" spans="3:88" s="15" customFormat="1" x14ac:dyDescent="0.2">
      <c r="C1308" s="481"/>
      <c r="H1308" s="481"/>
      <c r="O1308" s="506"/>
      <c r="Q1308" s="481"/>
      <c r="BK1308" s="16"/>
      <c r="BL1308" s="16"/>
      <c r="BM1308" s="16"/>
      <c r="BN1308" s="17"/>
      <c r="BO1308" s="17"/>
      <c r="BP1308" s="17"/>
      <c r="CC1308" s="471"/>
      <c r="CD1308" s="471"/>
      <c r="CE1308" s="471"/>
      <c r="CF1308" s="471"/>
      <c r="CG1308" s="471"/>
      <c r="CH1308" s="471"/>
      <c r="CI1308" s="471"/>
      <c r="CJ1308" s="471"/>
    </row>
    <row r="1309" spans="3:88" s="15" customFormat="1" x14ac:dyDescent="0.2">
      <c r="C1309" s="481"/>
      <c r="H1309" s="481"/>
      <c r="O1309" s="506"/>
      <c r="Q1309" s="481"/>
      <c r="BK1309" s="16"/>
      <c r="BL1309" s="16"/>
      <c r="BM1309" s="16"/>
      <c r="BN1309" s="17"/>
      <c r="BO1309" s="17"/>
      <c r="BP1309" s="17"/>
      <c r="CC1309" s="471"/>
      <c r="CD1309" s="471"/>
      <c r="CE1309" s="471"/>
      <c r="CF1309" s="471"/>
      <c r="CG1309" s="471"/>
      <c r="CH1309" s="471"/>
      <c r="CI1309" s="471"/>
      <c r="CJ1309" s="471"/>
    </row>
    <row r="1310" spans="3:88" s="15" customFormat="1" x14ac:dyDescent="0.2">
      <c r="C1310" s="481"/>
      <c r="H1310" s="481"/>
      <c r="O1310" s="506"/>
      <c r="Q1310" s="481"/>
      <c r="BK1310" s="16"/>
      <c r="BL1310" s="16"/>
      <c r="BM1310" s="16"/>
      <c r="BN1310" s="17"/>
      <c r="BO1310" s="17"/>
      <c r="BP1310" s="17"/>
      <c r="CC1310" s="471"/>
      <c r="CD1310" s="471"/>
      <c r="CE1310" s="471"/>
      <c r="CF1310" s="471"/>
      <c r="CG1310" s="471"/>
      <c r="CH1310" s="471"/>
      <c r="CI1310" s="471"/>
      <c r="CJ1310" s="471"/>
    </row>
    <row r="1311" spans="3:88" s="15" customFormat="1" x14ac:dyDescent="0.2">
      <c r="C1311" s="481"/>
      <c r="H1311" s="481"/>
      <c r="O1311" s="506"/>
      <c r="Q1311" s="481"/>
      <c r="BK1311" s="16"/>
      <c r="BL1311" s="16"/>
      <c r="BM1311" s="16"/>
      <c r="BN1311" s="17"/>
      <c r="BO1311" s="17"/>
      <c r="BP1311" s="17"/>
      <c r="CC1311" s="471"/>
      <c r="CD1311" s="471"/>
      <c r="CE1311" s="471"/>
      <c r="CF1311" s="471"/>
      <c r="CG1311" s="471"/>
      <c r="CH1311" s="471"/>
      <c r="CI1311" s="471"/>
      <c r="CJ1311" s="471"/>
    </row>
    <row r="1312" spans="3:88" s="15" customFormat="1" x14ac:dyDescent="0.2">
      <c r="C1312" s="481"/>
      <c r="H1312" s="481"/>
      <c r="O1312" s="506"/>
      <c r="Q1312" s="481"/>
      <c r="BK1312" s="16"/>
      <c r="BL1312" s="16"/>
      <c r="BM1312" s="16"/>
      <c r="BN1312" s="17"/>
      <c r="BO1312" s="17"/>
      <c r="BP1312" s="17"/>
      <c r="CC1312" s="471"/>
      <c r="CD1312" s="471"/>
      <c r="CE1312" s="471"/>
      <c r="CF1312" s="471"/>
      <c r="CG1312" s="471"/>
      <c r="CH1312" s="471"/>
      <c r="CI1312" s="471"/>
      <c r="CJ1312" s="471"/>
    </row>
    <row r="1313" spans="3:88" s="15" customFormat="1" x14ac:dyDescent="0.2">
      <c r="C1313" s="481"/>
      <c r="H1313" s="481"/>
      <c r="O1313" s="506"/>
      <c r="Q1313" s="481"/>
      <c r="BK1313" s="16"/>
      <c r="BL1313" s="16"/>
      <c r="BM1313" s="16"/>
      <c r="BN1313" s="17"/>
      <c r="BO1313" s="17"/>
      <c r="BP1313" s="17"/>
      <c r="CC1313" s="471"/>
      <c r="CD1313" s="471"/>
      <c r="CE1313" s="471"/>
      <c r="CF1313" s="471"/>
      <c r="CG1313" s="471"/>
      <c r="CH1313" s="471"/>
      <c r="CI1313" s="471"/>
      <c r="CJ1313" s="471"/>
    </row>
    <row r="1314" spans="3:88" s="15" customFormat="1" x14ac:dyDescent="0.2">
      <c r="C1314" s="481"/>
      <c r="H1314" s="481"/>
      <c r="O1314" s="506"/>
      <c r="Q1314" s="481"/>
      <c r="BK1314" s="16"/>
      <c r="BL1314" s="16"/>
      <c r="BM1314" s="16"/>
      <c r="BN1314" s="17"/>
      <c r="BO1314" s="17"/>
      <c r="BP1314" s="17"/>
      <c r="CC1314" s="471"/>
      <c r="CD1314" s="471"/>
      <c r="CE1314" s="471"/>
      <c r="CF1314" s="471"/>
      <c r="CG1314" s="471"/>
      <c r="CH1314" s="471"/>
      <c r="CI1314" s="471"/>
      <c r="CJ1314" s="471"/>
    </row>
    <row r="1315" spans="3:88" s="15" customFormat="1" x14ac:dyDescent="0.2">
      <c r="C1315" s="481"/>
      <c r="H1315" s="481"/>
      <c r="O1315" s="506"/>
      <c r="Q1315" s="481"/>
      <c r="BK1315" s="16"/>
      <c r="BL1315" s="16"/>
      <c r="BM1315" s="16"/>
      <c r="BN1315" s="17"/>
      <c r="BO1315" s="17"/>
      <c r="BP1315" s="17"/>
      <c r="CC1315" s="471"/>
      <c r="CD1315" s="471"/>
      <c r="CE1315" s="471"/>
      <c r="CF1315" s="471"/>
      <c r="CG1315" s="471"/>
      <c r="CH1315" s="471"/>
      <c r="CI1315" s="471"/>
      <c r="CJ1315" s="471"/>
    </row>
    <row r="1316" spans="3:88" s="15" customFormat="1" x14ac:dyDescent="0.2">
      <c r="C1316" s="481"/>
      <c r="H1316" s="481"/>
      <c r="O1316" s="506"/>
      <c r="Q1316" s="481"/>
      <c r="BK1316" s="16"/>
      <c r="BL1316" s="16"/>
      <c r="BM1316" s="16"/>
      <c r="BN1316" s="17"/>
      <c r="BO1316" s="17"/>
      <c r="BP1316" s="17"/>
      <c r="CC1316" s="471"/>
      <c r="CD1316" s="471"/>
      <c r="CE1316" s="471"/>
      <c r="CF1316" s="471"/>
      <c r="CG1316" s="471"/>
      <c r="CH1316" s="471"/>
      <c r="CI1316" s="471"/>
      <c r="CJ1316" s="471"/>
    </row>
    <row r="1317" spans="3:88" s="15" customFormat="1" x14ac:dyDescent="0.2">
      <c r="C1317" s="481"/>
      <c r="H1317" s="481"/>
      <c r="O1317" s="506"/>
      <c r="Q1317" s="481"/>
      <c r="BK1317" s="16"/>
      <c r="BL1317" s="16"/>
      <c r="BM1317" s="16"/>
      <c r="BN1317" s="17"/>
      <c r="BO1317" s="17"/>
      <c r="BP1317" s="17"/>
      <c r="CC1317" s="471"/>
      <c r="CD1317" s="471"/>
      <c r="CE1317" s="471"/>
      <c r="CF1317" s="471"/>
      <c r="CG1317" s="471"/>
      <c r="CH1317" s="471"/>
      <c r="CI1317" s="471"/>
      <c r="CJ1317" s="471"/>
    </row>
    <row r="1318" spans="3:88" s="15" customFormat="1" x14ac:dyDescent="0.2">
      <c r="C1318" s="481"/>
      <c r="H1318" s="481"/>
      <c r="O1318" s="506"/>
      <c r="Q1318" s="481"/>
      <c r="BK1318" s="16"/>
      <c r="BL1318" s="16"/>
      <c r="BM1318" s="16"/>
      <c r="BN1318" s="17"/>
      <c r="BO1318" s="17"/>
      <c r="BP1318" s="17"/>
      <c r="CC1318" s="471"/>
      <c r="CD1318" s="471"/>
      <c r="CE1318" s="471"/>
      <c r="CF1318" s="471"/>
      <c r="CG1318" s="471"/>
      <c r="CH1318" s="471"/>
      <c r="CI1318" s="471"/>
      <c r="CJ1318" s="471"/>
    </row>
    <row r="1319" spans="3:88" s="15" customFormat="1" x14ac:dyDescent="0.2">
      <c r="C1319" s="481"/>
      <c r="H1319" s="481"/>
      <c r="O1319" s="506"/>
      <c r="Q1319" s="481"/>
      <c r="BK1319" s="16"/>
      <c r="BL1319" s="16"/>
      <c r="BM1319" s="16"/>
      <c r="BN1319" s="17"/>
      <c r="BO1319" s="17"/>
      <c r="BP1319" s="17"/>
      <c r="CC1319" s="471"/>
      <c r="CD1319" s="471"/>
      <c r="CE1319" s="471"/>
      <c r="CF1319" s="471"/>
      <c r="CG1319" s="471"/>
      <c r="CH1319" s="471"/>
      <c r="CI1319" s="471"/>
      <c r="CJ1319" s="471"/>
    </row>
    <row r="1320" spans="3:88" s="15" customFormat="1" x14ac:dyDescent="0.2">
      <c r="C1320" s="481"/>
      <c r="H1320" s="481"/>
      <c r="O1320" s="506"/>
      <c r="Q1320" s="481"/>
      <c r="BK1320" s="16"/>
      <c r="BL1320" s="16"/>
      <c r="BM1320" s="16"/>
      <c r="BN1320" s="17"/>
      <c r="BO1320" s="17"/>
      <c r="BP1320" s="17"/>
      <c r="CC1320" s="471"/>
      <c r="CD1320" s="471"/>
      <c r="CE1320" s="471"/>
      <c r="CF1320" s="471"/>
      <c r="CG1320" s="471"/>
      <c r="CH1320" s="471"/>
      <c r="CI1320" s="471"/>
      <c r="CJ1320" s="471"/>
    </row>
    <row r="1321" spans="3:88" s="15" customFormat="1" x14ac:dyDescent="0.2">
      <c r="C1321" s="481"/>
      <c r="H1321" s="481"/>
      <c r="O1321" s="506"/>
      <c r="Q1321" s="481"/>
      <c r="BK1321" s="16"/>
      <c r="BL1321" s="16"/>
      <c r="BM1321" s="16"/>
      <c r="BN1321" s="17"/>
      <c r="BO1321" s="17"/>
      <c r="BP1321" s="17"/>
      <c r="CC1321" s="471"/>
      <c r="CD1321" s="471"/>
      <c r="CE1321" s="471"/>
      <c r="CF1321" s="471"/>
      <c r="CG1321" s="471"/>
      <c r="CH1321" s="471"/>
      <c r="CI1321" s="471"/>
      <c r="CJ1321" s="471"/>
    </row>
    <row r="1322" spans="3:88" s="15" customFormat="1" x14ac:dyDescent="0.2">
      <c r="C1322" s="481"/>
      <c r="H1322" s="481"/>
      <c r="O1322" s="506"/>
      <c r="Q1322" s="481"/>
      <c r="BK1322" s="16"/>
      <c r="BL1322" s="16"/>
      <c r="BM1322" s="16"/>
      <c r="BN1322" s="17"/>
      <c r="BO1322" s="17"/>
      <c r="BP1322" s="17"/>
      <c r="CC1322" s="471"/>
      <c r="CD1322" s="471"/>
      <c r="CE1322" s="471"/>
      <c r="CF1322" s="471"/>
      <c r="CG1322" s="471"/>
      <c r="CH1322" s="471"/>
      <c r="CI1322" s="471"/>
      <c r="CJ1322" s="471"/>
    </row>
    <row r="1323" spans="3:88" s="15" customFormat="1" x14ac:dyDescent="0.2">
      <c r="C1323" s="481"/>
      <c r="H1323" s="481"/>
      <c r="O1323" s="506"/>
      <c r="Q1323" s="481"/>
      <c r="BK1323" s="16"/>
      <c r="BL1323" s="16"/>
      <c r="BM1323" s="16"/>
      <c r="BN1323" s="17"/>
      <c r="BO1323" s="17"/>
      <c r="BP1323" s="17"/>
      <c r="CC1323" s="471"/>
      <c r="CD1323" s="471"/>
      <c r="CE1323" s="471"/>
      <c r="CF1323" s="471"/>
      <c r="CG1323" s="471"/>
      <c r="CH1323" s="471"/>
      <c r="CI1323" s="471"/>
      <c r="CJ1323" s="471"/>
    </row>
    <row r="1324" spans="3:88" s="15" customFormat="1" x14ac:dyDescent="0.2">
      <c r="C1324" s="481"/>
      <c r="H1324" s="481"/>
      <c r="O1324" s="506"/>
      <c r="Q1324" s="481"/>
      <c r="BK1324" s="16"/>
      <c r="BL1324" s="16"/>
      <c r="BM1324" s="16"/>
      <c r="BN1324" s="17"/>
      <c r="BO1324" s="17"/>
      <c r="BP1324" s="17"/>
      <c r="CC1324" s="471"/>
      <c r="CD1324" s="471"/>
      <c r="CE1324" s="471"/>
      <c r="CF1324" s="471"/>
      <c r="CG1324" s="471"/>
      <c r="CH1324" s="471"/>
      <c r="CI1324" s="471"/>
      <c r="CJ1324" s="471"/>
    </row>
    <row r="1325" spans="3:88" s="15" customFormat="1" x14ac:dyDescent="0.2">
      <c r="C1325" s="481"/>
      <c r="H1325" s="481"/>
      <c r="O1325" s="506"/>
      <c r="Q1325" s="481"/>
      <c r="BK1325" s="16"/>
      <c r="BL1325" s="16"/>
      <c r="BM1325" s="16"/>
      <c r="BN1325" s="17"/>
      <c r="BO1325" s="17"/>
      <c r="BP1325" s="17"/>
      <c r="CC1325" s="471"/>
      <c r="CD1325" s="471"/>
      <c r="CE1325" s="471"/>
      <c r="CF1325" s="471"/>
      <c r="CG1325" s="471"/>
      <c r="CH1325" s="471"/>
      <c r="CI1325" s="471"/>
      <c r="CJ1325" s="471"/>
    </row>
    <row r="1326" spans="3:88" s="15" customFormat="1" x14ac:dyDescent="0.2">
      <c r="C1326" s="481"/>
      <c r="H1326" s="481"/>
      <c r="O1326" s="506"/>
      <c r="Q1326" s="481"/>
      <c r="BK1326" s="16"/>
      <c r="BL1326" s="16"/>
      <c r="BM1326" s="16"/>
      <c r="BN1326" s="17"/>
      <c r="BO1326" s="17"/>
      <c r="BP1326" s="17"/>
      <c r="CC1326" s="471"/>
      <c r="CD1326" s="471"/>
      <c r="CE1326" s="471"/>
      <c r="CF1326" s="471"/>
      <c r="CG1326" s="471"/>
      <c r="CH1326" s="471"/>
      <c r="CI1326" s="471"/>
      <c r="CJ1326" s="471"/>
    </row>
    <row r="1327" spans="3:88" s="15" customFormat="1" x14ac:dyDescent="0.2">
      <c r="C1327" s="481"/>
      <c r="H1327" s="481"/>
      <c r="O1327" s="506"/>
      <c r="Q1327" s="481"/>
      <c r="BK1327" s="16"/>
      <c r="BL1327" s="16"/>
      <c r="BM1327" s="16"/>
      <c r="BN1327" s="17"/>
      <c r="BO1327" s="17"/>
      <c r="BP1327" s="17"/>
      <c r="CC1327" s="471"/>
      <c r="CD1327" s="471"/>
      <c r="CE1327" s="471"/>
      <c r="CF1327" s="471"/>
      <c r="CG1327" s="471"/>
      <c r="CH1327" s="471"/>
      <c r="CI1327" s="471"/>
      <c r="CJ1327" s="471"/>
    </row>
    <row r="1328" spans="3:88" s="15" customFormat="1" x14ac:dyDescent="0.2">
      <c r="C1328" s="481"/>
      <c r="H1328" s="481"/>
      <c r="O1328" s="506"/>
      <c r="Q1328" s="481"/>
      <c r="BK1328" s="16"/>
      <c r="BL1328" s="16"/>
      <c r="BM1328" s="16"/>
      <c r="BN1328" s="17"/>
      <c r="BO1328" s="17"/>
      <c r="BP1328" s="17"/>
      <c r="CC1328" s="471"/>
      <c r="CD1328" s="471"/>
      <c r="CE1328" s="471"/>
      <c r="CF1328" s="471"/>
      <c r="CG1328" s="471"/>
      <c r="CH1328" s="471"/>
      <c r="CI1328" s="471"/>
      <c r="CJ1328" s="471"/>
    </row>
    <row r="1329" spans="3:88" s="15" customFormat="1" x14ac:dyDescent="0.2">
      <c r="C1329" s="481"/>
      <c r="H1329" s="481"/>
      <c r="O1329" s="506"/>
      <c r="Q1329" s="481"/>
      <c r="BK1329" s="16"/>
      <c r="BL1329" s="16"/>
      <c r="BM1329" s="16"/>
      <c r="BN1329" s="17"/>
      <c r="BO1329" s="17"/>
      <c r="BP1329" s="17"/>
      <c r="CC1329" s="471"/>
      <c r="CD1329" s="471"/>
      <c r="CE1329" s="471"/>
      <c r="CF1329" s="471"/>
      <c r="CG1329" s="471"/>
      <c r="CH1329" s="471"/>
      <c r="CI1329" s="471"/>
      <c r="CJ1329" s="471"/>
    </row>
    <row r="1330" spans="3:88" s="15" customFormat="1" x14ac:dyDescent="0.2">
      <c r="C1330" s="481"/>
      <c r="H1330" s="481"/>
      <c r="O1330" s="506"/>
      <c r="Q1330" s="481"/>
      <c r="BK1330" s="16"/>
      <c r="BL1330" s="16"/>
      <c r="BM1330" s="16"/>
      <c r="BN1330" s="17"/>
      <c r="BO1330" s="17"/>
      <c r="BP1330" s="17"/>
      <c r="CC1330" s="471"/>
      <c r="CD1330" s="471"/>
      <c r="CE1330" s="471"/>
      <c r="CF1330" s="471"/>
      <c r="CG1330" s="471"/>
      <c r="CH1330" s="471"/>
      <c r="CI1330" s="471"/>
      <c r="CJ1330" s="471"/>
    </row>
    <row r="1331" spans="3:88" s="15" customFormat="1" x14ac:dyDescent="0.2">
      <c r="C1331" s="481"/>
      <c r="H1331" s="481"/>
      <c r="O1331" s="506"/>
      <c r="Q1331" s="481"/>
      <c r="BK1331" s="16"/>
      <c r="BL1331" s="16"/>
      <c r="BM1331" s="16"/>
      <c r="BN1331" s="17"/>
      <c r="BO1331" s="17"/>
      <c r="BP1331" s="17"/>
      <c r="CC1331" s="471"/>
      <c r="CD1331" s="471"/>
      <c r="CE1331" s="471"/>
      <c r="CF1331" s="471"/>
      <c r="CG1331" s="471"/>
      <c r="CH1331" s="471"/>
      <c r="CI1331" s="471"/>
      <c r="CJ1331" s="471"/>
    </row>
    <row r="1332" spans="3:88" s="15" customFormat="1" x14ac:dyDescent="0.2">
      <c r="C1332" s="481"/>
      <c r="H1332" s="481"/>
      <c r="O1332" s="506"/>
      <c r="Q1332" s="481"/>
      <c r="BK1332" s="16"/>
      <c r="BL1332" s="16"/>
      <c r="BM1332" s="16"/>
      <c r="BN1332" s="17"/>
      <c r="BO1332" s="17"/>
      <c r="BP1332" s="17"/>
      <c r="CC1332" s="471"/>
      <c r="CD1332" s="471"/>
      <c r="CE1332" s="471"/>
      <c r="CF1332" s="471"/>
      <c r="CG1332" s="471"/>
      <c r="CH1332" s="471"/>
      <c r="CI1332" s="471"/>
      <c r="CJ1332" s="471"/>
    </row>
    <row r="1333" spans="3:88" s="15" customFormat="1" x14ac:dyDescent="0.2">
      <c r="C1333" s="481"/>
      <c r="H1333" s="481"/>
      <c r="O1333" s="506"/>
      <c r="Q1333" s="481"/>
      <c r="BK1333" s="16"/>
      <c r="BL1333" s="16"/>
      <c r="BM1333" s="16"/>
      <c r="BN1333" s="17"/>
      <c r="BO1333" s="17"/>
      <c r="BP1333" s="17"/>
      <c r="CC1333" s="471"/>
      <c r="CD1333" s="471"/>
      <c r="CE1333" s="471"/>
      <c r="CF1333" s="471"/>
      <c r="CG1333" s="471"/>
      <c r="CH1333" s="471"/>
      <c r="CI1333" s="471"/>
      <c r="CJ1333" s="471"/>
    </row>
    <row r="1334" spans="3:88" s="15" customFormat="1" x14ac:dyDescent="0.2">
      <c r="C1334" s="481"/>
      <c r="H1334" s="481"/>
      <c r="O1334" s="506"/>
      <c r="Q1334" s="481"/>
      <c r="BK1334" s="16"/>
      <c r="BL1334" s="16"/>
      <c r="BM1334" s="16"/>
      <c r="BN1334" s="17"/>
      <c r="BO1334" s="17"/>
      <c r="BP1334" s="17"/>
      <c r="CC1334" s="471"/>
      <c r="CD1334" s="471"/>
      <c r="CE1334" s="471"/>
      <c r="CF1334" s="471"/>
      <c r="CG1334" s="471"/>
      <c r="CH1334" s="471"/>
      <c r="CI1334" s="471"/>
      <c r="CJ1334" s="471"/>
    </row>
    <row r="1335" spans="3:88" s="15" customFormat="1" x14ac:dyDescent="0.2">
      <c r="C1335" s="481"/>
      <c r="H1335" s="481"/>
      <c r="O1335" s="506"/>
      <c r="Q1335" s="481"/>
      <c r="BK1335" s="16"/>
      <c r="BL1335" s="16"/>
      <c r="BM1335" s="16"/>
      <c r="BN1335" s="17"/>
      <c r="BO1335" s="17"/>
      <c r="BP1335" s="17"/>
      <c r="CC1335" s="471"/>
      <c r="CD1335" s="471"/>
      <c r="CE1335" s="471"/>
      <c r="CF1335" s="471"/>
      <c r="CG1335" s="471"/>
      <c r="CH1335" s="471"/>
      <c r="CI1335" s="471"/>
      <c r="CJ1335" s="471"/>
    </row>
    <row r="1336" spans="3:88" s="15" customFormat="1" x14ac:dyDescent="0.2">
      <c r="C1336" s="481"/>
      <c r="H1336" s="481"/>
      <c r="O1336" s="506"/>
      <c r="Q1336" s="481"/>
      <c r="BK1336" s="16"/>
      <c r="BL1336" s="16"/>
      <c r="BM1336" s="16"/>
      <c r="BN1336" s="17"/>
      <c r="BO1336" s="17"/>
      <c r="BP1336" s="17"/>
      <c r="CC1336" s="471"/>
      <c r="CD1336" s="471"/>
      <c r="CE1336" s="471"/>
      <c r="CF1336" s="471"/>
      <c r="CG1336" s="471"/>
      <c r="CH1336" s="471"/>
      <c r="CI1336" s="471"/>
      <c r="CJ1336" s="471"/>
    </row>
    <row r="1337" spans="3:88" s="15" customFormat="1" x14ac:dyDescent="0.2">
      <c r="C1337" s="481"/>
      <c r="H1337" s="481"/>
      <c r="O1337" s="506"/>
      <c r="Q1337" s="481"/>
      <c r="BK1337" s="16"/>
      <c r="BL1337" s="16"/>
      <c r="BM1337" s="16"/>
      <c r="BN1337" s="17"/>
      <c r="BO1337" s="17"/>
      <c r="BP1337" s="17"/>
      <c r="CC1337" s="471"/>
      <c r="CD1337" s="471"/>
      <c r="CE1337" s="471"/>
      <c r="CF1337" s="471"/>
      <c r="CG1337" s="471"/>
      <c r="CH1337" s="471"/>
      <c r="CI1337" s="471"/>
      <c r="CJ1337" s="471"/>
    </row>
    <row r="1338" spans="3:88" s="15" customFormat="1" x14ac:dyDescent="0.2">
      <c r="C1338" s="481"/>
      <c r="H1338" s="481"/>
      <c r="O1338" s="506"/>
      <c r="Q1338" s="481"/>
      <c r="BK1338" s="16"/>
      <c r="BL1338" s="16"/>
      <c r="BM1338" s="16"/>
      <c r="BN1338" s="17"/>
      <c r="BO1338" s="17"/>
      <c r="BP1338" s="17"/>
      <c r="CC1338" s="471"/>
      <c r="CD1338" s="471"/>
      <c r="CE1338" s="471"/>
      <c r="CF1338" s="471"/>
      <c r="CG1338" s="471"/>
      <c r="CH1338" s="471"/>
      <c r="CI1338" s="471"/>
      <c r="CJ1338" s="471"/>
    </row>
    <row r="1339" spans="3:88" s="15" customFormat="1" x14ac:dyDescent="0.2">
      <c r="C1339" s="481"/>
      <c r="H1339" s="481"/>
      <c r="O1339" s="506"/>
      <c r="Q1339" s="481"/>
      <c r="BK1339" s="16"/>
      <c r="BL1339" s="16"/>
      <c r="BM1339" s="16"/>
      <c r="BN1339" s="17"/>
      <c r="BO1339" s="17"/>
      <c r="BP1339" s="17"/>
      <c r="CC1339" s="471"/>
      <c r="CD1339" s="471"/>
      <c r="CE1339" s="471"/>
      <c r="CF1339" s="471"/>
      <c r="CG1339" s="471"/>
      <c r="CH1339" s="471"/>
      <c r="CI1339" s="471"/>
      <c r="CJ1339" s="471"/>
    </row>
    <row r="1340" spans="3:88" s="15" customFormat="1" x14ac:dyDescent="0.2">
      <c r="C1340" s="481"/>
      <c r="H1340" s="481"/>
      <c r="O1340" s="506"/>
      <c r="Q1340" s="481"/>
      <c r="BK1340" s="16"/>
      <c r="BL1340" s="16"/>
      <c r="BM1340" s="16"/>
      <c r="BN1340" s="17"/>
      <c r="BO1340" s="17"/>
      <c r="BP1340" s="17"/>
      <c r="CC1340" s="471"/>
      <c r="CD1340" s="471"/>
      <c r="CE1340" s="471"/>
      <c r="CF1340" s="471"/>
      <c r="CG1340" s="471"/>
      <c r="CH1340" s="471"/>
      <c r="CI1340" s="471"/>
      <c r="CJ1340" s="471"/>
    </row>
    <row r="1341" spans="3:88" s="15" customFormat="1" x14ac:dyDescent="0.2">
      <c r="C1341" s="481"/>
      <c r="H1341" s="481"/>
      <c r="O1341" s="506"/>
      <c r="Q1341" s="481"/>
      <c r="BK1341" s="16"/>
      <c r="BL1341" s="16"/>
      <c r="BM1341" s="16"/>
      <c r="BN1341" s="17"/>
      <c r="BO1341" s="17"/>
      <c r="BP1341" s="17"/>
      <c r="CC1341" s="471"/>
      <c r="CD1341" s="471"/>
      <c r="CE1341" s="471"/>
      <c r="CF1341" s="471"/>
      <c r="CG1341" s="471"/>
      <c r="CH1341" s="471"/>
      <c r="CI1341" s="471"/>
      <c r="CJ1341" s="471"/>
    </row>
    <row r="1342" spans="3:88" s="15" customFormat="1" x14ac:dyDescent="0.2">
      <c r="C1342" s="481"/>
      <c r="H1342" s="481"/>
      <c r="O1342" s="506"/>
      <c r="Q1342" s="481"/>
      <c r="BK1342" s="16"/>
      <c r="BL1342" s="16"/>
      <c r="BM1342" s="16"/>
      <c r="BN1342" s="17"/>
      <c r="BO1342" s="17"/>
      <c r="BP1342" s="17"/>
      <c r="CC1342" s="471"/>
      <c r="CD1342" s="471"/>
      <c r="CE1342" s="471"/>
      <c r="CF1342" s="471"/>
      <c r="CG1342" s="471"/>
      <c r="CH1342" s="471"/>
      <c r="CI1342" s="471"/>
      <c r="CJ1342" s="471"/>
    </row>
    <row r="1343" spans="3:88" s="15" customFormat="1" x14ac:dyDescent="0.2">
      <c r="C1343" s="481"/>
      <c r="H1343" s="481"/>
      <c r="O1343" s="506"/>
      <c r="Q1343" s="481"/>
      <c r="BK1343" s="16"/>
      <c r="BL1343" s="16"/>
      <c r="BM1343" s="16"/>
      <c r="BN1343" s="17"/>
      <c r="BO1343" s="17"/>
      <c r="BP1343" s="17"/>
      <c r="CC1343" s="471"/>
      <c r="CD1343" s="471"/>
      <c r="CE1343" s="471"/>
      <c r="CF1343" s="471"/>
      <c r="CG1343" s="471"/>
      <c r="CH1343" s="471"/>
      <c r="CI1343" s="471"/>
      <c r="CJ1343" s="471"/>
    </row>
    <row r="1344" spans="3:88" s="15" customFormat="1" x14ac:dyDescent="0.2">
      <c r="C1344" s="481"/>
      <c r="H1344" s="481"/>
      <c r="O1344" s="506"/>
      <c r="Q1344" s="481"/>
      <c r="BK1344" s="16"/>
      <c r="BL1344" s="16"/>
      <c r="BM1344" s="16"/>
      <c r="BN1344" s="17"/>
      <c r="BO1344" s="17"/>
      <c r="BP1344" s="17"/>
      <c r="CC1344" s="471"/>
      <c r="CD1344" s="471"/>
      <c r="CE1344" s="471"/>
      <c r="CF1344" s="471"/>
      <c r="CG1344" s="471"/>
      <c r="CH1344" s="471"/>
      <c r="CI1344" s="471"/>
      <c r="CJ1344" s="471"/>
    </row>
    <row r="1345" spans="3:88" s="15" customFormat="1" x14ac:dyDescent="0.2">
      <c r="C1345" s="481"/>
      <c r="H1345" s="481"/>
      <c r="O1345" s="506"/>
      <c r="Q1345" s="481"/>
      <c r="BK1345" s="16"/>
      <c r="BL1345" s="16"/>
      <c r="BM1345" s="16"/>
      <c r="BN1345" s="17"/>
      <c r="BO1345" s="17"/>
      <c r="BP1345" s="17"/>
      <c r="CC1345" s="471"/>
      <c r="CD1345" s="471"/>
      <c r="CE1345" s="471"/>
      <c r="CF1345" s="471"/>
      <c r="CG1345" s="471"/>
      <c r="CH1345" s="471"/>
      <c r="CI1345" s="471"/>
      <c r="CJ1345" s="471"/>
    </row>
    <row r="1346" spans="3:88" s="15" customFormat="1" x14ac:dyDescent="0.2">
      <c r="C1346" s="481"/>
      <c r="H1346" s="481"/>
      <c r="O1346" s="506"/>
      <c r="Q1346" s="481"/>
      <c r="BK1346" s="16"/>
      <c r="BL1346" s="16"/>
      <c r="BM1346" s="16"/>
      <c r="BN1346" s="17"/>
      <c r="BO1346" s="17"/>
      <c r="BP1346" s="17"/>
      <c r="CC1346" s="471"/>
      <c r="CD1346" s="471"/>
      <c r="CE1346" s="471"/>
      <c r="CF1346" s="471"/>
      <c r="CG1346" s="471"/>
      <c r="CH1346" s="471"/>
      <c r="CI1346" s="471"/>
      <c r="CJ1346" s="471"/>
    </row>
    <row r="1347" spans="3:88" s="15" customFormat="1" x14ac:dyDescent="0.2">
      <c r="C1347" s="481"/>
      <c r="H1347" s="481"/>
      <c r="O1347" s="506"/>
      <c r="Q1347" s="481"/>
      <c r="BK1347" s="16"/>
      <c r="BL1347" s="16"/>
      <c r="BM1347" s="16"/>
      <c r="BN1347" s="17"/>
      <c r="BO1347" s="17"/>
      <c r="BP1347" s="17"/>
      <c r="CC1347" s="471"/>
      <c r="CD1347" s="471"/>
      <c r="CE1347" s="471"/>
      <c r="CF1347" s="471"/>
      <c r="CG1347" s="471"/>
      <c r="CH1347" s="471"/>
      <c r="CI1347" s="471"/>
      <c r="CJ1347" s="471"/>
    </row>
    <row r="1348" spans="3:88" s="15" customFormat="1" x14ac:dyDescent="0.2">
      <c r="C1348" s="481"/>
      <c r="H1348" s="481"/>
      <c r="O1348" s="506"/>
      <c r="Q1348" s="481"/>
      <c r="BK1348" s="16"/>
      <c r="BL1348" s="16"/>
      <c r="BM1348" s="16"/>
      <c r="BN1348" s="17"/>
      <c r="BO1348" s="17"/>
      <c r="BP1348" s="17"/>
      <c r="CC1348" s="471"/>
      <c r="CD1348" s="471"/>
      <c r="CE1348" s="471"/>
      <c r="CF1348" s="471"/>
      <c r="CG1348" s="471"/>
      <c r="CH1348" s="471"/>
      <c r="CI1348" s="471"/>
      <c r="CJ1348" s="471"/>
    </row>
    <row r="1349" spans="3:88" s="15" customFormat="1" x14ac:dyDescent="0.2">
      <c r="C1349" s="481"/>
      <c r="H1349" s="481"/>
      <c r="O1349" s="506"/>
      <c r="Q1349" s="481"/>
      <c r="BK1349" s="16"/>
      <c r="BL1349" s="16"/>
      <c r="BM1349" s="16"/>
      <c r="BN1349" s="17"/>
      <c r="BO1349" s="17"/>
      <c r="BP1349" s="17"/>
      <c r="CC1349" s="471"/>
      <c r="CD1349" s="471"/>
      <c r="CE1349" s="471"/>
      <c r="CF1349" s="471"/>
      <c r="CG1349" s="471"/>
      <c r="CH1349" s="471"/>
      <c r="CI1349" s="471"/>
      <c r="CJ1349" s="471"/>
    </row>
    <row r="1350" spans="3:88" s="15" customFormat="1" x14ac:dyDescent="0.2">
      <c r="C1350" s="481"/>
      <c r="H1350" s="481"/>
      <c r="O1350" s="506"/>
      <c r="Q1350" s="481"/>
      <c r="BK1350" s="16"/>
      <c r="BL1350" s="16"/>
      <c r="BM1350" s="16"/>
      <c r="BN1350" s="17"/>
      <c r="BO1350" s="17"/>
      <c r="BP1350" s="17"/>
      <c r="CC1350" s="471"/>
      <c r="CD1350" s="471"/>
      <c r="CE1350" s="471"/>
      <c r="CF1350" s="471"/>
      <c r="CG1350" s="471"/>
      <c r="CH1350" s="471"/>
      <c r="CI1350" s="471"/>
      <c r="CJ1350" s="471"/>
    </row>
    <row r="1351" spans="3:88" s="15" customFormat="1" x14ac:dyDescent="0.2">
      <c r="C1351" s="481"/>
      <c r="H1351" s="481"/>
      <c r="O1351" s="506"/>
      <c r="Q1351" s="481"/>
      <c r="BK1351" s="16"/>
      <c r="BL1351" s="16"/>
      <c r="BM1351" s="16"/>
      <c r="BN1351" s="17"/>
      <c r="BO1351" s="17"/>
      <c r="BP1351" s="17"/>
      <c r="CC1351" s="471"/>
      <c r="CD1351" s="471"/>
      <c r="CE1351" s="471"/>
      <c r="CF1351" s="471"/>
      <c r="CG1351" s="471"/>
      <c r="CH1351" s="471"/>
      <c r="CI1351" s="471"/>
      <c r="CJ1351" s="471"/>
    </row>
    <row r="1352" spans="3:88" s="15" customFormat="1" x14ac:dyDescent="0.2">
      <c r="C1352" s="481"/>
      <c r="H1352" s="481"/>
      <c r="O1352" s="506"/>
      <c r="Q1352" s="481"/>
      <c r="BK1352" s="16"/>
      <c r="BL1352" s="16"/>
      <c r="BM1352" s="16"/>
      <c r="BN1352" s="17"/>
      <c r="BO1352" s="17"/>
      <c r="BP1352" s="17"/>
      <c r="CC1352" s="471"/>
      <c r="CD1352" s="471"/>
      <c r="CE1352" s="471"/>
      <c r="CF1352" s="471"/>
      <c r="CG1352" s="471"/>
      <c r="CH1352" s="471"/>
      <c r="CI1352" s="471"/>
      <c r="CJ1352" s="471"/>
    </row>
    <row r="1353" spans="3:88" s="15" customFormat="1" x14ac:dyDescent="0.2">
      <c r="C1353" s="481"/>
      <c r="H1353" s="481"/>
      <c r="O1353" s="506"/>
      <c r="Q1353" s="481"/>
      <c r="BK1353" s="16"/>
      <c r="BL1353" s="16"/>
      <c r="BM1353" s="16"/>
      <c r="BN1353" s="17"/>
      <c r="BO1353" s="17"/>
      <c r="BP1353" s="17"/>
      <c r="CC1353" s="471"/>
      <c r="CD1353" s="471"/>
      <c r="CE1353" s="471"/>
      <c r="CF1353" s="471"/>
      <c r="CG1353" s="471"/>
      <c r="CH1353" s="471"/>
      <c r="CI1353" s="471"/>
      <c r="CJ1353" s="471"/>
    </row>
    <row r="1354" spans="3:88" s="15" customFormat="1" x14ac:dyDescent="0.2">
      <c r="C1354" s="481"/>
      <c r="H1354" s="481"/>
      <c r="O1354" s="506"/>
      <c r="Q1354" s="481"/>
      <c r="BK1354" s="16"/>
      <c r="BL1354" s="16"/>
      <c r="BM1354" s="16"/>
      <c r="BN1354" s="17"/>
      <c r="BO1354" s="17"/>
      <c r="BP1354" s="17"/>
      <c r="CC1354" s="471"/>
      <c r="CD1354" s="471"/>
      <c r="CE1354" s="471"/>
      <c r="CF1354" s="471"/>
      <c r="CG1354" s="471"/>
      <c r="CH1354" s="471"/>
      <c r="CI1354" s="471"/>
      <c r="CJ1354" s="471"/>
    </row>
  </sheetData>
  <sheetProtection password="CBEB" sheet="1" objects="1" scenarios="1"/>
  <mergeCells count="481">
    <mergeCell ref="BN5:BP5"/>
    <mergeCell ref="BQ5:BS5"/>
    <mergeCell ref="BT5:BV5"/>
    <mergeCell ref="A1:BZ1"/>
    <mergeCell ref="A2:BZ2"/>
    <mergeCell ref="A3:BZ3"/>
    <mergeCell ref="BW5:BY5"/>
    <mergeCell ref="BZ5:CB5"/>
    <mergeCell ref="U5:W5"/>
    <mergeCell ref="X5:Z5"/>
    <mergeCell ref="AA5:AC5"/>
    <mergeCell ref="AD5:AF5"/>
    <mergeCell ref="AG5:AI5"/>
    <mergeCell ref="AJ5:AL5"/>
    <mergeCell ref="AM5:AO5"/>
    <mergeCell ref="AP5:AR5"/>
    <mergeCell ref="AS5:AU5"/>
    <mergeCell ref="J5:J6"/>
    <mergeCell ref="H5:I6"/>
    <mergeCell ref="G5:G6"/>
    <mergeCell ref="F5:F6"/>
    <mergeCell ref="E5:E6"/>
    <mergeCell ref="C5:D6"/>
    <mergeCell ref="B5:B6"/>
    <mergeCell ref="A5:A6"/>
    <mergeCell ref="A754:K754"/>
    <mergeCell ref="A755:H755"/>
    <mergeCell ref="K5:L5"/>
    <mergeCell ref="R5:T5"/>
    <mergeCell ref="AV5:AX5"/>
    <mergeCell ref="AY5:BA5"/>
    <mergeCell ref="BB5:BD5"/>
    <mergeCell ref="M734:M737"/>
    <mergeCell ref="O734:O737"/>
    <mergeCell ref="P734:P737"/>
    <mergeCell ref="C747:C749"/>
    <mergeCell ref="D747:D749"/>
    <mergeCell ref="E747:E749"/>
    <mergeCell ref="F747:F749"/>
    <mergeCell ref="M747:M749"/>
    <mergeCell ref="O747:O749"/>
    <mergeCell ref="P747:P749"/>
    <mergeCell ref="M709:M711"/>
    <mergeCell ref="O709:O711"/>
    <mergeCell ref="P709:P711"/>
    <mergeCell ref="B720:B722"/>
    <mergeCell ref="B728:E728"/>
    <mergeCell ref="C729:F729"/>
    <mergeCell ref="B708:B716"/>
    <mergeCell ref="C709:C711"/>
    <mergeCell ref="D709:D711"/>
    <mergeCell ref="E709:E711"/>
    <mergeCell ref="F709:F711"/>
    <mergeCell ref="G709:G711"/>
    <mergeCell ref="O688:O689"/>
    <mergeCell ref="P688:P689"/>
    <mergeCell ref="C701:C703"/>
    <mergeCell ref="D701:D703"/>
    <mergeCell ref="E701:E703"/>
    <mergeCell ref="F701:F703"/>
    <mergeCell ref="G701:G703"/>
    <mergeCell ref="M701:M703"/>
    <mergeCell ref="O701:O703"/>
    <mergeCell ref="P701:P703"/>
    <mergeCell ref="A683:G683"/>
    <mergeCell ref="C688:C689"/>
    <mergeCell ref="D688:D689"/>
    <mergeCell ref="E688:E689"/>
    <mergeCell ref="F688:F689"/>
    <mergeCell ref="M688:M689"/>
    <mergeCell ref="G675:G677"/>
    <mergeCell ref="M675:M677"/>
    <mergeCell ref="N675:N677"/>
    <mergeCell ref="O675:O677"/>
    <mergeCell ref="P675:P677"/>
    <mergeCell ref="A682:C682"/>
    <mergeCell ref="P663:P664"/>
    <mergeCell ref="C668:C669"/>
    <mergeCell ref="D668:D669"/>
    <mergeCell ref="E668:E669"/>
    <mergeCell ref="F668:F669"/>
    <mergeCell ref="G668:G669"/>
    <mergeCell ref="M668:M669"/>
    <mergeCell ref="N668:N669"/>
    <mergeCell ref="O668:O669"/>
    <mergeCell ref="P668:P669"/>
    <mergeCell ref="O657:O658"/>
    <mergeCell ref="P657:P658"/>
    <mergeCell ref="C663:C664"/>
    <mergeCell ref="D663:D664"/>
    <mergeCell ref="E663:E664"/>
    <mergeCell ref="F663:F664"/>
    <mergeCell ref="G663:G664"/>
    <mergeCell ref="M663:M664"/>
    <mergeCell ref="N663:N664"/>
    <mergeCell ref="O663:O664"/>
    <mergeCell ref="C657:C658"/>
    <mergeCell ref="D657:D658"/>
    <mergeCell ref="E657:E658"/>
    <mergeCell ref="F657:F658"/>
    <mergeCell ref="M657:M658"/>
    <mergeCell ref="N657:N658"/>
    <mergeCell ref="C647:C649"/>
    <mergeCell ref="D647:D649"/>
    <mergeCell ref="E647:E649"/>
    <mergeCell ref="F647:F649"/>
    <mergeCell ref="G647:G649"/>
    <mergeCell ref="M647:M649"/>
    <mergeCell ref="N647:N649"/>
    <mergeCell ref="O647:O649"/>
    <mergeCell ref="P647:P649"/>
    <mergeCell ref="N620:N621"/>
    <mergeCell ref="O620:O621"/>
    <mergeCell ref="P620:P621"/>
    <mergeCell ref="C626:C627"/>
    <mergeCell ref="D626:D627"/>
    <mergeCell ref="E626:E627"/>
    <mergeCell ref="F626:F627"/>
    <mergeCell ref="M626:M627"/>
    <mergeCell ref="N626:N627"/>
    <mergeCell ref="O626:O627"/>
    <mergeCell ref="C620:C621"/>
    <mergeCell ref="D620:D621"/>
    <mergeCell ref="E620:E621"/>
    <mergeCell ref="F620:F621"/>
    <mergeCell ref="G620:G621"/>
    <mergeCell ref="M620:M621"/>
    <mergeCell ref="P626:P627"/>
    <mergeCell ref="O607:O609"/>
    <mergeCell ref="P607:P609"/>
    <mergeCell ref="M613:M616"/>
    <mergeCell ref="N613:N616"/>
    <mergeCell ref="O613:O616"/>
    <mergeCell ref="P613:P616"/>
    <mergeCell ref="D607:D608"/>
    <mergeCell ref="E607:E608"/>
    <mergeCell ref="F607:F608"/>
    <mergeCell ref="G607:G608"/>
    <mergeCell ref="M607:M609"/>
    <mergeCell ref="N607:N609"/>
    <mergeCell ref="N597:N598"/>
    <mergeCell ref="O597:O598"/>
    <mergeCell ref="P597:P598"/>
    <mergeCell ref="G602:G603"/>
    <mergeCell ref="M602:M603"/>
    <mergeCell ref="N602:N603"/>
    <mergeCell ref="O602:O603"/>
    <mergeCell ref="P602:P603"/>
    <mergeCell ref="C597:C598"/>
    <mergeCell ref="D597:D598"/>
    <mergeCell ref="E597:E598"/>
    <mergeCell ref="F597:F598"/>
    <mergeCell ref="G597:G598"/>
    <mergeCell ref="M597:M598"/>
    <mergeCell ref="O589:O590"/>
    <mergeCell ref="P589:P590"/>
    <mergeCell ref="M591:M592"/>
    <mergeCell ref="N591:N592"/>
    <mergeCell ref="O591:O592"/>
    <mergeCell ref="P591:P592"/>
    <mergeCell ref="C584:C585"/>
    <mergeCell ref="D584:D585"/>
    <mergeCell ref="E584:E585"/>
    <mergeCell ref="F584:F585"/>
    <mergeCell ref="M589:M590"/>
    <mergeCell ref="N589:N590"/>
    <mergeCell ref="O577:O579"/>
    <mergeCell ref="P577:P579"/>
    <mergeCell ref="G583:G585"/>
    <mergeCell ref="M583:M585"/>
    <mergeCell ref="N583:N585"/>
    <mergeCell ref="O583:O585"/>
    <mergeCell ref="P583:P585"/>
    <mergeCell ref="C577:C579"/>
    <mergeCell ref="D577:D579"/>
    <mergeCell ref="E577:E579"/>
    <mergeCell ref="F577:F579"/>
    <mergeCell ref="M577:M579"/>
    <mergeCell ref="N577:N579"/>
    <mergeCell ref="N565:N566"/>
    <mergeCell ref="O565:O566"/>
    <mergeCell ref="P565:P566"/>
    <mergeCell ref="M570:M573"/>
    <mergeCell ref="N570:N573"/>
    <mergeCell ref="O570:O573"/>
    <mergeCell ref="P570:P573"/>
    <mergeCell ref="C565:C566"/>
    <mergeCell ref="D565:D566"/>
    <mergeCell ref="E565:E566"/>
    <mergeCell ref="F565:F566"/>
    <mergeCell ref="G565:G566"/>
    <mergeCell ref="M565:M566"/>
    <mergeCell ref="C481:C482"/>
    <mergeCell ref="D481:D482"/>
    <mergeCell ref="E481:E482"/>
    <mergeCell ref="F481:F482"/>
    <mergeCell ref="M481:M482"/>
    <mergeCell ref="N481:N482"/>
    <mergeCell ref="O534:O537"/>
    <mergeCell ref="P534:P537"/>
    <mergeCell ref="M557:M559"/>
    <mergeCell ref="N557:N559"/>
    <mergeCell ref="O557:O559"/>
    <mergeCell ref="P557:P559"/>
    <mergeCell ref="M498:M500"/>
    <mergeCell ref="N498:N500"/>
    <mergeCell ref="O498:O500"/>
    <mergeCell ref="P498:P500"/>
    <mergeCell ref="C464:C465"/>
    <mergeCell ref="D464:D465"/>
    <mergeCell ref="E464:E465"/>
    <mergeCell ref="F464:F465"/>
    <mergeCell ref="M464:M465"/>
    <mergeCell ref="N464:N465"/>
    <mergeCell ref="O464:O465"/>
    <mergeCell ref="P464:P465"/>
    <mergeCell ref="C534:C537"/>
    <mergeCell ref="D534:D537"/>
    <mergeCell ref="E534:E537"/>
    <mergeCell ref="F534:F537"/>
    <mergeCell ref="M534:M537"/>
    <mergeCell ref="N534:N537"/>
    <mergeCell ref="O481:O482"/>
    <mergeCell ref="P481:P482"/>
    <mergeCell ref="C492:C494"/>
    <mergeCell ref="D492:D494"/>
    <mergeCell ref="E492:E494"/>
    <mergeCell ref="F492:F494"/>
    <mergeCell ref="M492:M494"/>
    <mergeCell ref="N492:N494"/>
    <mergeCell ref="O492:O494"/>
    <mergeCell ref="P492:P494"/>
    <mergeCell ref="M441:M444"/>
    <mergeCell ref="N441:N444"/>
    <mergeCell ref="O441:O444"/>
    <mergeCell ref="P441:P444"/>
    <mergeCell ref="C451:C452"/>
    <mergeCell ref="D451:D452"/>
    <mergeCell ref="E451:E452"/>
    <mergeCell ref="F451:F452"/>
    <mergeCell ref="M451:M452"/>
    <mergeCell ref="N451:N452"/>
    <mergeCell ref="O451:O452"/>
    <mergeCell ref="P451:P452"/>
    <mergeCell ref="M433:M437"/>
    <mergeCell ref="N433:N437"/>
    <mergeCell ref="O433:O437"/>
    <mergeCell ref="P433:P437"/>
    <mergeCell ref="M396:M403"/>
    <mergeCell ref="N396:N403"/>
    <mergeCell ref="O396:O403"/>
    <mergeCell ref="P396:P403"/>
    <mergeCell ref="M407:M416"/>
    <mergeCell ref="N407:N416"/>
    <mergeCell ref="O407:O416"/>
    <mergeCell ref="P407:P416"/>
    <mergeCell ref="M375:M377"/>
    <mergeCell ref="N375:N377"/>
    <mergeCell ref="O375:O377"/>
    <mergeCell ref="P375:P377"/>
    <mergeCell ref="M381:M386"/>
    <mergeCell ref="N381:N386"/>
    <mergeCell ref="O381:O386"/>
    <mergeCell ref="P381:P386"/>
    <mergeCell ref="M420:M423"/>
    <mergeCell ref="N420:N423"/>
    <mergeCell ref="O420:O423"/>
    <mergeCell ref="P420:P423"/>
    <mergeCell ref="M334:M336"/>
    <mergeCell ref="N334:N336"/>
    <mergeCell ref="O334:O336"/>
    <mergeCell ref="P334:P336"/>
    <mergeCell ref="M344:M348"/>
    <mergeCell ref="N344:N348"/>
    <mergeCell ref="O344:O348"/>
    <mergeCell ref="P344:P348"/>
    <mergeCell ref="M318:M321"/>
    <mergeCell ref="N318:N323"/>
    <mergeCell ref="O318:O321"/>
    <mergeCell ref="P318:P321"/>
    <mergeCell ref="M327:M330"/>
    <mergeCell ref="N327:N330"/>
    <mergeCell ref="O327:O330"/>
    <mergeCell ref="P327:P330"/>
    <mergeCell ref="M311:M314"/>
    <mergeCell ref="N311:N314"/>
    <mergeCell ref="O311:O314"/>
    <mergeCell ref="P311:P314"/>
    <mergeCell ref="M284:M289"/>
    <mergeCell ref="N284:N289"/>
    <mergeCell ref="O284:O289"/>
    <mergeCell ref="P284:P289"/>
    <mergeCell ref="M293:M294"/>
    <mergeCell ref="N293:N294"/>
    <mergeCell ref="O293:O294"/>
    <mergeCell ref="P293:P294"/>
    <mergeCell ref="C265:C266"/>
    <mergeCell ref="D265:D266"/>
    <mergeCell ref="E265:E266"/>
    <mergeCell ref="F265:F266"/>
    <mergeCell ref="M265:M266"/>
    <mergeCell ref="N265:N266"/>
    <mergeCell ref="O265:O266"/>
    <mergeCell ref="P265:P266"/>
    <mergeCell ref="M299:M303"/>
    <mergeCell ref="N299:N303"/>
    <mergeCell ref="O299:O303"/>
    <mergeCell ref="P299:P303"/>
    <mergeCell ref="C252:C253"/>
    <mergeCell ref="D252:D253"/>
    <mergeCell ref="E252:E253"/>
    <mergeCell ref="F252:F253"/>
    <mergeCell ref="M257:M259"/>
    <mergeCell ref="N257:N259"/>
    <mergeCell ref="O244:O246"/>
    <mergeCell ref="P244:P246"/>
    <mergeCell ref="G250:G253"/>
    <mergeCell ref="M250:M253"/>
    <mergeCell ref="N250:N253"/>
    <mergeCell ref="O250:O253"/>
    <mergeCell ref="P250:P253"/>
    <mergeCell ref="C244:C245"/>
    <mergeCell ref="D244:D245"/>
    <mergeCell ref="E244:E245"/>
    <mergeCell ref="F244:F245"/>
    <mergeCell ref="M244:M246"/>
    <mergeCell ref="N244:N246"/>
    <mergeCell ref="O257:O259"/>
    <mergeCell ref="P257:P259"/>
    <mergeCell ref="M242:M243"/>
    <mergeCell ref="N242:N243"/>
    <mergeCell ref="O242:O243"/>
    <mergeCell ref="P242:P243"/>
    <mergeCell ref="C231:C232"/>
    <mergeCell ref="D231:D232"/>
    <mergeCell ref="E231:E232"/>
    <mergeCell ref="F231:F232"/>
    <mergeCell ref="M231:M232"/>
    <mergeCell ref="N231:N232"/>
    <mergeCell ref="C211:C213"/>
    <mergeCell ref="D211:D213"/>
    <mergeCell ref="E211:E213"/>
    <mergeCell ref="F211:F213"/>
    <mergeCell ref="M211:M213"/>
    <mergeCell ref="N211:N213"/>
    <mergeCell ref="O211:O213"/>
    <mergeCell ref="P211:P213"/>
    <mergeCell ref="O231:O232"/>
    <mergeCell ref="P231:P232"/>
    <mergeCell ref="N177:N178"/>
    <mergeCell ref="O177:O178"/>
    <mergeCell ref="P177:P178"/>
    <mergeCell ref="C192:C196"/>
    <mergeCell ref="D192:D196"/>
    <mergeCell ref="E192:E196"/>
    <mergeCell ref="F192:F196"/>
    <mergeCell ref="M192:M196"/>
    <mergeCell ref="N192:N196"/>
    <mergeCell ref="O192:O196"/>
    <mergeCell ref="C177:C178"/>
    <mergeCell ref="D177:D178"/>
    <mergeCell ref="E177:E178"/>
    <mergeCell ref="F177:F178"/>
    <mergeCell ref="G177:G178"/>
    <mergeCell ref="M177:M178"/>
    <mergeCell ref="P192:P196"/>
    <mergeCell ref="O162:O163"/>
    <mergeCell ref="P162:P163"/>
    <mergeCell ref="C169:C173"/>
    <mergeCell ref="D169:D173"/>
    <mergeCell ref="E169:E173"/>
    <mergeCell ref="F169:F173"/>
    <mergeCell ref="M169:M173"/>
    <mergeCell ref="N169:N173"/>
    <mergeCell ref="O169:O173"/>
    <mergeCell ref="P169:P173"/>
    <mergeCell ref="C162:C163"/>
    <mergeCell ref="D162:D163"/>
    <mergeCell ref="E162:E163"/>
    <mergeCell ref="F162:F163"/>
    <mergeCell ref="M162:M163"/>
    <mergeCell ref="N162:N163"/>
    <mergeCell ref="O148:O152"/>
    <mergeCell ref="P148:P152"/>
    <mergeCell ref="C156:C158"/>
    <mergeCell ref="D156:D158"/>
    <mergeCell ref="E156:E158"/>
    <mergeCell ref="F156:F158"/>
    <mergeCell ref="M156:M158"/>
    <mergeCell ref="N156:N158"/>
    <mergeCell ref="O156:O158"/>
    <mergeCell ref="P156:P158"/>
    <mergeCell ref="C148:C152"/>
    <mergeCell ref="D148:D152"/>
    <mergeCell ref="E148:E152"/>
    <mergeCell ref="F148:F152"/>
    <mergeCell ref="M148:M152"/>
    <mergeCell ref="N148:N152"/>
    <mergeCell ref="F92:F99"/>
    <mergeCell ref="M92:M99"/>
    <mergeCell ref="O92:O99"/>
    <mergeCell ref="O139:O142"/>
    <mergeCell ref="P139:P142"/>
    <mergeCell ref="C141:C142"/>
    <mergeCell ref="D141:D142"/>
    <mergeCell ref="E141:E142"/>
    <mergeCell ref="F141:F142"/>
    <mergeCell ref="C139:C140"/>
    <mergeCell ref="D139:D140"/>
    <mergeCell ref="E139:E140"/>
    <mergeCell ref="F139:F140"/>
    <mergeCell ref="M139:M142"/>
    <mergeCell ref="N139:N142"/>
    <mergeCell ref="C86:C88"/>
    <mergeCell ref="D86:D88"/>
    <mergeCell ref="E86:E88"/>
    <mergeCell ref="F86:F88"/>
    <mergeCell ref="M86:M88"/>
    <mergeCell ref="N86:N88"/>
    <mergeCell ref="O86:O88"/>
    <mergeCell ref="P86:P88"/>
    <mergeCell ref="C134:C135"/>
    <mergeCell ref="D134:D135"/>
    <mergeCell ref="E134:E135"/>
    <mergeCell ref="F134:F135"/>
    <mergeCell ref="P92:P99"/>
    <mergeCell ref="C131:C133"/>
    <mergeCell ref="D131:D133"/>
    <mergeCell ref="E131:E133"/>
    <mergeCell ref="F131:F133"/>
    <mergeCell ref="M131:M135"/>
    <mergeCell ref="N131:N135"/>
    <mergeCell ref="O131:O135"/>
    <mergeCell ref="P131:P135"/>
    <mergeCell ref="C92:C99"/>
    <mergeCell ref="D92:D99"/>
    <mergeCell ref="E92:E99"/>
    <mergeCell ref="O72:O74"/>
    <mergeCell ref="P72:P74"/>
    <mergeCell ref="C75:C76"/>
    <mergeCell ref="D75:D76"/>
    <mergeCell ref="E75:E76"/>
    <mergeCell ref="F75:F76"/>
    <mergeCell ref="M75:M76"/>
    <mergeCell ref="N75:N76"/>
    <mergeCell ref="C72:C74"/>
    <mergeCell ref="D72:D74"/>
    <mergeCell ref="E72:E74"/>
    <mergeCell ref="F72:F74"/>
    <mergeCell ref="M72:M74"/>
    <mergeCell ref="N72:N74"/>
    <mergeCell ref="O75:O76"/>
    <mergeCell ref="P75:P76"/>
    <mergeCell ref="C54:C62"/>
    <mergeCell ref="D54:D62"/>
    <mergeCell ref="E54:E62"/>
    <mergeCell ref="F54:F62"/>
    <mergeCell ref="M54:M62"/>
    <mergeCell ref="N54:N62"/>
    <mergeCell ref="O54:O62"/>
    <mergeCell ref="P54:P62"/>
    <mergeCell ref="C45:C49"/>
    <mergeCell ref="D45:D49"/>
    <mergeCell ref="E45:E49"/>
    <mergeCell ref="F45:F49"/>
    <mergeCell ref="M45:M49"/>
    <mergeCell ref="N45:N49"/>
    <mergeCell ref="M15:M19"/>
    <mergeCell ref="N15:N19"/>
    <mergeCell ref="O15:O19"/>
    <mergeCell ref="P15:P19"/>
    <mergeCell ref="BE5:BG5"/>
    <mergeCell ref="BH5:BJ5"/>
    <mergeCell ref="BK5:BM5"/>
    <mergeCell ref="O45:O49"/>
    <mergeCell ref="P45:P49"/>
    <mergeCell ref="M5:M6"/>
    <mergeCell ref="N5:N6"/>
    <mergeCell ref="O5:O6"/>
    <mergeCell ref="P5:P6"/>
    <mergeCell ref="Q5:Q6"/>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42"/>
  <sheetViews>
    <sheetView showGridLines="0" view="pageBreakPreview" zoomScale="80" zoomScaleNormal="100" zoomScaleSheetLayoutView="80" workbookViewId="0">
      <pane xSplit="1" ySplit="2" topLeftCell="B3" activePane="bottomRight" state="frozen"/>
      <selection pane="topRight" activeCell="B1" sqref="B1"/>
      <selection pane="bottomLeft" activeCell="A3" sqref="A3"/>
      <selection pane="bottomRight" activeCell="E16" sqref="E16"/>
    </sheetView>
  </sheetViews>
  <sheetFormatPr baseColWidth="10" defaultColWidth="11.42578125" defaultRowHeight="12.75" x14ac:dyDescent="0.2"/>
  <cols>
    <col min="1" max="1" width="13.28515625" style="740" customWidth="1"/>
    <col min="2" max="2" width="21" style="773" customWidth="1"/>
    <col min="3" max="3" width="19.42578125" style="774" customWidth="1"/>
    <col min="4" max="4" width="10.140625" style="774" customWidth="1"/>
    <col min="5" max="5" width="18.42578125" style="774" customWidth="1"/>
    <col min="6" max="6" width="10.7109375" style="774" customWidth="1"/>
    <col min="7" max="7" width="19.28515625" style="774" customWidth="1"/>
    <col min="8" max="8" width="13" style="774" customWidth="1"/>
    <col min="9" max="9" width="19.5703125" style="774" customWidth="1"/>
    <col min="10" max="10" width="8.5703125" style="774" customWidth="1"/>
    <col min="11" max="11" width="18.85546875" style="774" customWidth="1"/>
    <col min="12" max="12" width="8.85546875" style="774" customWidth="1"/>
    <col min="13" max="13" width="18.85546875" style="774" customWidth="1"/>
    <col min="14" max="14" width="9.7109375" style="740" customWidth="1"/>
    <col min="15" max="15" width="38.42578125" style="740" customWidth="1"/>
    <col min="16" max="16384" width="11.42578125" style="740"/>
  </cols>
  <sheetData>
    <row r="1" spans="1:15" ht="51.75" customHeight="1" x14ac:dyDescent="0.2">
      <c r="A1" s="957" t="s">
        <v>987</v>
      </c>
      <c r="B1" s="958"/>
      <c r="C1" s="958"/>
      <c r="D1" s="958"/>
      <c r="E1" s="958"/>
      <c r="F1" s="958"/>
      <c r="G1" s="958"/>
      <c r="H1" s="958"/>
      <c r="I1" s="958"/>
      <c r="J1" s="958"/>
      <c r="K1" s="958"/>
      <c r="L1" s="958"/>
      <c r="M1" s="958"/>
      <c r="N1" s="958"/>
      <c r="O1" s="958"/>
    </row>
    <row r="2" spans="1:15" ht="103.5" customHeight="1" x14ac:dyDescent="0.2">
      <c r="A2" s="961" t="s">
        <v>956</v>
      </c>
      <c r="B2" s="962"/>
      <c r="C2" s="741" t="s">
        <v>957</v>
      </c>
      <c r="D2" s="741" t="s">
        <v>958</v>
      </c>
      <c r="E2" s="741" t="s">
        <v>959</v>
      </c>
      <c r="F2" s="741" t="s">
        <v>960</v>
      </c>
      <c r="G2" s="741" t="s">
        <v>961</v>
      </c>
      <c r="H2" s="741" t="s">
        <v>962</v>
      </c>
      <c r="I2" s="741" t="s">
        <v>963</v>
      </c>
      <c r="J2" s="741" t="s">
        <v>964</v>
      </c>
      <c r="K2" s="741" t="s">
        <v>965</v>
      </c>
      <c r="L2" s="741" t="s">
        <v>966</v>
      </c>
      <c r="M2" s="741" t="s">
        <v>967</v>
      </c>
      <c r="N2" s="741" t="s">
        <v>968</v>
      </c>
      <c r="O2" s="742" t="s">
        <v>969</v>
      </c>
    </row>
    <row r="3" spans="1:15" ht="15" x14ac:dyDescent="0.2">
      <c r="A3" s="743">
        <v>304</v>
      </c>
      <c r="B3" s="744" t="s">
        <v>970</v>
      </c>
      <c r="C3" s="745">
        <f>'SGTO POAI MARZO-2018 '!BZ23</f>
        <v>6071000000</v>
      </c>
      <c r="D3" s="746">
        <v>1</v>
      </c>
      <c r="E3" s="745">
        <v>277740000</v>
      </c>
      <c r="F3" s="746">
        <f>E3/C3</f>
        <v>4.574864108054686E-2</v>
      </c>
      <c r="G3" s="745">
        <f>'SGTO POAI MARZO-2018 '!CA23</f>
        <v>277740000</v>
      </c>
      <c r="H3" s="746">
        <f>G3/C3</f>
        <v>4.574864108054686E-2</v>
      </c>
      <c r="I3" s="745">
        <f>'SGTO POAI MARZO-2018 '!CB23</f>
        <v>44460000</v>
      </c>
      <c r="J3" s="746">
        <f>I3/G3</f>
        <v>0.16007777057679845</v>
      </c>
      <c r="K3" s="745">
        <v>44460000</v>
      </c>
      <c r="L3" s="746">
        <f>K3/G3</f>
        <v>0.16007777057679845</v>
      </c>
      <c r="M3" s="747">
        <f>C3-E3</f>
        <v>5793260000</v>
      </c>
      <c r="N3" s="748">
        <f>M3/C3</f>
        <v>0.95425135891945312</v>
      </c>
      <c r="O3" s="749">
        <f>G3/C3</f>
        <v>4.574864108054686E-2</v>
      </c>
    </row>
    <row r="4" spans="1:15" ht="15" x14ac:dyDescent="0.2">
      <c r="A4" s="743">
        <v>305</v>
      </c>
      <c r="B4" s="744" t="s">
        <v>971</v>
      </c>
      <c r="C4" s="745">
        <f>'SGTO POAI MARZO-2018 '!BZ66</f>
        <v>1617000000</v>
      </c>
      <c r="D4" s="746">
        <v>1</v>
      </c>
      <c r="E4" s="745">
        <v>542929996</v>
      </c>
      <c r="F4" s="746">
        <f t="shared" ref="F4:F15" si="0">E4/C4</f>
        <v>0.33576375757575755</v>
      </c>
      <c r="G4" s="745">
        <f>'SGTO POAI MARZO-2018 '!CA66</f>
        <v>494303329</v>
      </c>
      <c r="H4" s="746">
        <f t="shared" ref="H4:H15" si="1">G4/C4</f>
        <v>0.30569160729746442</v>
      </c>
      <c r="I4" s="745">
        <f>'SGTO POAI MARZO-2018 '!CB66</f>
        <v>134613332</v>
      </c>
      <c r="J4" s="746">
        <f t="shared" ref="J4:J21" si="2">I4/G4</f>
        <v>0.27232940605989731</v>
      </c>
      <c r="K4" s="745">
        <v>134613332</v>
      </c>
      <c r="L4" s="746">
        <f t="shared" ref="L4:L15" si="3">K4/G4</f>
        <v>0.27232940605989731</v>
      </c>
      <c r="M4" s="747">
        <f t="shared" ref="M4:M7" si="4">C4-E4</f>
        <v>1074070004</v>
      </c>
      <c r="N4" s="748">
        <f t="shared" ref="N4:N15" si="5">M4/C4</f>
        <v>0.6642362424242424</v>
      </c>
      <c r="O4" s="749">
        <f t="shared" ref="O4:O23" si="6">G4/C4</f>
        <v>0.30569160729746442</v>
      </c>
    </row>
    <row r="5" spans="1:15" ht="15" x14ac:dyDescent="0.2">
      <c r="A5" s="743">
        <v>307</v>
      </c>
      <c r="B5" s="744" t="s">
        <v>972</v>
      </c>
      <c r="C5" s="745">
        <f>'SGTO POAI MARZO-2018 '!BZ80</f>
        <v>2574941457</v>
      </c>
      <c r="D5" s="746">
        <v>1</v>
      </c>
      <c r="E5" s="745">
        <v>1965125328</v>
      </c>
      <c r="F5" s="746">
        <f t="shared" si="0"/>
        <v>0.76317281802962555</v>
      </c>
      <c r="G5" s="745">
        <f>'SGTO POAI MARZO-2018 '!CA80</f>
        <v>1200369463</v>
      </c>
      <c r="H5" s="746">
        <f t="shared" si="1"/>
        <v>0.46617349677476572</v>
      </c>
      <c r="I5" s="745">
        <f>'SGTO POAI MARZO-2018 '!CB80</f>
        <v>205620000</v>
      </c>
      <c r="J5" s="746">
        <f t="shared" si="2"/>
        <v>0.17129726000035708</v>
      </c>
      <c r="K5" s="745">
        <v>205620000</v>
      </c>
      <c r="L5" s="746">
        <f t="shared" si="3"/>
        <v>0.17129726000035708</v>
      </c>
      <c r="M5" s="747">
        <f t="shared" si="4"/>
        <v>609816129</v>
      </c>
      <c r="N5" s="748">
        <f t="shared" si="5"/>
        <v>0.23682718197037442</v>
      </c>
      <c r="O5" s="749">
        <f t="shared" si="6"/>
        <v>0.46617349677476572</v>
      </c>
    </row>
    <row r="6" spans="1:15" s="752" customFormat="1" ht="15" x14ac:dyDescent="0.2">
      <c r="A6" s="750">
        <v>308</v>
      </c>
      <c r="B6" s="744" t="s">
        <v>973</v>
      </c>
      <c r="C6" s="747">
        <f>'SGTO POAI MARZO-2018 '!BZ125</f>
        <v>35771983967</v>
      </c>
      <c r="D6" s="746">
        <v>1</v>
      </c>
      <c r="E6" s="747">
        <v>6497757065</v>
      </c>
      <c r="F6" s="746">
        <f t="shared" si="0"/>
        <v>0.18164374307542583</v>
      </c>
      <c r="G6" s="747">
        <f>'SGTO POAI MARZO-2018 '!CA125</f>
        <v>3398962465.23</v>
      </c>
      <c r="H6" s="746">
        <f t="shared" si="1"/>
        <v>9.5017443493365522E-2</v>
      </c>
      <c r="I6" s="745">
        <f>'SGTO POAI MARZO-2018 '!CB125</f>
        <v>449792414.78999996</v>
      </c>
      <c r="J6" s="746">
        <f t="shared" si="2"/>
        <v>0.13233226885886296</v>
      </c>
      <c r="K6" s="745">
        <v>449792414.79000002</v>
      </c>
      <c r="L6" s="746">
        <f t="shared" si="3"/>
        <v>0.13233226885886296</v>
      </c>
      <c r="M6" s="747">
        <f t="shared" si="4"/>
        <v>29274226902</v>
      </c>
      <c r="N6" s="751">
        <f t="shared" si="5"/>
        <v>0.81835625692457414</v>
      </c>
      <c r="O6" s="749">
        <f>G6/C6</f>
        <v>9.5017443493365522E-2</v>
      </c>
    </row>
    <row r="7" spans="1:15" s="752" customFormat="1" ht="15" x14ac:dyDescent="0.2">
      <c r="A7" s="750">
        <v>309</v>
      </c>
      <c r="B7" s="744" t="s">
        <v>974</v>
      </c>
      <c r="C7" s="747">
        <f>'SGTO POAI MARZO-2018 '!BZ204</f>
        <v>9254396454.3800011</v>
      </c>
      <c r="D7" s="746">
        <v>1</v>
      </c>
      <c r="E7" s="747">
        <v>1844834854</v>
      </c>
      <c r="F7" s="746">
        <f t="shared" si="0"/>
        <v>0.19934685779825875</v>
      </c>
      <c r="G7" s="747">
        <f>'SGTO POAI MARZO-2018 '!CA204</f>
        <v>1480452854</v>
      </c>
      <c r="H7" s="746">
        <f t="shared" si="1"/>
        <v>0.15997292328008256</v>
      </c>
      <c r="I7" s="745">
        <f>'SGTO POAI MARZO-2018 '!CB204</f>
        <v>405002794</v>
      </c>
      <c r="J7" s="746">
        <f t="shared" si="2"/>
        <v>0.27356682984245845</v>
      </c>
      <c r="K7" s="745">
        <v>405002794</v>
      </c>
      <c r="L7" s="746">
        <f t="shared" si="3"/>
        <v>0.27356682984245845</v>
      </c>
      <c r="M7" s="747">
        <f t="shared" si="4"/>
        <v>7409561600.3800011</v>
      </c>
      <c r="N7" s="751">
        <f t="shared" si="5"/>
        <v>0.80065314220174122</v>
      </c>
      <c r="O7" s="749">
        <f t="shared" si="6"/>
        <v>0.15997292328008256</v>
      </c>
    </row>
    <row r="8" spans="1:15" s="752" customFormat="1" ht="15" x14ac:dyDescent="0.2">
      <c r="A8" s="750">
        <v>310</v>
      </c>
      <c r="B8" s="744" t="s">
        <v>975</v>
      </c>
      <c r="C8" s="745">
        <f>'SGTO POAI MARZO-2018 '!BZ236</f>
        <v>5594720576</v>
      </c>
      <c r="D8" s="746">
        <v>1</v>
      </c>
      <c r="E8" s="745">
        <v>1963532000</v>
      </c>
      <c r="F8" s="746">
        <f t="shared" si="0"/>
        <v>0.35096158482392814</v>
      </c>
      <c r="G8" s="745">
        <f>'SGTO POAI MARZO-2018 '!CA236</f>
        <v>922032000</v>
      </c>
      <c r="H8" s="746">
        <f t="shared" si="1"/>
        <v>0.16480394105029919</v>
      </c>
      <c r="I8" s="745">
        <f>'SGTO POAI MARZO-2018 '!CB236</f>
        <v>111863600</v>
      </c>
      <c r="J8" s="746">
        <f t="shared" si="2"/>
        <v>0.12132290419421451</v>
      </c>
      <c r="K8" s="745">
        <v>111863600</v>
      </c>
      <c r="L8" s="746">
        <f t="shared" si="3"/>
        <v>0.12132290419421451</v>
      </c>
      <c r="M8" s="747">
        <f>C8-E8</f>
        <v>3631188576</v>
      </c>
      <c r="N8" s="751">
        <f t="shared" si="5"/>
        <v>0.64903841517607186</v>
      </c>
      <c r="O8" s="749">
        <f t="shared" si="6"/>
        <v>0.16480394105029919</v>
      </c>
    </row>
    <row r="9" spans="1:15" s="752" customFormat="1" ht="15" x14ac:dyDescent="0.2">
      <c r="A9" s="750">
        <v>311</v>
      </c>
      <c r="B9" s="744" t="s">
        <v>976</v>
      </c>
      <c r="C9" s="745">
        <f>'SGTO POAI MARZO-2018 '!BZ278</f>
        <v>2303094912</v>
      </c>
      <c r="D9" s="746">
        <v>1</v>
      </c>
      <c r="E9" s="745">
        <v>1205220000</v>
      </c>
      <c r="F9" s="746">
        <f t="shared" si="0"/>
        <v>0.52330452979612163</v>
      </c>
      <c r="G9" s="745">
        <f>'SGTO POAI MARZO-2018 '!CA278</f>
        <v>833610000</v>
      </c>
      <c r="H9" s="746">
        <f t="shared" si="1"/>
        <v>0.3619520826764781</v>
      </c>
      <c r="I9" s="745">
        <f>'SGTO POAI MARZO-2018 '!CB278</f>
        <v>149230000</v>
      </c>
      <c r="J9" s="746">
        <f t="shared" si="2"/>
        <v>0.17901656649992204</v>
      </c>
      <c r="K9" s="745">
        <v>149230000</v>
      </c>
      <c r="L9" s="746">
        <f t="shared" si="3"/>
        <v>0.17901656649992204</v>
      </c>
      <c r="M9" s="747">
        <f>C9-E9</f>
        <v>1097874912</v>
      </c>
      <c r="N9" s="751">
        <f t="shared" si="5"/>
        <v>0.47669547020387842</v>
      </c>
      <c r="O9" s="749">
        <f t="shared" si="6"/>
        <v>0.3619520826764781</v>
      </c>
    </row>
    <row r="10" spans="1:15" s="752" customFormat="1" ht="15" x14ac:dyDescent="0.2">
      <c r="A10" s="750">
        <v>312</v>
      </c>
      <c r="B10" s="744" t="s">
        <v>977</v>
      </c>
      <c r="C10" s="745">
        <f>'SGTO POAI MARZO-2018 '!BZ352</f>
        <v>3255472658</v>
      </c>
      <c r="D10" s="746">
        <v>1</v>
      </c>
      <c r="E10" s="745">
        <f>'SGTO POAI MARZO-2018 '!CA352</f>
        <v>1170402991</v>
      </c>
      <c r="F10" s="746">
        <f t="shared" si="0"/>
        <v>0.35951860573113742</v>
      </c>
      <c r="G10" s="745">
        <v>1170402991</v>
      </c>
      <c r="H10" s="746">
        <f t="shared" si="1"/>
        <v>0.35951860573113742</v>
      </c>
      <c r="I10" s="745">
        <f>'SGTO POAI MARZO-2018 '!CB352</f>
        <v>258856255</v>
      </c>
      <c r="J10" s="746">
        <f t="shared" si="2"/>
        <v>0.22116848383891391</v>
      </c>
      <c r="K10" s="745">
        <v>258856255</v>
      </c>
      <c r="L10" s="746">
        <f t="shared" si="3"/>
        <v>0.22116848383891391</v>
      </c>
      <c r="M10" s="747">
        <f>C10-E10</f>
        <v>2085069667</v>
      </c>
      <c r="N10" s="751">
        <f t="shared" si="5"/>
        <v>0.64048139426886253</v>
      </c>
      <c r="O10" s="749">
        <f t="shared" si="6"/>
        <v>0.35951860573113742</v>
      </c>
    </row>
    <row r="11" spans="1:15" s="757" customFormat="1" ht="15" x14ac:dyDescent="0.2">
      <c r="A11" s="753">
        <v>313</v>
      </c>
      <c r="B11" s="744" t="s">
        <v>978</v>
      </c>
      <c r="C11" s="754">
        <f>'SGTO POAI MARZO-2018 '!BZ369</f>
        <v>1504000000</v>
      </c>
      <c r="D11" s="746">
        <v>1</v>
      </c>
      <c r="E11" s="755">
        <v>507300000</v>
      </c>
      <c r="F11" s="746">
        <f t="shared" si="0"/>
        <v>0.33730053191489362</v>
      </c>
      <c r="G11" s="754">
        <f>'SGTO POAI MARZO-2018 '!CA369</f>
        <v>492420000</v>
      </c>
      <c r="H11" s="746">
        <f t="shared" si="1"/>
        <v>0.32740691489361701</v>
      </c>
      <c r="I11" s="754">
        <f>'SGTO POAI MARZO-2018 '!CB369</f>
        <v>125600000</v>
      </c>
      <c r="J11" s="746">
        <f t="shared" si="2"/>
        <v>0.25506681288331101</v>
      </c>
      <c r="K11" s="754">
        <v>125600000</v>
      </c>
      <c r="L11" s="746">
        <f t="shared" si="3"/>
        <v>0.25506681288331101</v>
      </c>
      <c r="M11" s="756">
        <f t="shared" ref="M11:M13" si="7">C11-E11</f>
        <v>996700000</v>
      </c>
      <c r="N11" s="751">
        <f t="shared" si="5"/>
        <v>0.66269946808510638</v>
      </c>
      <c r="O11" s="749">
        <f t="shared" si="6"/>
        <v>0.32740691489361701</v>
      </c>
    </row>
    <row r="12" spans="1:15" s="757" customFormat="1" ht="15" x14ac:dyDescent="0.2">
      <c r="A12" s="753">
        <v>314</v>
      </c>
      <c r="B12" s="744" t="s">
        <v>979</v>
      </c>
      <c r="C12" s="758">
        <f>'SGTO POAI MARZO-2018 '!BZ475</f>
        <v>180275176307</v>
      </c>
      <c r="D12" s="746">
        <v>1</v>
      </c>
      <c r="E12" s="758">
        <v>45266267538</v>
      </c>
      <c r="F12" s="746">
        <f t="shared" si="0"/>
        <v>0.25109540018373749</v>
      </c>
      <c r="G12" s="758">
        <f>'SGTO POAI MARZO-2018 '!CA475</f>
        <v>32004647004</v>
      </c>
      <c r="H12" s="746">
        <f>G12/C12</f>
        <v>0.17753219084083777</v>
      </c>
      <c r="I12" s="758">
        <f>'SGTO POAI MARZO-2018 '!CB475</f>
        <v>27564611483</v>
      </c>
      <c r="J12" s="746">
        <f t="shared" si="2"/>
        <v>0.86126903632322283</v>
      </c>
      <c r="K12" s="758">
        <v>26683994783</v>
      </c>
      <c r="L12" s="746">
        <f t="shared" si="3"/>
        <v>0.83375376018566882</v>
      </c>
      <c r="M12" s="758">
        <f t="shared" si="7"/>
        <v>135008908769</v>
      </c>
      <c r="N12" s="751">
        <f t="shared" si="5"/>
        <v>0.74890459981626245</v>
      </c>
      <c r="O12" s="749">
        <f t="shared" si="6"/>
        <v>0.17753219084083777</v>
      </c>
    </row>
    <row r="13" spans="1:15" s="752" customFormat="1" ht="15" x14ac:dyDescent="0.2">
      <c r="A13" s="750">
        <v>316</v>
      </c>
      <c r="B13" s="744" t="s">
        <v>980</v>
      </c>
      <c r="C13" s="759">
        <f>'SGTO POAI MARZO-2018 '!BZ541</f>
        <v>6534529092</v>
      </c>
      <c r="D13" s="746">
        <v>1</v>
      </c>
      <c r="E13" s="759">
        <v>1275555000</v>
      </c>
      <c r="F13" s="746">
        <f t="shared" si="0"/>
        <v>0.19520228344558421</v>
      </c>
      <c r="G13" s="759">
        <f>'SGTO POAI MARZO-2018 '!CA541</f>
        <v>695780000</v>
      </c>
      <c r="H13" s="746">
        <f t="shared" si="1"/>
        <v>0.1064774508161299</v>
      </c>
      <c r="I13" s="759">
        <f>'SGTO POAI MARZO-2018 '!CB541</f>
        <v>180540000</v>
      </c>
      <c r="J13" s="746">
        <f t="shared" si="2"/>
        <v>0.25947857081261316</v>
      </c>
      <c r="K13" s="759">
        <v>180540000</v>
      </c>
      <c r="L13" s="746">
        <f t="shared" si="3"/>
        <v>0.25947857081261316</v>
      </c>
      <c r="M13" s="747">
        <f t="shared" si="7"/>
        <v>5258974092</v>
      </c>
      <c r="N13" s="751">
        <f t="shared" si="5"/>
        <v>0.80479771655441579</v>
      </c>
      <c r="O13" s="749">
        <f t="shared" si="6"/>
        <v>0.1064774508161299</v>
      </c>
    </row>
    <row r="14" spans="1:15" s="752" customFormat="1" ht="15" x14ac:dyDescent="0.2">
      <c r="A14" s="750">
        <v>317</v>
      </c>
      <c r="B14" s="744" t="s">
        <v>981</v>
      </c>
      <c r="C14" s="747">
        <f>'SGTO POAI MARZO-2018 '!BZ551</f>
        <v>72000000</v>
      </c>
      <c r="D14" s="746">
        <v>1</v>
      </c>
      <c r="E14" s="747">
        <v>68400000</v>
      </c>
      <c r="F14" s="746">
        <f t="shared" si="0"/>
        <v>0.95</v>
      </c>
      <c r="G14" s="747">
        <f>'SGTO POAI MARZO-2018 '!CA551</f>
        <v>68400000</v>
      </c>
      <c r="H14" s="746">
        <f t="shared" si="1"/>
        <v>0.95</v>
      </c>
      <c r="I14" s="747">
        <f>'SGTO POAI MARZO-2018 '!CB551</f>
        <v>7600000</v>
      </c>
      <c r="J14" s="746">
        <f t="shared" si="2"/>
        <v>0.1111111111111111</v>
      </c>
      <c r="K14" s="747">
        <v>7600000</v>
      </c>
      <c r="L14" s="746">
        <f t="shared" si="3"/>
        <v>0.1111111111111111</v>
      </c>
      <c r="M14" s="747">
        <f>C14-E14</f>
        <v>3600000</v>
      </c>
      <c r="N14" s="751">
        <f t="shared" si="5"/>
        <v>0.05</v>
      </c>
      <c r="O14" s="760">
        <f t="shared" si="6"/>
        <v>0.95</v>
      </c>
    </row>
    <row r="15" spans="1:15" ht="15" x14ac:dyDescent="0.2">
      <c r="A15" s="743">
        <v>318</v>
      </c>
      <c r="B15" s="744" t="s">
        <v>982</v>
      </c>
      <c r="C15" s="745">
        <f>'SGTO POAI MARZO-2018 '!BZ681</f>
        <v>52849144486</v>
      </c>
      <c r="D15" s="746">
        <v>1</v>
      </c>
      <c r="E15" s="745">
        <v>26198360131</v>
      </c>
      <c r="F15" s="746">
        <f t="shared" si="0"/>
        <v>0.49571966369181386</v>
      </c>
      <c r="G15" s="745">
        <f>'SGTO POAI MARZO-2018 '!CA681</f>
        <v>24684392313</v>
      </c>
      <c r="H15" s="746">
        <f t="shared" si="1"/>
        <v>0.46707269442249943</v>
      </c>
      <c r="I15" s="745">
        <f>'SGTO POAI MARZO-2018 '!CB681</f>
        <v>1998859640</v>
      </c>
      <c r="J15" s="746">
        <f t="shared" si="2"/>
        <v>8.0976659852683652E-2</v>
      </c>
      <c r="K15" s="745">
        <v>1998859640</v>
      </c>
      <c r="L15" s="746">
        <f t="shared" si="3"/>
        <v>8.0976659852683652E-2</v>
      </c>
      <c r="M15" s="747">
        <f t="shared" ref="M15" si="8">C15-E15</f>
        <v>26650784355</v>
      </c>
      <c r="N15" s="748">
        <f t="shared" si="5"/>
        <v>0.50428033630818614</v>
      </c>
      <c r="O15" s="760">
        <f t="shared" si="6"/>
        <v>0.46707269442249943</v>
      </c>
    </row>
    <row r="16" spans="1:15" s="752" customFormat="1" ht="15" x14ac:dyDescent="0.2">
      <c r="A16" s="761" t="s">
        <v>983</v>
      </c>
      <c r="B16" s="762"/>
      <c r="C16" s="763">
        <f>SUM(C3:C15)</f>
        <v>307677459909.38</v>
      </c>
      <c r="D16" s="764">
        <v>1</v>
      </c>
      <c r="E16" s="763">
        <f>SUM(E3:E15)</f>
        <v>88783424903</v>
      </c>
      <c r="F16" s="764">
        <f>E16/C16</f>
        <v>0.28856005548521269</v>
      </c>
      <c r="G16" s="763">
        <f t="shared" ref="G16:M16" si="9">SUM(G3:G15)</f>
        <v>67723512419.229996</v>
      </c>
      <c r="H16" s="764">
        <f>G16/C16</f>
        <v>0.22011203693366602</v>
      </c>
      <c r="I16" s="763">
        <f t="shared" si="9"/>
        <v>31636649518.790001</v>
      </c>
      <c r="J16" s="764">
        <f t="shared" si="2"/>
        <v>0.46714425151119038</v>
      </c>
      <c r="K16" s="763">
        <f t="shared" si="9"/>
        <v>30756032818.790001</v>
      </c>
      <c r="L16" s="764">
        <f>K16/G16</f>
        <v>0.45414113533273959</v>
      </c>
      <c r="M16" s="763">
        <f t="shared" si="9"/>
        <v>218894035006.38</v>
      </c>
      <c r="N16" s="764">
        <f>M16/C16</f>
        <v>0.71143994451478731</v>
      </c>
      <c r="O16" s="760">
        <f t="shared" si="6"/>
        <v>0.22011203693366602</v>
      </c>
    </row>
    <row r="17" spans="1:15" s="752" customFormat="1" ht="2.25" customHeight="1" x14ac:dyDescent="0.2">
      <c r="B17" s="765"/>
      <c r="C17" s="766"/>
      <c r="D17" s="766"/>
      <c r="E17" s="766"/>
      <c r="F17" s="766"/>
      <c r="G17" s="766"/>
      <c r="H17" s="766"/>
      <c r="I17" s="766"/>
      <c r="J17" s="766"/>
      <c r="K17" s="766"/>
      <c r="L17" s="766"/>
      <c r="M17" s="766"/>
      <c r="O17" s="767"/>
    </row>
    <row r="18" spans="1:15" s="752" customFormat="1" ht="15" x14ac:dyDescent="0.2">
      <c r="A18" s="768">
        <v>319</v>
      </c>
      <c r="B18" s="769" t="s">
        <v>984</v>
      </c>
      <c r="C18" s="745">
        <f>'SGTO POAI MARZO-2018 '!BZ725</f>
        <v>3102910466.4899998</v>
      </c>
      <c r="D18" s="746">
        <v>1</v>
      </c>
      <c r="E18" s="745">
        <f>'SGTO POAI MARZO-2018 '!CA725</f>
        <v>938746000</v>
      </c>
      <c r="F18" s="746">
        <f t="shared" ref="F18:F20" si="10">E18/C18</f>
        <v>0.30253725015208249</v>
      </c>
      <c r="G18" s="745">
        <f>'SGTO POAI MARZO-2018 '!CA725</f>
        <v>938746000</v>
      </c>
      <c r="H18" s="746">
        <f t="shared" ref="H18:H20" si="11">G18/C18</f>
        <v>0.30253725015208249</v>
      </c>
      <c r="I18" s="745">
        <f>'SGTO POAI MARZO-2018 '!CB725</f>
        <v>147666000</v>
      </c>
      <c r="J18" s="746">
        <v>0</v>
      </c>
      <c r="K18" s="745">
        <f>'SGTO POAI MARZO-2018 '!CB725</f>
        <v>147666000</v>
      </c>
      <c r="L18" s="746">
        <v>0</v>
      </c>
      <c r="M18" s="747">
        <f t="shared" ref="M18:M20" si="12">C18-E18</f>
        <v>2164164466.4899998</v>
      </c>
      <c r="N18" s="751">
        <f t="shared" ref="N18:N20" si="13">M18/C18</f>
        <v>0.69746274984791756</v>
      </c>
      <c r="O18" s="760">
        <f t="shared" si="6"/>
        <v>0.30253725015208249</v>
      </c>
    </row>
    <row r="19" spans="1:15" s="752" customFormat="1" ht="15" x14ac:dyDescent="0.2">
      <c r="A19" s="768">
        <v>320</v>
      </c>
      <c r="B19" s="769" t="s">
        <v>985</v>
      </c>
      <c r="C19" s="745">
        <f>'SGTO POAI MARZO-2018 '!BZ741</f>
        <v>2467642368</v>
      </c>
      <c r="D19" s="746">
        <v>1</v>
      </c>
      <c r="E19" s="745">
        <f>'SGTO POAI MARZO-2018 '!CA741</f>
        <v>541575000</v>
      </c>
      <c r="F19" s="746">
        <f t="shared" si="10"/>
        <v>0.21947061982038396</v>
      </c>
      <c r="G19" s="745">
        <f>'SGTO POAI MARZO-2018 '!CA741</f>
        <v>541575000</v>
      </c>
      <c r="H19" s="746">
        <f t="shared" si="11"/>
        <v>0.21947061982038396</v>
      </c>
      <c r="I19" s="745">
        <f>'SGTO POAI MARZO-2018 '!CB741</f>
        <v>221014200</v>
      </c>
      <c r="J19" s="746">
        <v>0</v>
      </c>
      <c r="K19" s="745">
        <f>'SGTO POAI MARZO-2018 '!CB741</f>
        <v>221014200</v>
      </c>
      <c r="L19" s="746">
        <v>0</v>
      </c>
      <c r="M19" s="747">
        <f t="shared" si="12"/>
        <v>1926067368</v>
      </c>
      <c r="N19" s="751">
        <f t="shared" si="13"/>
        <v>0.78052938017961604</v>
      </c>
      <c r="O19" s="760">
        <f t="shared" si="6"/>
        <v>0.21947061982038396</v>
      </c>
    </row>
    <row r="20" spans="1:15" s="752" customFormat="1" ht="15" x14ac:dyDescent="0.2">
      <c r="A20" s="768">
        <v>321</v>
      </c>
      <c r="B20" s="769" t="s">
        <v>986</v>
      </c>
      <c r="C20" s="745">
        <f>'SGTO POAI MARZO-2018 '!BZ753</f>
        <v>115000000</v>
      </c>
      <c r="D20" s="746">
        <v>1</v>
      </c>
      <c r="E20" s="745">
        <f>'SGTO POAI MARZO-2018 '!CA753</f>
        <v>52406665</v>
      </c>
      <c r="F20" s="746">
        <f t="shared" si="10"/>
        <v>0.45571013043478259</v>
      </c>
      <c r="G20" s="745">
        <f>'SGTO POAI MARZO-2018 '!CA753</f>
        <v>52406665</v>
      </c>
      <c r="H20" s="746">
        <f t="shared" si="11"/>
        <v>0.45571013043478259</v>
      </c>
      <c r="I20" s="745">
        <f>'SGTO POAI MARZO-2018 '!CB753</f>
        <v>18806665</v>
      </c>
      <c r="J20" s="746">
        <v>0</v>
      </c>
      <c r="K20" s="745">
        <f>'SGTO POAI MARZO-2018 '!CB753</f>
        <v>18806665</v>
      </c>
      <c r="L20" s="746">
        <v>0</v>
      </c>
      <c r="M20" s="747">
        <f t="shared" si="12"/>
        <v>62593335</v>
      </c>
      <c r="N20" s="751">
        <f t="shared" si="13"/>
        <v>0.54428986956521741</v>
      </c>
      <c r="O20" s="760">
        <f t="shared" si="6"/>
        <v>0.45571013043478259</v>
      </c>
    </row>
    <row r="21" spans="1:15" ht="15" customHeight="1" x14ac:dyDescent="0.2">
      <c r="A21" s="770" t="s">
        <v>983</v>
      </c>
      <c r="B21" s="771"/>
      <c r="C21" s="772">
        <f>SUM(C18:C20)</f>
        <v>5685552834.4899998</v>
      </c>
      <c r="D21" s="764">
        <v>1</v>
      </c>
      <c r="E21" s="772">
        <f t="shared" ref="E21:M21" si="14">SUM(E18:E20)</f>
        <v>1532727665</v>
      </c>
      <c r="F21" s="764">
        <f>E21/C21</f>
        <v>0.26958287252245494</v>
      </c>
      <c r="G21" s="772">
        <f t="shared" si="14"/>
        <v>1532727665</v>
      </c>
      <c r="H21" s="764">
        <f>G21/C21</f>
        <v>0.26958287252245494</v>
      </c>
      <c r="I21" s="772">
        <f t="shared" si="14"/>
        <v>387486865</v>
      </c>
      <c r="J21" s="764">
        <f t="shared" si="2"/>
        <v>0.25280868470525064</v>
      </c>
      <c r="K21" s="772">
        <f t="shared" si="14"/>
        <v>387486865</v>
      </c>
      <c r="L21" s="764">
        <f>K21/G21</f>
        <v>0.25280868470525064</v>
      </c>
      <c r="M21" s="772">
        <f t="shared" si="14"/>
        <v>4152825169.4899998</v>
      </c>
      <c r="N21" s="764">
        <f>M21/C21</f>
        <v>0.73041712747754506</v>
      </c>
      <c r="O21" s="760">
        <f t="shared" si="6"/>
        <v>0.26958287252245494</v>
      </c>
    </row>
    <row r="22" spans="1:15" ht="6.75" customHeight="1" x14ac:dyDescent="0.2">
      <c r="D22" s="775"/>
      <c r="F22" s="775"/>
    </row>
    <row r="23" spans="1:15" ht="15" customHeight="1" x14ac:dyDescent="0.2">
      <c r="A23" s="776" t="s">
        <v>817</v>
      </c>
      <c r="B23" s="777"/>
      <c r="C23" s="778">
        <f>C21+C16</f>
        <v>313363012743.87</v>
      </c>
      <c r="D23" s="764">
        <v>1</v>
      </c>
      <c r="E23" s="778">
        <f>E21+E16</f>
        <v>90316152568</v>
      </c>
      <c r="F23" s="764">
        <f>E23/C23</f>
        <v>0.28821573987680765</v>
      </c>
      <c r="G23" s="778">
        <f>G21+G16</f>
        <v>69256240084.229996</v>
      </c>
      <c r="H23" s="764">
        <f>G23/C23</f>
        <v>0.22100961909259276</v>
      </c>
      <c r="I23" s="778">
        <f>I21+I16</f>
        <v>32024136383.790001</v>
      </c>
      <c r="J23" s="764">
        <f t="shared" ref="J23" si="15">I23/G23</f>
        <v>0.46240073594584385</v>
      </c>
      <c r="K23" s="778">
        <f>K21+K16</f>
        <v>31143519683.790001</v>
      </c>
      <c r="L23" s="764">
        <f>K23/G23</f>
        <v>0.44968539507650146</v>
      </c>
      <c r="M23" s="778">
        <f>M21+M16</f>
        <v>223046860175.87</v>
      </c>
      <c r="N23" s="764">
        <f>M23/C23</f>
        <v>0.71178426012319229</v>
      </c>
      <c r="O23" s="760">
        <f t="shared" si="6"/>
        <v>0.22100961909259276</v>
      </c>
    </row>
    <row r="24" spans="1:15" ht="15" x14ac:dyDescent="0.25">
      <c r="C24" s="779"/>
      <c r="D24"/>
      <c r="E24" s="780"/>
      <c r="F24"/>
      <c r="G24" s="779"/>
      <c r="H24"/>
      <c r="I24" s="779"/>
    </row>
    <row r="26" spans="1:15" x14ac:dyDescent="0.2">
      <c r="A26" s="963" t="s">
        <v>956</v>
      </c>
      <c r="B26" s="963"/>
      <c r="C26" s="963"/>
      <c r="D26" s="963"/>
      <c r="E26" s="963"/>
    </row>
    <row r="27" spans="1:15" x14ac:dyDescent="0.2">
      <c r="A27" s="781">
        <v>304</v>
      </c>
      <c r="B27" s="956" t="s">
        <v>970</v>
      </c>
      <c r="C27" s="956"/>
      <c r="D27" s="956"/>
      <c r="E27" s="956"/>
    </row>
    <row r="28" spans="1:15" x14ac:dyDescent="0.2">
      <c r="A28" s="781">
        <v>305</v>
      </c>
      <c r="B28" s="956" t="s">
        <v>971</v>
      </c>
      <c r="C28" s="956"/>
      <c r="D28" s="956"/>
      <c r="E28" s="956"/>
    </row>
    <row r="29" spans="1:15" x14ac:dyDescent="0.2">
      <c r="A29" s="781">
        <v>307</v>
      </c>
      <c r="B29" s="956" t="s">
        <v>972</v>
      </c>
      <c r="C29" s="956"/>
      <c r="D29" s="956"/>
      <c r="E29" s="956"/>
    </row>
    <row r="30" spans="1:15" x14ac:dyDescent="0.2">
      <c r="A30" s="781">
        <v>308</v>
      </c>
      <c r="B30" s="960" t="s">
        <v>973</v>
      </c>
      <c r="C30" s="960"/>
      <c r="D30" s="960"/>
      <c r="E30" s="960"/>
    </row>
    <row r="31" spans="1:15" x14ac:dyDescent="0.2">
      <c r="A31" s="781">
        <v>309</v>
      </c>
      <c r="B31" s="960" t="s">
        <v>974</v>
      </c>
      <c r="C31" s="960"/>
      <c r="D31" s="960"/>
      <c r="E31" s="960"/>
    </row>
    <row r="32" spans="1:15" x14ac:dyDescent="0.2">
      <c r="A32" s="781">
        <v>310</v>
      </c>
      <c r="B32" s="956" t="s">
        <v>975</v>
      </c>
      <c r="C32" s="956"/>
      <c r="D32" s="956"/>
      <c r="E32" s="956"/>
    </row>
    <row r="33" spans="1:5" x14ac:dyDescent="0.2">
      <c r="A33" s="781">
        <v>311</v>
      </c>
      <c r="B33" s="956" t="s">
        <v>976</v>
      </c>
      <c r="C33" s="956"/>
      <c r="D33" s="956"/>
      <c r="E33" s="956"/>
    </row>
    <row r="34" spans="1:5" x14ac:dyDescent="0.2">
      <c r="A34" s="781">
        <v>312</v>
      </c>
      <c r="B34" s="956" t="s">
        <v>977</v>
      </c>
      <c r="C34" s="956"/>
      <c r="D34" s="956"/>
      <c r="E34" s="956"/>
    </row>
    <row r="35" spans="1:5" x14ac:dyDescent="0.2">
      <c r="A35" s="782">
        <v>313</v>
      </c>
      <c r="B35" s="959" t="s">
        <v>978</v>
      </c>
      <c r="C35" s="959"/>
      <c r="D35" s="959"/>
      <c r="E35" s="959"/>
    </row>
    <row r="36" spans="1:5" x14ac:dyDescent="0.2">
      <c r="A36" s="782">
        <v>314</v>
      </c>
      <c r="B36" s="959" t="s">
        <v>979</v>
      </c>
      <c r="C36" s="959"/>
      <c r="D36" s="959"/>
      <c r="E36" s="959"/>
    </row>
    <row r="37" spans="1:5" x14ac:dyDescent="0.2">
      <c r="A37" s="781">
        <v>316</v>
      </c>
      <c r="B37" s="956" t="s">
        <v>980</v>
      </c>
      <c r="C37" s="956"/>
      <c r="D37" s="956"/>
      <c r="E37" s="956"/>
    </row>
    <row r="38" spans="1:5" x14ac:dyDescent="0.2">
      <c r="A38" s="781">
        <v>317</v>
      </c>
      <c r="B38" s="960" t="s">
        <v>981</v>
      </c>
      <c r="C38" s="960"/>
      <c r="D38" s="960"/>
      <c r="E38" s="960"/>
    </row>
    <row r="39" spans="1:5" x14ac:dyDescent="0.2">
      <c r="A39" s="781">
        <v>318</v>
      </c>
      <c r="B39" s="956" t="s">
        <v>982</v>
      </c>
      <c r="C39" s="956"/>
      <c r="D39" s="956"/>
      <c r="E39" s="956"/>
    </row>
    <row r="40" spans="1:5" x14ac:dyDescent="0.2">
      <c r="A40" s="768">
        <v>319</v>
      </c>
      <c r="B40" s="956" t="s">
        <v>984</v>
      </c>
      <c r="C40" s="956"/>
      <c r="D40" s="956"/>
      <c r="E40" s="956"/>
    </row>
    <row r="41" spans="1:5" x14ac:dyDescent="0.2">
      <c r="A41" s="768">
        <v>320</v>
      </c>
      <c r="B41" s="956" t="s">
        <v>985</v>
      </c>
      <c r="C41" s="956"/>
      <c r="D41" s="956"/>
      <c r="E41" s="956"/>
    </row>
    <row r="42" spans="1:5" x14ac:dyDescent="0.2">
      <c r="A42" s="768">
        <v>321</v>
      </c>
      <c r="B42" s="956" t="s">
        <v>986</v>
      </c>
      <c r="C42" s="956"/>
      <c r="D42" s="956"/>
      <c r="E42" s="956"/>
    </row>
  </sheetData>
  <sheetProtection password="CBEB" sheet="1" objects="1" scenarios="1"/>
  <mergeCells count="19">
    <mergeCell ref="B27:E27"/>
    <mergeCell ref="B28:E28"/>
    <mergeCell ref="B29:E29"/>
    <mergeCell ref="B42:E42"/>
    <mergeCell ref="A1:O1"/>
    <mergeCell ref="B36:E36"/>
    <mergeCell ref="B37:E37"/>
    <mergeCell ref="B38:E38"/>
    <mergeCell ref="B39:E39"/>
    <mergeCell ref="B40:E40"/>
    <mergeCell ref="B41:E41"/>
    <mergeCell ref="B30:E30"/>
    <mergeCell ref="B31:E31"/>
    <mergeCell ref="B32:E32"/>
    <mergeCell ref="B33:E33"/>
    <mergeCell ref="B34:E34"/>
    <mergeCell ref="B35:E35"/>
    <mergeCell ref="A2:B2"/>
    <mergeCell ref="A26:E26"/>
  </mergeCells>
  <conditionalFormatting sqref="O3:O5 O7:O16">
    <cfRule type="cellIs" dxfId="32" priority="23" operator="between">
      <formula>0.799</formula>
      <formula>1</formula>
    </cfRule>
    <cfRule type="cellIs" dxfId="31" priority="24" operator="between">
      <formula>0.695</formula>
      <formula>0.794</formula>
    </cfRule>
    <cfRule type="cellIs" dxfId="30" priority="25" operator="between">
      <formula>0.5955</formula>
      <formula>0.69</formula>
    </cfRule>
    <cfRule type="cellIs" dxfId="29" priority="26" operator="between">
      <formula>0.395</formula>
      <formula>0.5932</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O18:O21 O23">
    <cfRule type="cellIs" dxfId="21" priority="12" operator="between">
      <formula>0.8</formula>
      <formula>1</formula>
    </cfRule>
    <cfRule type="cellIs" dxfId="20" priority="13" operator="between">
      <formula>0.7</formula>
      <formula>0.79</formula>
    </cfRule>
    <cfRule type="cellIs" dxfId="19" priority="14" operator="between">
      <formula>0.5955</formula>
      <formula>0.69</formula>
    </cfRule>
    <cfRule type="cellIs" dxfId="18" priority="15" operator="between">
      <formula>0.4</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O6">
    <cfRule type="cellIs" dxfId="10" priority="1" operator="between">
      <formula>0.799</formula>
      <formula>1</formula>
    </cfRule>
    <cfRule type="cellIs" dxfId="9" priority="2" operator="between">
      <formula>0.695</formula>
      <formula>0.794</formula>
    </cfRule>
    <cfRule type="cellIs" dxfId="8" priority="3" operator="between">
      <formula>0.5955</formula>
      <formula>0.69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SGTO POAI MARZO-2018 </vt:lpstr>
      <vt:lpstr>EJE SECRETARIAS</vt:lpstr>
      <vt:lpstr>'EJE SECRETARIAS'!Área_de_impresión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AUXPLANEACION13</dc:creator>
  <cp:keywords/>
  <dc:description/>
  <cp:lastModifiedBy>AUXPLANEACION03</cp:lastModifiedBy>
  <cp:revision/>
  <dcterms:created xsi:type="dcterms:W3CDTF">2018-02-06T12:38:27Z</dcterms:created>
  <dcterms:modified xsi:type="dcterms:W3CDTF">2018-06-01T20:12:45Z</dcterms:modified>
  <cp:category/>
  <cp:contentStatus/>
</cp:coreProperties>
</file>