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GOBERNACION QUINDIO 2018\PAGINA WEB\noviembre\"/>
    </mc:Choice>
  </mc:AlternateContent>
  <bookViews>
    <workbookView xWindow="0" yWindow="0" windowWidth="11970" windowHeight="9060"/>
  </bookViews>
  <sheets>
    <sheet name="SGTO POAI SEPTIEMBRE" sheetId="7" r:id="rId1"/>
    <sheet name="EJE SECRETARIAS" sheetId="6" r:id="rId2"/>
    <sheet name="LISTA PROYECTOS" sheetId="8"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1._Apoyo_con_equipos_para_la_seguridad_vial_Licenciamiento_de_software_para_comunicaciones" localSheetId="1">#REF!</definedName>
    <definedName name="_1._Apoyo_con_equipos_para_la_seguridad_vial_Licenciamiento_de_software_para_comunicaciones" localSheetId="0">#REF!</definedName>
    <definedName name="_1._Apoyo_con_equipos_para_la_seguridad_vial_Licenciamiento_de_software_para_comunicaciones">#REF!</definedName>
    <definedName name="_xlnm._FilterDatabase" localSheetId="1" hidden="1">'EJE SECRETARIAS'!$A$2:$O$16</definedName>
    <definedName name="_xlnm._FilterDatabase" localSheetId="0" hidden="1">'SGTO POAI SEPTIEMBRE'!$M:$M</definedName>
    <definedName name="_xlnm.Print_Area" localSheetId="1">'EJE SECRETARIAS'!$A$1:$O$72</definedName>
    <definedName name="CODIGO_DIVIPOLA" localSheetId="1">#REF!</definedName>
    <definedName name="CODIGO_DIVIPOLA" localSheetId="0">#REF!</definedName>
    <definedName name="CODIGO_DIVIPOLA">#REF!</definedName>
    <definedName name="DboREGISTRO_LEY_617" localSheetId="1">#REF!</definedName>
    <definedName name="DboREGISTRO_LEY_617" localSheetId="0">#REF!</definedName>
    <definedName name="DboREGISTRO_LEY_617">#REF!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8" l="1"/>
  <c r="A10" i="8" s="1"/>
  <c r="A11" i="8" s="1"/>
  <c r="A13" i="8" s="1"/>
  <c r="A14" i="8" s="1"/>
  <c r="A15" i="8" s="1"/>
  <c r="A16" i="8" s="1"/>
  <c r="A17" i="8" s="1"/>
  <c r="A18" i="8" s="1"/>
  <c r="A19" i="8" s="1"/>
  <c r="A20" i="8" s="1"/>
  <c r="A21" i="8" s="1"/>
  <c r="A23" i="8" s="1"/>
  <c r="A24" i="8" s="1"/>
  <c r="A26" i="8" s="1"/>
  <c r="A27" i="8" s="1"/>
  <c r="A28" i="8" s="1"/>
  <c r="A29" i="8" s="1"/>
  <c r="A30" i="8" s="1"/>
  <c r="A31" i="8" s="1"/>
  <c r="A32" i="8" s="1"/>
  <c r="A33" i="8" s="1"/>
  <c r="A34" i="8" s="1"/>
  <c r="A35" i="8" s="1"/>
  <c r="A37" i="8" s="1"/>
  <c r="A38" i="8" s="1"/>
  <c r="A39" i="8" s="1"/>
  <c r="A40" i="8" s="1"/>
  <c r="A41" i="8" s="1"/>
  <c r="A42" i="8" s="1"/>
  <c r="A43" i="8" s="1"/>
  <c r="A44" i="8" s="1"/>
  <c r="A45" i="8" s="1"/>
  <c r="A46" i="8" s="1"/>
  <c r="A48" i="8" s="1"/>
  <c r="A49" i="8" s="1"/>
  <c r="A50" i="8" s="1"/>
  <c r="A51" i="8" s="1"/>
  <c r="A52" i="8" s="1"/>
  <c r="A53" i="8" s="1"/>
  <c r="A55" i="8" s="1"/>
  <c r="A56" i="8" s="1"/>
  <c r="A57" i="8" s="1"/>
  <c r="A58" i="8" s="1"/>
  <c r="A59" i="8" s="1"/>
  <c r="A60" i="8" s="1"/>
  <c r="A61" i="8" s="1"/>
  <c r="A63" i="8" s="1"/>
  <c r="A64" i="8" s="1"/>
  <c r="A65" i="8" s="1"/>
  <c r="A66" i="8" s="1"/>
  <c r="A67" i="8" s="1"/>
  <c r="A68" i="8" s="1"/>
  <c r="A69" i="8" s="1"/>
  <c r="A70" i="8" s="1"/>
  <c r="A71" i="8" s="1"/>
  <c r="A72" i="8" s="1"/>
  <c r="A73" i="8" s="1"/>
  <c r="A75" i="8" s="1"/>
  <c r="A76" i="8" s="1"/>
  <c r="A77" i="8" s="1"/>
  <c r="A79" i="8" s="1"/>
  <c r="A80" i="8" s="1"/>
  <c r="A81" i="8" s="1"/>
  <c r="A82" i="8" s="1"/>
  <c r="A83" i="8" s="1"/>
  <c r="A84" i="8" s="1"/>
  <c r="A85" i="8" s="1"/>
  <c r="A86" i="8" s="1"/>
  <c r="A87" i="8" s="1"/>
  <c r="A88" i="8" s="1"/>
  <c r="A89" i="8" s="1"/>
  <c r="A90" i="8" s="1"/>
  <c r="A91" i="8" s="1"/>
  <c r="A92" i="8" s="1"/>
  <c r="A93" i="8" s="1"/>
  <c r="A95" i="8" s="1"/>
  <c r="A96" i="8" s="1"/>
  <c r="A97" i="8" s="1"/>
  <c r="A98" i="8" s="1"/>
  <c r="A99" i="8" s="1"/>
  <c r="A100" i="8" s="1"/>
  <c r="A101" i="8" s="1"/>
  <c r="A102" i="8" s="1"/>
  <c r="A103" i="8" s="1"/>
  <c r="A104" i="8" s="1"/>
  <c r="A105" i="8" s="1"/>
  <c r="A106" i="8" s="1"/>
  <c r="A107" i="8" s="1"/>
  <c r="A109"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5" i="8" s="1"/>
  <c r="A136" i="8" s="1"/>
  <c r="A137" i="8" s="1"/>
  <c r="A138" i="8" s="1"/>
  <c r="A139" i="8" s="1"/>
  <c r="A140" i="8" s="1"/>
  <c r="A142" i="8" s="1"/>
  <c r="A144" i="8" s="1"/>
  <c r="A8" i="8"/>
  <c r="D56" i="6" l="1"/>
  <c r="D55" i="6"/>
  <c r="D54" i="6"/>
  <c r="D53" i="6"/>
  <c r="D52" i="6"/>
  <c r="D51" i="6"/>
  <c r="BL214" i="7" l="1"/>
  <c r="BM214" i="7"/>
  <c r="E15" i="6" l="1"/>
  <c r="K19" i="6"/>
  <c r="K18" i="6"/>
  <c r="K15" i="6"/>
  <c r="K14" i="6"/>
  <c r="K13" i="6"/>
  <c r="K12" i="6"/>
  <c r="K11" i="6"/>
  <c r="K10" i="6"/>
  <c r="K9" i="6"/>
  <c r="K8" i="6"/>
  <c r="K7" i="6"/>
  <c r="K6" i="6"/>
  <c r="K5" i="6"/>
  <c r="K4" i="6"/>
  <c r="K3" i="6"/>
  <c r="E20" i="6" l="1"/>
  <c r="E19" i="6"/>
  <c r="E18" i="6"/>
  <c r="E14" i="6"/>
  <c r="E13" i="6"/>
  <c r="E12" i="6"/>
  <c r="E11" i="6"/>
  <c r="E10" i="6"/>
  <c r="E9" i="6"/>
  <c r="E8" i="6"/>
  <c r="E7" i="6"/>
  <c r="E6" i="6"/>
  <c r="E5" i="6"/>
  <c r="E4" i="6"/>
  <c r="E3" i="6"/>
  <c r="BR722" i="7" l="1"/>
  <c r="BR723" i="7" s="1"/>
  <c r="BS722" i="7"/>
  <c r="BS723" i="7" s="1"/>
  <c r="BR732" i="7"/>
  <c r="BS732" i="7"/>
  <c r="BR738" i="7"/>
  <c r="BS738" i="7"/>
  <c r="Y738" i="7"/>
  <c r="Y739" i="7" s="1"/>
  <c r="Y740" i="7" s="1"/>
  <c r="Y741" i="7" s="1"/>
  <c r="Z738" i="7"/>
  <c r="Z739" i="7" s="1"/>
  <c r="Z740" i="7" s="1"/>
  <c r="Z741" i="7" s="1"/>
  <c r="X737" i="7"/>
  <c r="X734" i="7"/>
  <c r="X735" i="7"/>
  <c r="BQ731" i="7"/>
  <c r="BS739" i="7" l="1"/>
  <c r="BS740" i="7" s="1"/>
  <c r="BS741" i="7" s="1"/>
  <c r="BR739" i="7"/>
  <c r="BR740" i="7" s="1"/>
  <c r="BR741" i="7" s="1"/>
  <c r="BM257" i="7" l="1"/>
  <c r="BL257" i="7"/>
  <c r="AS637" i="7" l="1"/>
  <c r="AV637" i="7"/>
  <c r="AN615" i="7"/>
  <c r="AN592" i="7"/>
  <c r="BL314" i="7" l="1"/>
  <c r="BL311" i="7"/>
  <c r="AM573" i="7" l="1"/>
  <c r="AM572" i="7"/>
  <c r="AM571" i="7"/>
  <c r="BM410" i="7" l="1"/>
  <c r="BL410" i="7"/>
  <c r="BM200" i="7" l="1"/>
  <c r="BL200" i="7"/>
  <c r="S214" i="7" l="1"/>
  <c r="T214" i="7"/>
  <c r="CB547" i="7" l="1"/>
  <c r="BP711" i="7" l="1"/>
  <c r="BO711" i="7"/>
  <c r="BN711" i="7"/>
  <c r="BL716" i="7" l="1"/>
  <c r="BM716" i="7"/>
  <c r="BM717" i="7" s="1"/>
  <c r="BM712" i="7"/>
  <c r="BN712" i="7"/>
  <c r="BO712" i="7"/>
  <c r="BL710" i="7"/>
  <c r="BL712" i="7" s="1"/>
  <c r="BX712" i="7"/>
  <c r="BY712" i="7"/>
  <c r="BO704" i="7"/>
  <c r="BP704" i="7"/>
  <c r="BL698" i="7"/>
  <c r="BM698" i="7"/>
  <c r="BO698" i="7"/>
  <c r="BP698" i="7"/>
  <c r="BQ698" i="7"/>
  <c r="BR698" i="7"/>
  <c r="BS698" i="7"/>
  <c r="BT698" i="7"/>
  <c r="BU698" i="7"/>
  <c r="BV698" i="7"/>
  <c r="BW698" i="7"/>
  <c r="BX698" i="7"/>
  <c r="BY698" i="7"/>
  <c r="BL694" i="7"/>
  <c r="BM694" i="7"/>
  <c r="BN694" i="7"/>
  <c r="BO694" i="7"/>
  <c r="BP694" i="7"/>
  <c r="BQ694" i="7"/>
  <c r="BR694" i="7"/>
  <c r="BS694" i="7"/>
  <c r="BT694" i="7"/>
  <c r="BU694" i="7"/>
  <c r="BV694" i="7"/>
  <c r="BW694" i="7"/>
  <c r="BX694" i="7"/>
  <c r="BY694" i="7"/>
  <c r="BX690" i="7"/>
  <c r="BY690" i="7"/>
  <c r="BP690" i="7"/>
  <c r="BL690" i="7"/>
  <c r="BM690" i="7"/>
  <c r="BO690" i="7"/>
  <c r="BX704" i="7"/>
  <c r="BY704" i="7"/>
  <c r="BR704" i="7"/>
  <c r="BS704" i="7"/>
  <c r="BS705" i="7" s="1"/>
  <c r="BS724" i="7" s="1"/>
  <c r="BS725" i="7" s="1"/>
  <c r="BL704" i="7"/>
  <c r="BM704" i="7"/>
  <c r="BP712" i="7"/>
  <c r="BQ712" i="7"/>
  <c r="BL717" i="7" l="1"/>
  <c r="BL724" i="7" s="1"/>
  <c r="BL725" i="7" s="1"/>
  <c r="BX705" i="7"/>
  <c r="BP705" i="7"/>
  <c r="BP724" i="7" s="1"/>
  <c r="BP725" i="7" s="1"/>
  <c r="BO705" i="7"/>
  <c r="BO724" i="7" s="1"/>
  <c r="BO725" i="7" s="1"/>
  <c r="BR705" i="7"/>
  <c r="BR724" i="7" s="1"/>
  <c r="BR725" i="7" s="1"/>
  <c r="BL705" i="7"/>
  <c r="BM705" i="7"/>
  <c r="BM724" i="7" s="1"/>
  <c r="BM725" i="7" s="1"/>
  <c r="BY705" i="7"/>
  <c r="AA134" i="7" l="1"/>
  <c r="BK17" i="7" l="1"/>
  <c r="BK14" i="7"/>
  <c r="BK13" i="7"/>
  <c r="BK163" i="7"/>
  <c r="BZ163" i="7" s="1"/>
  <c r="BK162" i="7"/>
  <c r="BT318" i="7"/>
  <c r="BK423" i="7"/>
  <c r="BK420" i="7"/>
  <c r="BT95" i="7"/>
  <c r="BT319" i="7"/>
  <c r="BT98" i="7"/>
  <c r="BT93" i="7"/>
  <c r="BZ93" i="7" s="1"/>
  <c r="BT19" i="7"/>
  <c r="AA140" i="7"/>
  <c r="BK140" i="7"/>
  <c r="BT88" i="7"/>
  <c r="BZ88" i="7" s="1"/>
  <c r="AG88" i="7"/>
  <c r="BT87" i="7"/>
  <c r="AG87" i="7"/>
  <c r="AA139" i="7"/>
  <c r="BZ139" i="7" s="1"/>
  <c r="BN715" i="7"/>
  <c r="BK328" i="7"/>
  <c r="BK330" i="7"/>
  <c r="BK72" i="7"/>
  <c r="BZ72" i="7" s="1"/>
  <c r="BK74" i="7"/>
  <c r="BK73" i="7"/>
  <c r="BK329" i="7"/>
  <c r="BK48" i="7"/>
  <c r="BZ48" i="7" s="1"/>
  <c r="D15" i="8" s="1"/>
  <c r="BK49" i="7"/>
  <c r="BK45" i="7"/>
  <c r="BK51" i="7"/>
  <c r="AP648" i="7"/>
  <c r="BZ648" i="7" s="1"/>
  <c r="BK253" i="7"/>
  <c r="BK327" i="7"/>
  <c r="BK534" i="7"/>
  <c r="BK76" i="7"/>
  <c r="BZ76" i="7" s="1"/>
  <c r="BK302" i="7"/>
  <c r="BK274" i="7"/>
  <c r="BW591" i="7"/>
  <c r="AY390" i="7"/>
  <c r="BZ390" i="7" s="1"/>
  <c r="BW637" i="7"/>
  <c r="BK668" i="7"/>
  <c r="BK528" i="7"/>
  <c r="BK444" i="7"/>
  <c r="BK443" i="7"/>
  <c r="BK465" i="7"/>
  <c r="BK659" i="7"/>
  <c r="BK460" i="7"/>
  <c r="BW100" i="7"/>
  <c r="BW648" i="7"/>
  <c r="BK11" i="7"/>
  <c r="BZ11" i="7" s="1"/>
  <c r="BK12" i="7"/>
  <c r="BZ12" i="7" s="1"/>
  <c r="D8" i="8" s="1"/>
  <c r="BZ13" i="7"/>
  <c r="BZ14" i="7"/>
  <c r="BK15" i="7"/>
  <c r="BZ15" i="7" s="1"/>
  <c r="BK16" i="7"/>
  <c r="BZ16" i="7" s="1"/>
  <c r="BZ17" i="7"/>
  <c r="BK18" i="7"/>
  <c r="BZ18" i="7" s="1"/>
  <c r="BZ19" i="7"/>
  <c r="BQ227" i="7"/>
  <c r="BK421" i="7"/>
  <c r="BZ421" i="7" s="1"/>
  <c r="BK178" i="7"/>
  <c r="BK177" i="7"/>
  <c r="BZ177" i="7" s="1"/>
  <c r="BK96" i="7"/>
  <c r="BK95" i="7"/>
  <c r="BK298" i="7"/>
  <c r="BB390" i="7"/>
  <c r="AY423" i="7"/>
  <c r="AY422" i="7"/>
  <c r="BZ422" i="7" s="1"/>
  <c r="BK464" i="7"/>
  <c r="BK415" i="7"/>
  <c r="BK414" i="7"/>
  <c r="BK410" i="7"/>
  <c r="BZ410" i="7" s="1"/>
  <c r="BK409" i="7"/>
  <c r="BK445" i="7"/>
  <c r="BK397" i="7"/>
  <c r="BN702" i="7"/>
  <c r="BZ702" i="7" s="1"/>
  <c r="BQ702" i="7"/>
  <c r="AY415" i="7"/>
  <c r="BE376" i="7"/>
  <c r="AY456" i="7"/>
  <c r="AY427" i="7"/>
  <c r="AY421" i="7"/>
  <c r="BK387" i="7"/>
  <c r="AY386" i="7"/>
  <c r="BZ386" i="7" s="1"/>
  <c r="AY376" i="7"/>
  <c r="AM625" i="7"/>
  <c r="BK156" i="7"/>
  <c r="BZ156" i="7" s="1"/>
  <c r="BK157" i="7"/>
  <c r="BZ157" i="7" s="1"/>
  <c r="BK158" i="7"/>
  <c r="BZ158" i="7" s="1"/>
  <c r="BK200" i="7"/>
  <c r="BZ200" i="7"/>
  <c r="BK192" i="7"/>
  <c r="BZ192" i="7" s="1"/>
  <c r="BZ193" i="7"/>
  <c r="BZ194" i="7"/>
  <c r="BZ195" i="7"/>
  <c r="BZ196" i="7"/>
  <c r="BK186" i="7"/>
  <c r="BZ186" i="7" s="1"/>
  <c r="BZ187" i="7" s="1"/>
  <c r="BZ188" i="7" s="1"/>
  <c r="BZ178" i="7"/>
  <c r="BK169" i="7"/>
  <c r="BZ169" i="7"/>
  <c r="BK170" i="7"/>
  <c r="BZ170" i="7" s="1"/>
  <c r="BK171" i="7"/>
  <c r="BZ171" i="7" s="1"/>
  <c r="BK172" i="7"/>
  <c r="BZ172" i="7" s="1"/>
  <c r="BK173" i="7"/>
  <c r="BZ173" i="7"/>
  <c r="BZ162" i="7"/>
  <c r="BK148" i="7"/>
  <c r="BZ148" i="7"/>
  <c r="BZ149" i="7"/>
  <c r="BK150" i="7"/>
  <c r="BZ150" i="7" s="1"/>
  <c r="BK151" i="7"/>
  <c r="BZ151" i="7" s="1"/>
  <c r="BK152" i="7"/>
  <c r="BZ152" i="7"/>
  <c r="BZ140" i="7"/>
  <c r="BZ141" i="7"/>
  <c r="BZ142" i="7"/>
  <c r="AA131" i="7"/>
  <c r="BZ131" i="7" s="1"/>
  <c r="BK131" i="7"/>
  <c r="BZ132" i="7"/>
  <c r="AA133" i="7"/>
  <c r="BZ133" i="7" s="1"/>
  <c r="BZ134" i="7"/>
  <c r="BZ135" i="7"/>
  <c r="BZ121" i="7"/>
  <c r="BZ122" i="7" s="1"/>
  <c r="BZ123" i="7" s="1"/>
  <c r="BZ124" i="7" s="1"/>
  <c r="X108" i="7"/>
  <c r="BH108" i="7"/>
  <c r="BH109" i="7"/>
  <c r="BZ109" i="7" s="1"/>
  <c r="D29" i="8" s="1"/>
  <c r="BZ110" i="7"/>
  <c r="BZ111" i="7"/>
  <c r="BZ112" i="7"/>
  <c r="BZ113" i="7"/>
  <c r="X92" i="7"/>
  <c r="BZ92" i="7" s="1"/>
  <c r="X94" i="7"/>
  <c r="BZ94" i="7" s="1"/>
  <c r="BT94" i="7"/>
  <c r="BZ95" i="7"/>
  <c r="BT96" i="7"/>
  <c r="BZ96" i="7" s="1"/>
  <c r="BZ97" i="7"/>
  <c r="BZ98" i="7"/>
  <c r="BZ99" i="7"/>
  <c r="BZ100" i="7"/>
  <c r="AG86" i="7"/>
  <c r="BZ86" i="7" s="1"/>
  <c r="BK86" i="7"/>
  <c r="BZ87" i="7"/>
  <c r="BK75" i="7"/>
  <c r="BZ75" i="7" s="1"/>
  <c r="AD73" i="7"/>
  <c r="BZ73" i="7" s="1"/>
  <c r="AD74" i="7"/>
  <c r="BZ74" i="7" s="1"/>
  <c r="BZ29" i="7"/>
  <c r="BZ33" i="7"/>
  <c r="BZ34" i="7" s="1"/>
  <c r="BZ39" i="7"/>
  <c r="BZ40" i="7"/>
  <c r="BZ41" i="7" s="1"/>
  <c r="BZ45" i="7"/>
  <c r="BZ46" i="7"/>
  <c r="BZ47" i="7"/>
  <c r="BZ49" i="7"/>
  <c r="BK50" i="7"/>
  <c r="BZ50" i="7" s="1"/>
  <c r="BZ51" i="7"/>
  <c r="D17" i="8" s="1"/>
  <c r="BK52" i="7"/>
  <c r="BZ52" i="7"/>
  <c r="BZ53" i="7"/>
  <c r="BK54" i="7"/>
  <c r="BZ54" i="7" s="1"/>
  <c r="BK55" i="7"/>
  <c r="BZ55" i="7" s="1"/>
  <c r="BK56" i="7"/>
  <c r="BZ56" i="7" s="1"/>
  <c r="BZ57" i="7"/>
  <c r="BZ58" i="7"/>
  <c r="BZ59" i="7"/>
  <c r="BZ60" i="7"/>
  <c r="BK61" i="7"/>
  <c r="BZ61" i="7" s="1"/>
  <c r="BZ62" i="7"/>
  <c r="BZ675" i="7"/>
  <c r="BK676" i="7"/>
  <c r="BZ676" i="7" s="1"/>
  <c r="BZ677" i="7"/>
  <c r="BZ668" i="7"/>
  <c r="D132" i="8" s="1"/>
  <c r="BZ669" i="7"/>
  <c r="BZ663" i="7"/>
  <c r="BZ665" i="7" s="1"/>
  <c r="BZ664" i="7"/>
  <c r="BZ657" i="7"/>
  <c r="D129" i="8" s="1"/>
  <c r="BZ658" i="7"/>
  <c r="BZ659" i="7"/>
  <c r="BZ653" i="7"/>
  <c r="BZ654" i="7"/>
  <c r="BZ647" i="7"/>
  <c r="AS648" i="7"/>
  <c r="BZ649" i="7"/>
  <c r="AS641" i="7"/>
  <c r="BZ641" i="7"/>
  <c r="BZ642" i="7" s="1"/>
  <c r="BZ637" i="7"/>
  <c r="BZ633" i="7"/>
  <c r="BZ634" i="7" s="1"/>
  <c r="BZ625" i="7"/>
  <c r="AM626" i="7"/>
  <c r="BZ626" i="7"/>
  <c r="AM627" i="7"/>
  <c r="BZ627" i="7" s="1"/>
  <c r="AM620" i="7"/>
  <c r="BZ620" i="7" s="1"/>
  <c r="BZ621" i="7"/>
  <c r="AM613" i="7"/>
  <c r="BZ613" i="7"/>
  <c r="AM614" i="7"/>
  <c r="BZ614" i="7" s="1"/>
  <c r="AM615" i="7"/>
  <c r="BZ615" i="7" s="1"/>
  <c r="AM616" i="7"/>
  <c r="BZ616" i="7" s="1"/>
  <c r="AM607" i="7"/>
  <c r="BZ607" i="7" s="1"/>
  <c r="BZ608" i="7"/>
  <c r="AV609" i="7"/>
  <c r="BZ609" i="7"/>
  <c r="BZ602" i="7"/>
  <c r="BZ603" i="7"/>
  <c r="D120" i="8" s="1"/>
  <c r="BZ597" i="7"/>
  <c r="BZ599" i="7" s="1"/>
  <c r="BZ598" i="7"/>
  <c r="BZ589" i="7"/>
  <c r="D116" i="8" s="1"/>
  <c r="BZ590" i="7"/>
  <c r="AM591" i="7"/>
  <c r="BZ591" i="7" s="1"/>
  <c r="AM592" i="7"/>
  <c r="BZ592" i="7" s="1"/>
  <c r="BZ593" i="7"/>
  <c r="BZ583" i="7"/>
  <c r="BZ584" i="7"/>
  <c r="BZ585" i="7"/>
  <c r="AM577" i="7"/>
  <c r="BZ577" i="7" s="1"/>
  <c r="AM578" i="7"/>
  <c r="BZ578" i="7" s="1"/>
  <c r="AM579" i="7"/>
  <c r="BZ579" i="7" s="1"/>
  <c r="BZ570" i="7"/>
  <c r="BZ571" i="7"/>
  <c r="BZ572" i="7"/>
  <c r="BZ573" i="7"/>
  <c r="BZ565" i="7"/>
  <c r="BZ566" i="7"/>
  <c r="AM557" i="7"/>
  <c r="BZ557" i="7" s="1"/>
  <c r="BZ558" i="7"/>
  <c r="BZ559" i="7"/>
  <c r="BZ547" i="7"/>
  <c r="BZ548" i="7" s="1"/>
  <c r="BZ549" i="7" s="1"/>
  <c r="BZ550" i="7" s="1"/>
  <c r="BZ551" i="7" s="1"/>
  <c r="C14" i="6" s="1"/>
  <c r="BZ534" i="7"/>
  <c r="BK535" i="7"/>
  <c r="BZ535" i="7" s="1"/>
  <c r="U536" i="7"/>
  <c r="BZ536" i="7" s="1"/>
  <c r="U537" i="7"/>
  <c r="BZ537" i="7"/>
  <c r="BZ528" i="7"/>
  <c r="BZ529" i="7"/>
  <c r="BK524" i="7"/>
  <c r="BZ524" i="7" s="1"/>
  <c r="BK520" i="7"/>
  <c r="BZ520" i="7" s="1"/>
  <c r="BK515" i="7"/>
  <c r="BZ515" i="7" s="1"/>
  <c r="D102" i="8" s="1"/>
  <c r="BK516" i="7"/>
  <c r="BZ516" i="7" s="1"/>
  <c r="D103" i="8" s="1"/>
  <c r="BK510" i="7"/>
  <c r="BZ510" i="7"/>
  <c r="D100" i="8" s="1"/>
  <c r="BK511" i="7"/>
  <c r="BZ511" i="7" s="1"/>
  <c r="D101" i="8" s="1"/>
  <c r="BK504" i="7"/>
  <c r="BZ504" i="7" s="1"/>
  <c r="BZ498" i="7"/>
  <c r="BK499" i="7"/>
  <c r="BZ499" i="7"/>
  <c r="BK500" i="7"/>
  <c r="BZ500" i="7"/>
  <c r="BK492" i="7"/>
  <c r="BZ492" i="7" s="1"/>
  <c r="BK493" i="7"/>
  <c r="BZ493" i="7" s="1"/>
  <c r="BK494" i="7"/>
  <c r="BZ494" i="7" s="1"/>
  <c r="BK488" i="7"/>
  <c r="BZ488" i="7" s="1"/>
  <c r="BK481" i="7"/>
  <c r="BZ481" i="7" s="1"/>
  <c r="BK482" i="7"/>
  <c r="BZ482" i="7" s="1"/>
  <c r="BZ471" i="7"/>
  <c r="BZ472" i="7" s="1"/>
  <c r="BZ473" i="7" s="1"/>
  <c r="BZ464" i="7"/>
  <c r="BZ465" i="7"/>
  <c r="BZ456" i="7"/>
  <c r="BZ457" i="7" s="1"/>
  <c r="BK451" i="7"/>
  <c r="BZ451" i="7"/>
  <c r="BZ453" i="7" s="1"/>
  <c r="BZ452" i="7"/>
  <c r="BK441" i="7"/>
  <c r="BZ441" i="7" s="1"/>
  <c r="BZ442" i="7"/>
  <c r="AY443" i="7"/>
  <c r="BZ443" i="7" s="1"/>
  <c r="AY444" i="7"/>
  <c r="BZ444" i="7" s="1"/>
  <c r="AJ445" i="7"/>
  <c r="AY445" i="7"/>
  <c r="BZ445" i="7" s="1"/>
  <c r="D93" i="8" s="1"/>
  <c r="BZ433" i="7"/>
  <c r="BZ434" i="7"/>
  <c r="BK435" i="7"/>
  <c r="BZ435" i="7" s="1"/>
  <c r="BZ436" i="7"/>
  <c r="BK437" i="7"/>
  <c r="BZ437" i="7" s="1"/>
  <c r="BZ427" i="7"/>
  <c r="BZ423" i="7"/>
  <c r="BK407" i="7"/>
  <c r="BZ407" i="7"/>
  <c r="BZ408" i="7"/>
  <c r="BZ409" i="7"/>
  <c r="BK411" i="7"/>
  <c r="BZ411" i="7" s="1"/>
  <c r="BZ412" i="7"/>
  <c r="BZ413" i="7"/>
  <c r="BZ414" i="7"/>
  <c r="BZ415" i="7"/>
  <c r="BZ416" i="7"/>
  <c r="BZ396" i="7"/>
  <c r="BZ397" i="7"/>
  <c r="BZ398" i="7"/>
  <c r="BZ399" i="7"/>
  <c r="BZ400" i="7"/>
  <c r="BZ401" i="7"/>
  <c r="BZ402" i="7"/>
  <c r="BZ403" i="7"/>
  <c r="BZ404" i="7"/>
  <c r="BZ381" i="7"/>
  <c r="BZ382" i="7"/>
  <c r="BZ383" i="7"/>
  <c r="D80" i="8" s="1"/>
  <c r="BZ384" i="7"/>
  <c r="BZ385" i="7"/>
  <c r="AJ375" i="7"/>
  <c r="BK375" i="7"/>
  <c r="AJ376" i="7"/>
  <c r="BK376" i="7"/>
  <c r="BZ376" i="7"/>
  <c r="AJ377" i="7"/>
  <c r="BZ377" i="7" s="1"/>
  <c r="BK365" i="7"/>
  <c r="BZ365" i="7" s="1"/>
  <c r="BK358" i="7"/>
  <c r="BZ358" i="7"/>
  <c r="BZ360" i="7" s="1"/>
  <c r="BZ361" i="7" s="1"/>
  <c r="BZ359" i="7"/>
  <c r="BK344" i="7"/>
  <c r="BZ344" i="7" s="1"/>
  <c r="BZ345" i="7"/>
  <c r="BK346" i="7"/>
  <c r="BZ346" i="7" s="1"/>
  <c r="BZ347" i="7"/>
  <c r="BK348" i="7"/>
  <c r="BZ348" i="7"/>
  <c r="BK334" i="7"/>
  <c r="BZ334" i="7" s="1"/>
  <c r="BK335" i="7"/>
  <c r="BZ335" i="7" s="1"/>
  <c r="BK336" i="7"/>
  <c r="BZ336" i="7" s="1"/>
  <c r="BZ327" i="7"/>
  <c r="D68" i="8" s="1"/>
  <c r="BZ328" i="7"/>
  <c r="BZ329" i="7"/>
  <c r="BZ330" i="7"/>
  <c r="BZ318" i="7"/>
  <c r="BZ319" i="7"/>
  <c r="BZ320" i="7"/>
  <c r="BZ321" i="7"/>
  <c r="BZ322" i="7"/>
  <c r="D73" i="8" s="1"/>
  <c r="BK323" i="7"/>
  <c r="BZ323" i="7"/>
  <c r="D71" i="8" s="1"/>
  <c r="BK311" i="7"/>
  <c r="BZ311" i="7" s="1"/>
  <c r="BZ312" i="7"/>
  <c r="BK313" i="7"/>
  <c r="BZ313" i="7"/>
  <c r="BK314" i="7"/>
  <c r="BZ314" i="7"/>
  <c r="BZ298" i="7"/>
  <c r="BZ299" i="7"/>
  <c r="BZ300" i="7"/>
  <c r="BZ301" i="7"/>
  <c r="BZ302" i="7"/>
  <c r="BZ303" i="7"/>
  <c r="BH293" i="7"/>
  <c r="BZ293" i="7" s="1"/>
  <c r="BK294" i="7"/>
  <c r="BZ294" i="7" s="1"/>
  <c r="BK284" i="7"/>
  <c r="BZ284" i="7" s="1"/>
  <c r="BZ285" i="7"/>
  <c r="BZ286" i="7"/>
  <c r="BK287" i="7"/>
  <c r="BZ287" i="7" s="1"/>
  <c r="BK288" i="7"/>
  <c r="BZ288" i="7" s="1"/>
  <c r="BZ289" i="7"/>
  <c r="BQ274" i="7"/>
  <c r="BZ274" i="7" s="1"/>
  <c r="BZ275" i="7" s="1"/>
  <c r="BK270" i="7"/>
  <c r="BZ270" i="7" s="1"/>
  <c r="BZ265" i="7"/>
  <c r="BZ266" i="7"/>
  <c r="D59" i="8" s="1"/>
  <c r="BK257" i="7"/>
  <c r="BZ257" i="7"/>
  <c r="BZ260" i="7" s="1"/>
  <c r="BZ258" i="7"/>
  <c r="BZ259" i="7"/>
  <c r="BK250" i="7"/>
  <c r="BZ250" i="7" s="1"/>
  <c r="BK251" i="7"/>
  <c r="BZ251" i="7" s="1"/>
  <c r="BK252" i="7"/>
  <c r="BZ252" i="7" s="1"/>
  <c r="BZ253" i="7"/>
  <c r="BK242" i="7"/>
  <c r="BZ242" i="7" s="1"/>
  <c r="BK243" i="7"/>
  <c r="BZ243" i="7" s="1"/>
  <c r="BK244" i="7"/>
  <c r="BZ244" i="7" s="1"/>
  <c r="BZ245" i="7"/>
  <c r="BK246" i="7"/>
  <c r="BZ246" i="7"/>
  <c r="BK231" i="7"/>
  <c r="BZ231" i="7"/>
  <c r="BK232" i="7"/>
  <c r="BZ232" i="7"/>
  <c r="BK227" i="7"/>
  <c r="BZ227" i="7" s="1"/>
  <c r="R221" i="7"/>
  <c r="BZ221" i="7" s="1"/>
  <c r="BZ217" i="7"/>
  <c r="BZ218" i="7"/>
  <c r="R210" i="7"/>
  <c r="BZ210" i="7"/>
  <c r="D48" i="8" s="1"/>
  <c r="BK211" i="7"/>
  <c r="BZ211" i="7"/>
  <c r="R212" i="7"/>
  <c r="BK212" i="7"/>
  <c r="BZ212" i="7" s="1"/>
  <c r="R213" i="7"/>
  <c r="BK213" i="7"/>
  <c r="BZ747" i="7"/>
  <c r="BZ748" i="7"/>
  <c r="BZ750" i="7" s="1"/>
  <c r="BZ751" i="7" s="1"/>
  <c r="BZ752" i="7" s="1"/>
  <c r="BZ753" i="7" s="1"/>
  <c r="BZ749" i="7"/>
  <c r="BZ734" i="7"/>
  <c r="BZ735" i="7"/>
  <c r="BQ736" i="7"/>
  <c r="BZ736" i="7" s="1"/>
  <c r="BZ737" i="7"/>
  <c r="BZ731" i="7"/>
  <c r="BZ732" i="7" s="1"/>
  <c r="BZ721" i="7"/>
  <c r="BZ722" i="7" s="1"/>
  <c r="BZ723" i="7" s="1"/>
  <c r="BZ715" i="7"/>
  <c r="D139" i="8" s="1"/>
  <c r="BW709" i="7"/>
  <c r="BZ709" i="7" s="1"/>
  <c r="BK710" i="7"/>
  <c r="BZ710" i="7" s="1"/>
  <c r="BW710" i="7"/>
  <c r="BW711" i="7"/>
  <c r="BZ711" i="7" s="1"/>
  <c r="BN701" i="7"/>
  <c r="BZ701" i="7" s="1"/>
  <c r="BN703" i="7"/>
  <c r="BZ703" i="7" s="1"/>
  <c r="BN697" i="7"/>
  <c r="BN698" i="7" s="1"/>
  <c r="BZ697" i="7"/>
  <c r="BZ698" i="7" s="1"/>
  <c r="BZ693" i="7"/>
  <c r="BZ694" i="7" s="1"/>
  <c r="BN688" i="7"/>
  <c r="BN690" i="7" s="1"/>
  <c r="BK689" i="7"/>
  <c r="BZ689" i="7" s="1"/>
  <c r="D140" i="8"/>
  <c r="D131" i="8"/>
  <c r="D130" i="8"/>
  <c r="D128" i="8"/>
  <c r="D124" i="8"/>
  <c r="D119" i="8"/>
  <c r="D118" i="8"/>
  <c r="D115" i="8"/>
  <c r="D109" i="8"/>
  <c r="D108" i="8" s="1"/>
  <c r="D106" i="8"/>
  <c r="D92" i="8"/>
  <c r="D89" i="8"/>
  <c r="D88" i="8"/>
  <c r="D77" i="8"/>
  <c r="D76" i="8"/>
  <c r="D72" i="8"/>
  <c r="D65" i="8"/>
  <c r="D61" i="8"/>
  <c r="D58" i="8"/>
  <c r="D50" i="8"/>
  <c r="D46" i="8"/>
  <c r="D44" i="8"/>
  <c r="D35" i="8"/>
  <c r="D34" i="8"/>
  <c r="D33" i="8"/>
  <c r="D32" i="8"/>
  <c r="D31" i="8"/>
  <c r="D30" i="8"/>
  <c r="D19" i="8"/>
  <c r="D18" i="8"/>
  <c r="D16" i="8"/>
  <c r="D14" i="8"/>
  <c r="D10" i="8"/>
  <c r="D9" i="8"/>
  <c r="AP754" i="7"/>
  <c r="AM754" i="7"/>
  <c r="BW750" i="7"/>
  <c r="BW751" i="7" s="1"/>
  <c r="BW752" i="7" s="1"/>
  <c r="BW753" i="7" s="1"/>
  <c r="BT750" i="7"/>
  <c r="BT751" i="7" s="1"/>
  <c r="BT752" i="7" s="1"/>
  <c r="BT753" i="7" s="1"/>
  <c r="BQ750" i="7"/>
  <c r="BQ751" i="7" s="1"/>
  <c r="BQ752" i="7" s="1"/>
  <c r="BQ753" i="7" s="1"/>
  <c r="BK750" i="7"/>
  <c r="BK751" i="7" s="1"/>
  <c r="BK752" i="7"/>
  <c r="BK753" i="7" s="1"/>
  <c r="BH750" i="7"/>
  <c r="BH751" i="7" s="1"/>
  <c r="BH752" i="7" s="1"/>
  <c r="BH753" i="7" s="1"/>
  <c r="BE750" i="7"/>
  <c r="BE751" i="7" s="1"/>
  <c r="BE752" i="7" s="1"/>
  <c r="BE753" i="7" s="1"/>
  <c r="BB750" i="7"/>
  <c r="BB751" i="7" s="1"/>
  <c r="BB752" i="7" s="1"/>
  <c r="BB753" i="7" s="1"/>
  <c r="AY750" i="7"/>
  <c r="AY751" i="7" s="1"/>
  <c r="AY752" i="7" s="1"/>
  <c r="AY753" i="7" s="1"/>
  <c r="AV750" i="7"/>
  <c r="AV751" i="7" s="1"/>
  <c r="AV752" i="7" s="1"/>
  <c r="AV753" i="7" s="1"/>
  <c r="AS750" i="7"/>
  <c r="AS751" i="7" s="1"/>
  <c r="AS752" i="7" s="1"/>
  <c r="AS753" i="7" s="1"/>
  <c r="AJ750" i="7"/>
  <c r="AJ751" i="7" s="1"/>
  <c r="AJ752" i="7" s="1"/>
  <c r="AJ753" i="7" s="1"/>
  <c r="AG750" i="7"/>
  <c r="AG751" i="7" s="1"/>
  <c r="AG752" i="7" s="1"/>
  <c r="AG753" i="7" s="1"/>
  <c r="AD750" i="7"/>
  <c r="AD751" i="7" s="1"/>
  <c r="AD752" i="7" s="1"/>
  <c r="AD753" i="7" s="1"/>
  <c r="AA750" i="7"/>
  <c r="AA751" i="7" s="1"/>
  <c r="AA752" i="7" s="1"/>
  <c r="AA753" i="7" s="1"/>
  <c r="X750" i="7"/>
  <c r="X751" i="7" s="1"/>
  <c r="X752" i="7" s="1"/>
  <c r="X753" i="7" s="1"/>
  <c r="U750" i="7"/>
  <c r="U751" i="7" s="1"/>
  <c r="U752" i="7" s="1"/>
  <c r="U753" i="7" s="1"/>
  <c r="R750" i="7"/>
  <c r="R751" i="7" s="1"/>
  <c r="R752" i="7" s="1"/>
  <c r="R753" i="7" s="1"/>
  <c r="CB749" i="7"/>
  <c r="CA749" i="7"/>
  <c r="CB748" i="7"/>
  <c r="CA748" i="7"/>
  <c r="CB747" i="7"/>
  <c r="CA747" i="7"/>
  <c r="BW738" i="7"/>
  <c r="BT738" i="7"/>
  <c r="BK738" i="7"/>
  <c r="BH738" i="7"/>
  <c r="BH739" i="7" s="1"/>
  <c r="BH740" i="7" s="1"/>
  <c r="BH741" i="7" s="1"/>
  <c r="BE738" i="7"/>
  <c r="BE739" i="7" s="1"/>
  <c r="BE740" i="7" s="1"/>
  <c r="BE741" i="7" s="1"/>
  <c r="BB738" i="7"/>
  <c r="BB739" i="7" s="1"/>
  <c r="BB740" i="7" s="1"/>
  <c r="BB741" i="7" s="1"/>
  <c r="AY738" i="7"/>
  <c r="AY739" i="7" s="1"/>
  <c r="AY740" i="7" s="1"/>
  <c r="AY741" i="7" s="1"/>
  <c r="AV738" i="7"/>
  <c r="AV739" i="7" s="1"/>
  <c r="AV740" i="7" s="1"/>
  <c r="AV741" i="7" s="1"/>
  <c r="AS738" i="7"/>
  <c r="AS739" i="7" s="1"/>
  <c r="AS740" i="7" s="1"/>
  <c r="AS741" i="7" s="1"/>
  <c r="AP738" i="7"/>
  <c r="AM738" i="7"/>
  <c r="AJ738" i="7"/>
  <c r="AJ739" i="7"/>
  <c r="AJ740" i="7" s="1"/>
  <c r="AJ741" i="7" s="1"/>
  <c r="AG738" i="7"/>
  <c r="AG739" i="7" s="1"/>
  <c r="AG740" i="7" s="1"/>
  <c r="AG741" i="7" s="1"/>
  <c r="AD738" i="7"/>
  <c r="AD739" i="7"/>
  <c r="AD740" i="7" s="1"/>
  <c r="AD741" i="7" s="1"/>
  <c r="AA738" i="7"/>
  <c r="AA739" i="7" s="1"/>
  <c r="AA740" i="7" s="1"/>
  <c r="AA741" i="7" s="1"/>
  <c r="X738" i="7"/>
  <c r="X739" i="7" s="1"/>
  <c r="X740" i="7" s="1"/>
  <c r="X741" i="7" s="1"/>
  <c r="U738" i="7"/>
  <c r="U739" i="7" s="1"/>
  <c r="U740" i="7" s="1"/>
  <c r="U741" i="7" s="1"/>
  <c r="R738" i="7"/>
  <c r="R739" i="7" s="1"/>
  <c r="R740" i="7" s="1"/>
  <c r="R741" i="7" s="1"/>
  <c r="CB737" i="7"/>
  <c r="CA737" i="7"/>
  <c r="CB736" i="7"/>
  <c r="CA736" i="7"/>
  <c r="CB735" i="7"/>
  <c r="CA735" i="7"/>
  <c r="CB734" i="7"/>
  <c r="CA734" i="7"/>
  <c r="BW732" i="7"/>
  <c r="BT732" i="7"/>
  <c r="BQ732" i="7"/>
  <c r="BN732" i="7"/>
  <c r="BK732" i="7"/>
  <c r="BH732" i="7"/>
  <c r="BE732" i="7"/>
  <c r="BB732" i="7"/>
  <c r="AY732" i="7"/>
  <c r="AV732" i="7"/>
  <c r="AS732" i="7"/>
  <c r="AP732" i="7"/>
  <c r="AM732" i="7"/>
  <c r="AJ732" i="7"/>
  <c r="AG732" i="7"/>
  <c r="AD732" i="7"/>
  <c r="AA732" i="7"/>
  <c r="X732" i="7"/>
  <c r="U732" i="7"/>
  <c r="R732" i="7"/>
  <c r="CB731" i="7"/>
  <c r="CB732" i="7" s="1"/>
  <c r="CA731" i="7"/>
  <c r="CA732" i="7" s="1"/>
  <c r="BW722" i="7"/>
  <c r="BW723" i="7" s="1"/>
  <c r="BT722" i="7"/>
  <c r="BT723" i="7" s="1"/>
  <c r="BQ722" i="7"/>
  <c r="BQ723" i="7" s="1"/>
  <c r="BN722" i="7"/>
  <c r="BN723" i="7"/>
  <c r="BK722" i="7"/>
  <c r="BK723" i="7" s="1"/>
  <c r="BH722" i="7"/>
  <c r="BH723" i="7" s="1"/>
  <c r="BE722" i="7"/>
  <c r="BE723" i="7" s="1"/>
  <c r="BB722" i="7"/>
  <c r="BB723" i="7"/>
  <c r="AY722" i="7"/>
  <c r="AY723" i="7" s="1"/>
  <c r="AV722" i="7"/>
  <c r="AV723" i="7" s="1"/>
  <c r="AS722" i="7"/>
  <c r="AS723" i="7" s="1"/>
  <c r="AJ722" i="7"/>
  <c r="AJ723" i="7"/>
  <c r="AG722" i="7"/>
  <c r="AG723" i="7" s="1"/>
  <c r="AD722" i="7"/>
  <c r="AD723" i="7" s="1"/>
  <c r="AA722" i="7"/>
  <c r="AA723" i="7" s="1"/>
  <c r="X722" i="7"/>
  <c r="X723" i="7"/>
  <c r="U722" i="7"/>
  <c r="U723" i="7" s="1"/>
  <c r="R722" i="7"/>
  <c r="R723" i="7" s="1"/>
  <c r="CB721" i="7"/>
  <c r="CB722" i="7" s="1"/>
  <c r="CB723" i="7" s="1"/>
  <c r="CA721" i="7"/>
  <c r="CA722" i="7"/>
  <c r="CA723" i="7" s="1"/>
  <c r="BW716" i="7"/>
  <c r="BT716" i="7"/>
  <c r="BQ716" i="7"/>
  <c r="BN716" i="7"/>
  <c r="BN717" i="7" s="1"/>
  <c r="BK716" i="7"/>
  <c r="BH716" i="7"/>
  <c r="BE716" i="7"/>
  <c r="BB716" i="7"/>
  <c r="AY716" i="7"/>
  <c r="AV716" i="7"/>
  <c r="AS716" i="7"/>
  <c r="AJ716" i="7"/>
  <c r="AG716" i="7"/>
  <c r="AD716" i="7"/>
  <c r="AA716" i="7"/>
  <c r="X716" i="7"/>
  <c r="U716" i="7"/>
  <c r="R716" i="7"/>
  <c r="CB715" i="7"/>
  <c r="CB716" i="7" s="1"/>
  <c r="CA715" i="7"/>
  <c r="CA716" i="7" s="1"/>
  <c r="BT712" i="7"/>
  <c r="BH712" i="7"/>
  <c r="BE712" i="7"/>
  <c r="BB712" i="7"/>
  <c r="AY712" i="7"/>
  <c r="AV712" i="7"/>
  <c r="AS712" i="7"/>
  <c r="AJ712" i="7"/>
  <c r="AG712" i="7"/>
  <c r="AD712" i="7"/>
  <c r="AA712" i="7"/>
  <c r="X712" i="7"/>
  <c r="U712" i="7"/>
  <c r="R712" i="7"/>
  <c r="CB711" i="7"/>
  <c r="CA711" i="7"/>
  <c r="CB710" i="7"/>
  <c r="CA710" i="7"/>
  <c r="BK712" i="7"/>
  <c r="CB709" i="7"/>
  <c r="CA709" i="7"/>
  <c r="BW704" i="7"/>
  <c r="BT704" i="7"/>
  <c r="BK704" i="7"/>
  <c r="BH704" i="7"/>
  <c r="BE704" i="7"/>
  <c r="BB704" i="7"/>
  <c r="AY704" i="7"/>
  <c r="AV704" i="7"/>
  <c r="AS704" i="7"/>
  <c r="AJ704" i="7"/>
  <c r="AG704" i="7"/>
  <c r="AD704" i="7"/>
  <c r="AA704" i="7"/>
  <c r="X704" i="7"/>
  <c r="U704" i="7"/>
  <c r="R704" i="7"/>
  <c r="CB703" i="7"/>
  <c r="CA703" i="7"/>
  <c r="CB702" i="7"/>
  <c r="CA702" i="7"/>
  <c r="BQ704" i="7"/>
  <c r="CB701" i="7"/>
  <c r="CA701" i="7"/>
  <c r="BK698" i="7"/>
  <c r="BH698" i="7"/>
  <c r="BE698" i="7"/>
  <c r="BB698" i="7"/>
  <c r="AY698" i="7"/>
  <c r="AV698" i="7"/>
  <c r="AS698" i="7"/>
  <c r="AJ698" i="7"/>
  <c r="AG698" i="7"/>
  <c r="AD698" i="7"/>
  <c r="AA698" i="7"/>
  <c r="X698" i="7"/>
  <c r="U698" i="7"/>
  <c r="R698" i="7"/>
  <c r="CB697" i="7"/>
  <c r="CB698" i="7" s="1"/>
  <c r="CA697" i="7"/>
  <c r="CA698" i="7" s="1"/>
  <c r="BK694" i="7"/>
  <c r="BH694" i="7"/>
  <c r="BE694" i="7"/>
  <c r="BB694" i="7"/>
  <c r="AY694" i="7"/>
  <c r="AV694" i="7"/>
  <c r="AS694" i="7"/>
  <c r="AJ694" i="7"/>
  <c r="AG694" i="7"/>
  <c r="AD694" i="7"/>
  <c r="AA694" i="7"/>
  <c r="X694" i="7"/>
  <c r="U694" i="7"/>
  <c r="R694" i="7"/>
  <c r="CB693" i="7"/>
  <c r="CB694" i="7" s="1"/>
  <c r="CA693" i="7"/>
  <c r="CA694" i="7" s="1"/>
  <c r="BW690" i="7"/>
  <c r="BT690" i="7"/>
  <c r="BQ690" i="7"/>
  <c r="BH690" i="7"/>
  <c r="BE690" i="7"/>
  <c r="BB690" i="7"/>
  <c r="AY690" i="7"/>
  <c r="AV690" i="7"/>
  <c r="AS690" i="7"/>
  <c r="AP690" i="7"/>
  <c r="AM690" i="7"/>
  <c r="AJ690" i="7"/>
  <c r="AG690" i="7"/>
  <c r="AD690" i="7"/>
  <c r="AA690" i="7"/>
  <c r="X690" i="7"/>
  <c r="U690" i="7"/>
  <c r="R690" i="7"/>
  <c r="Q690" i="7"/>
  <c r="CB689" i="7"/>
  <c r="CA689" i="7"/>
  <c r="BK690" i="7"/>
  <c r="CB688" i="7"/>
  <c r="CA688" i="7"/>
  <c r="BY678" i="7"/>
  <c r="BY679" i="7" s="1"/>
  <c r="BX678" i="7"/>
  <c r="BX679" i="7" s="1"/>
  <c r="BW678" i="7"/>
  <c r="BW679" i="7" s="1"/>
  <c r="BV678" i="7"/>
  <c r="BV679" i="7" s="1"/>
  <c r="BU678" i="7"/>
  <c r="BU679" i="7" s="1"/>
  <c r="BT678" i="7"/>
  <c r="BT679" i="7"/>
  <c r="BS678" i="7"/>
  <c r="BS679" i="7" s="1"/>
  <c r="BR678" i="7"/>
  <c r="BR679" i="7" s="1"/>
  <c r="BQ678" i="7"/>
  <c r="BQ679" i="7" s="1"/>
  <c r="BP678" i="7"/>
  <c r="BP679" i="7" s="1"/>
  <c r="BO678" i="7"/>
  <c r="BO679" i="7" s="1"/>
  <c r="BN678" i="7"/>
  <c r="BN679" i="7" s="1"/>
  <c r="BM678" i="7"/>
  <c r="BM679" i="7" s="1"/>
  <c r="BL678" i="7"/>
  <c r="BL679" i="7" s="1"/>
  <c r="BJ678" i="7"/>
  <c r="BJ679" i="7" s="1"/>
  <c r="BI678" i="7"/>
  <c r="BI679" i="7" s="1"/>
  <c r="BH678" i="7"/>
  <c r="BH679" i="7"/>
  <c r="BG678" i="7"/>
  <c r="BG679" i="7" s="1"/>
  <c r="BF678" i="7"/>
  <c r="BF679" i="7" s="1"/>
  <c r="BE678" i="7"/>
  <c r="BE679" i="7" s="1"/>
  <c r="BD678" i="7"/>
  <c r="BD679" i="7" s="1"/>
  <c r="BC678" i="7"/>
  <c r="BC679" i="7" s="1"/>
  <c r="BB678" i="7"/>
  <c r="BB679" i="7" s="1"/>
  <c r="BA678" i="7"/>
  <c r="BA679" i="7" s="1"/>
  <c r="AZ678" i="7"/>
  <c r="AZ679" i="7"/>
  <c r="AY678" i="7"/>
  <c r="AY679" i="7" s="1"/>
  <c r="AX678" i="7"/>
  <c r="AX679" i="7" s="1"/>
  <c r="AW678" i="7"/>
  <c r="AW679" i="7" s="1"/>
  <c r="AV678" i="7"/>
  <c r="AV679" i="7" s="1"/>
  <c r="AU678" i="7"/>
  <c r="AU679" i="7" s="1"/>
  <c r="AT678" i="7"/>
  <c r="AT679" i="7" s="1"/>
  <c r="AS678" i="7"/>
  <c r="AS679" i="7" s="1"/>
  <c r="AR678" i="7"/>
  <c r="AR679" i="7" s="1"/>
  <c r="AQ678" i="7"/>
  <c r="AQ679" i="7" s="1"/>
  <c r="AP678" i="7"/>
  <c r="AP679" i="7" s="1"/>
  <c r="AO678" i="7"/>
  <c r="AO679" i="7"/>
  <c r="AN678" i="7"/>
  <c r="AN679" i="7" s="1"/>
  <c r="AM678" i="7"/>
  <c r="AM679" i="7" s="1"/>
  <c r="AL678" i="7"/>
  <c r="AL679" i="7" s="1"/>
  <c r="AK678" i="7"/>
  <c r="AK679" i="7" s="1"/>
  <c r="AJ678" i="7"/>
  <c r="AJ679" i="7" s="1"/>
  <c r="AI678" i="7"/>
  <c r="AI679" i="7" s="1"/>
  <c r="AH678" i="7"/>
  <c r="AH679" i="7" s="1"/>
  <c r="AG678" i="7"/>
  <c r="AG679" i="7"/>
  <c r="AF678" i="7"/>
  <c r="AF679" i="7" s="1"/>
  <c r="AE678" i="7"/>
  <c r="AE679" i="7" s="1"/>
  <c r="AD678" i="7"/>
  <c r="AD679" i="7" s="1"/>
  <c r="AC678" i="7"/>
  <c r="AC679" i="7" s="1"/>
  <c r="AB678" i="7"/>
  <c r="AB679" i="7" s="1"/>
  <c r="AA678" i="7"/>
  <c r="AA679" i="7" s="1"/>
  <c r="Z678" i="7"/>
  <c r="Z679" i="7" s="1"/>
  <c r="Y678" i="7"/>
  <c r="Y679" i="7"/>
  <c r="X678" i="7"/>
  <c r="X679" i="7" s="1"/>
  <c r="W678" i="7"/>
  <c r="W679" i="7" s="1"/>
  <c r="V678" i="7"/>
  <c r="V679" i="7" s="1"/>
  <c r="U678" i="7"/>
  <c r="U679" i="7" s="1"/>
  <c r="T678" i="7"/>
  <c r="T679" i="7" s="1"/>
  <c r="S678" i="7"/>
  <c r="S679" i="7" s="1"/>
  <c r="R678" i="7"/>
  <c r="R679" i="7" s="1"/>
  <c r="CB677" i="7"/>
  <c r="CA677" i="7"/>
  <c r="CB676" i="7"/>
  <c r="CA676" i="7"/>
  <c r="BK678" i="7"/>
  <c r="BK679" i="7" s="1"/>
  <c r="CB675" i="7"/>
  <c r="CA675" i="7"/>
  <c r="BY670" i="7"/>
  <c r="BX670" i="7"/>
  <c r="BW670" i="7"/>
  <c r="BV670" i="7"/>
  <c r="BU670" i="7"/>
  <c r="BT670" i="7"/>
  <c r="BS670" i="7"/>
  <c r="BR670" i="7"/>
  <c r="BQ670" i="7"/>
  <c r="BP670" i="7"/>
  <c r="BO670" i="7"/>
  <c r="BN670" i="7"/>
  <c r="BM670" i="7"/>
  <c r="BL670" i="7"/>
  <c r="BJ670" i="7"/>
  <c r="BI670" i="7"/>
  <c r="BH670" i="7"/>
  <c r="BG670" i="7"/>
  <c r="BF670" i="7"/>
  <c r="BE670" i="7"/>
  <c r="BD670" i="7"/>
  <c r="BC670" i="7"/>
  <c r="BB670" i="7"/>
  <c r="BA670" i="7"/>
  <c r="AZ670" i="7"/>
  <c r="AY670" i="7"/>
  <c r="AX670" i="7"/>
  <c r="AW670" i="7"/>
  <c r="AV670" i="7"/>
  <c r="AU670" i="7"/>
  <c r="AT670" i="7"/>
  <c r="AS670" i="7"/>
  <c r="AR670" i="7"/>
  <c r="AQ670" i="7"/>
  <c r="AP670" i="7"/>
  <c r="AO670" i="7"/>
  <c r="AN670" i="7"/>
  <c r="AM670" i="7"/>
  <c r="AL670" i="7"/>
  <c r="AK670" i="7"/>
  <c r="AJ670" i="7"/>
  <c r="AI670" i="7"/>
  <c r="AH670" i="7"/>
  <c r="AG670" i="7"/>
  <c r="AF670" i="7"/>
  <c r="AE670" i="7"/>
  <c r="AD670" i="7"/>
  <c r="AC670" i="7"/>
  <c r="AB670" i="7"/>
  <c r="AA670" i="7"/>
  <c r="Z670" i="7"/>
  <c r="Y670" i="7"/>
  <c r="X670" i="7"/>
  <c r="W670" i="7"/>
  <c r="V670" i="7"/>
  <c r="U670" i="7"/>
  <c r="T670" i="7"/>
  <c r="S670" i="7"/>
  <c r="R670" i="7"/>
  <c r="CB669" i="7"/>
  <c r="CA669" i="7"/>
  <c r="CB668" i="7"/>
  <c r="CA668" i="7"/>
  <c r="BK670" i="7"/>
  <c r="BY665" i="7"/>
  <c r="BX665" i="7"/>
  <c r="BW665" i="7"/>
  <c r="BV665" i="7"/>
  <c r="BU665" i="7"/>
  <c r="BT665" i="7"/>
  <c r="BS665" i="7"/>
  <c r="BR665" i="7"/>
  <c r="BQ665" i="7"/>
  <c r="BP665" i="7"/>
  <c r="BO665" i="7"/>
  <c r="BN665" i="7"/>
  <c r="BM665" i="7"/>
  <c r="BL665" i="7"/>
  <c r="BK665" i="7"/>
  <c r="BJ665" i="7"/>
  <c r="BI665" i="7"/>
  <c r="BH665" i="7"/>
  <c r="BG665" i="7"/>
  <c r="BF665" i="7"/>
  <c r="BE665" i="7"/>
  <c r="BD665" i="7"/>
  <c r="BC665" i="7"/>
  <c r="BB665" i="7"/>
  <c r="BA665" i="7"/>
  <c r="AZ665" i="7"/>
  <c r="AY665" i="7"/>
  <c r="AX665" i="7"/>
  <c r="AW665" i="7"/>
  <c r="AV665" i="7"/>
  <c r="AU665" i="7"/>
  <c r="AT665" i="7"/>
  <c r="AS665" i="7"/>
  <c r="AR665" i="7"/>
  <c r="AQ665" i="7"/>
  <c r="AP665" i="7"/>
  <c r="AO665" i="7"/>
  <c r="AN665" i="7"/>
  <c r="AM665" i="7"/>
  <c r="AL665" i="7"/>
  <c r="AK665" i="7"/>
  <c r="AJ665" i="7"/>
  <c r="AI665" i="7"/>
  <c r="AH665" i="7"/>
  <c r="AG665" i="7"/>
  <c r="AF665" i="7"/>
  <c r="AE665" i="7"/>
  <c r="AD665" i="7"/>
  <c r="AC665" i="7"/>
  <c r="AB665" i="7"/>
  <c r="AA665" i="7"/>
  <c r="Z665" i="7"/>
  <c r="Y665" i="7"/>
  <c r="X665" i="7"/>
  <c r="W665" i="7"/>
  <c r="V665" i="7"/>
  <c r="U665" i="7"/>
  <c r="T665" i="7"/>
  <c r="S665" i="7"/>
  <c r="R665" i="7"/>
  <c r="CB664" i="7"/>
  <c r="CA664" i="7"/>
  <c r="CB663" i="7"/>
  <c r="CA663" i="7"/>
  <c r="BY660" i="7"/>
  <c r="BX660" i="7"/>
  <c r="BW660" i="7"/>
  <c r="BV660" i="7"/>
  <c r="BU660" i="7"/>
  <c r="BT660" i="7"/>
  <c r="BS660" i="7"/>
  <c r="BR660" i="7"/>
  <c r="BQ660" i="7"/>
  <c r="BP660" i="7"/>
  <c r="BO660" i="7"/>
  <c r="BN660" i="7"/>
  <c r="BM660" i="7"/>
  <c r="BL660" i="7"/>
  <c r="BJ660" i="7"/>
  <c r="BI660" i="7"/>
  <c r="BH660" i="7"/>
  <c r="BG660" i="7"/>
  <c r="BF660" i="7"/>
  <c r="BE660" i="7"/>
  <c r="BD660" i="7"/>
  <c r="BC660" i="7"/>
  <c r="BB660" i="7"/>
  <c r="BA660" i="7"/>
  <c r="AZ660" i="7"/>
  <c r="AY660" i="7"/>
  <c r="AX660" i="7"/>
  <c r="AW660" i="7"/>
  <c r="AV660" i="7"/>
  <c r="AU660" i="7"/>
  <c r="AT660" i="7"/>
  <c r="AS660" i="7"/>
  <c r="AR660" i="7"/>
  <c r="AQ660" i="7"/>
  <c r="AP660" i="7"/>
  <c r="AO660" i="7"/>
  <c r="AN660" i="7"/>
  <c r="AM660" i="7"/>
  <c r="AL660" i="7"/>
  <c r="AK660" i="7"/>
  <c r="AJ660" i="7"/>
  <c r="AI660" i="7"/>
  <c r="AH660" i="7"/>
  <c r="AG660" i="7"/>
  <c r="AF660" i="7"/>
  <c r="AE660" i="7"/>
  <c r="AD660" i="7"/>
  <c r="AC660" i="7"/>
  <c r="AB660" i="7"/>
  <c r="AA660" i="7"/>
  <c r="Z660" i="7"/>
  <c r="Y660" i="7"/>
  <c r="X660" i="7"/>
  <c r="W660" i="7"/>
  <c r="V660" i="7"/>
  <c r="U660" i="7"/>
  <c r="T660" i="7"/>
  <c r="S660" i="7"/>
  <c r="R660" i="7"/>
  <c r="CB659" i="7"/>
  <c r="CA659" i="7"/>
  <c r="BK660" i="7"/>
  <c r="CB658" i="7"/>
  <c r="CA658" i="7"/>
  <c r="CB657" i="7"/>
  <c r="CA657" i="7"/>
  <c r="BY654" i="7"/>
  <c r="BX654" i="7"/>
  <c r="BW654" i="7"/>
  <c r="BV654" i="7"/>
  <c r="BU654" i="7"/>
  <c r="BT654" i="7"/>
  <c r="BS654" i="7"/>
  <c r="BR654" i="7"/>
  <c r="BQ654" i="7"/>
  <c r="BP654" i="7"/>
  <c r="BO654" i="7"/>
  <c r="BN654" i="7"/>
  <c r="BM654" i="7"/>
  <c r="BL654" i="7"/>
  <c r="BK654" i="7"/>
  <c r="BJ654" i="7"/>
  <c r="BI654" i="7"/>
  <c r="BH654" i="7"/>
  <c r="BG654" i="7"/>
  <c r="BF654" i="7"/>
  <c r="BE654" i="7"/>
  <c r="BD654" i="7"/>
  <c r="BC654" i="7"/>
  <c r="BB654" i="7"/>
  <c r="BA654" i="7"/>
  <c r="AZ654" i="7"/>
  <c r="AY654" i="7"/>
  <c r="AX654" i="7"/>
  <c r="AW654" i="7"/>
  <c r="AV654" i="7"/>
  <c r="AU654" i="7"/>
  <c r="AT654" i="7"/>
  <c r="AS654" i="7"/>
  <c r="AR654" i="7"/>
  <c r="AQ654" i="7"/>
  <c r="AP654" i="7"/>
  <c r="AO654" i="7"/>
  <c r="AN654" i="7"/>
  <c r="AM654" i="7"/>
  <c r="AL654" i="7"/>
  <c r="AK654" i="7"/>
  <c r="AJ654" i="7"/>
  <c r="AI654" i="7"/>
  <c r="AH654" i="7"/>
  <c r="AG654" i="7"/>
  <c r="AF654" i="7"/>
  <c r="AE654" i="7"/>
  <c r="AD654" i="7"/>
  <c r="AC654" i="7"/>
  <c r="AB654" i="7"/>
  <c r="AA654" i="7"/>
  <c r="Z654" i="7"/>
  <c r="Y654" i="7"/>
  <c r="X654" i="7"/>
  <c r="W654" i="7"/>
  <c r="V654" i="7"/>
  <c r="U654" i="7"/>
  <c r="T654" i="7"/>
  <c r="S654" i="7"/>
  <c r="R654" i="7"/>
  <c r="CB653" i="7"/>
  <c r="CB654" i="7" s="1"/>
  <c r="CA653" i="7"/>
  <c r="CA654" i="7" s="1"/>
  <c r="BY650" i="7"/>
  <c r="BX650" i="7"/>
  <c r="BV650" i="7"/>
  <c r="BU650" i="7"/>
  <c r="BT650" i="7"/>
  <c r="BS650" i="7"/>
  <c r="BR650" i="7"/>
  <c r="BQ650" i="7"/>
  <c r="BP650" i="7"/>
  <c r="BO650" i="7"/>
  <c r="BN650" i="7"/>
  <c r="BM650" i="7"/>
  <c r="BL650" i="7"/>
  <c r="BK650" i="7"/>
  <c r="BJ650" i="7"/>
  <c r="BI650" i="7"/>
  <c r="BH650" i="7"/>
  <c r="BG650" i="7"/>
  <c r="BF650" i="7"/>
  <c r="BE650" i="7"/>
  <c r="BD650" i="7"/>
  <c r="BC650" i="7"/>
  <c r="BB650" i="7"/>
  <c r="BA650" i="7"/>
  <c r="AZ650" i="7"/>
  <c r="AY650" i="7"/>
  <c r="AX650" i="7"/>
  <c r="AW650" i="7"/>
  <c r="AV650" i="7"/>
  <c r="AU650" i="7"/>
  <c r="AT650" i="7"/>
  <c r="AR650" i="7"/>
  <c r="AO650" i="7"/>
  <c r="AN650" i="7"/>
  <c r="AM650" i="7"/>
  <c r="AL650" i="7"/>
  <c r="AK650" i="7"/>
  <c r="AJ650" i="7"/>
  <c r="AI650" i="7"/>
  <c r="AH650" i="7"/>
  <c r="AG650" i="7"/>
  <c r="AF650" i="7"/>
  <c r="AE650" i="7"/>
  <c r="AD650" i="7"/>
  <c r="AC650" i="7"/>
  <c r="AB650" i="7"/>
  <c r="AA650" i="7"/>
  <c r="Z650" i="7"/>
  <c r="Y650" i="7"/>
  <c r="X650" i="7"/>
  <c r="W650" i="7"/>
  <c r="V650" i="7"/>
  <c r="U650" i="7"/>
  <c r="T650" i="7"/>
  <c r="S650" i="7"/>
  <c r="R650" i="7"/>
  <c r="CB649" i="7"/>
  <c r="CA649" i="7"/>
  <c r="CB648" i="7"/>
  <c r="BW650" i="7"/>
  <c r="AS650" i="7"/>
  <c r="AQ650" i="7"/>
  <c r="CB647" i="7"/>
  <c r="CA647" i="7"/>
  <c r="BY642" i="7"/>
  <c r="BX642" i="7"/>
  <c r="BW642" i="7"/>
  <c r="BV642" i="7"/>
  <c r="BU642" i="7"/>
  <c r="BT642" i="7"/>
  <c r="BS642" i="7"/>
  <c r="BR642" i="7"/>
  <c r="BQ642" i="7"/>
  <c r="BP642" i="7"/>
  <c r="BO642" i="7"/>
  <c r="BN642" i="7"/>
  <c r="BM642" i="7"/>
  <c r="BL642" i="7"/>
  <c r="BK642" i="7"/>
  <c r="BJ642" i="7"/>
  <c r="BI642" i="7"/>
  <c r="BH642" i="7"/>
  <c r="BG642" i="7"/>
  <c r="BF642" i="7"/>
  <c r="BE642" i="7"/>
  <c r="BD642" i="7"/>
  <c r="BC642" i="7"/>
  <c r="BB642" i="7"/>
  <c r="BA642" i="7"/>
  <c r="AZ642" i="7"/>
  <c r="AY642" i="7"/>
  <c r="AX642" i="7"/>
  <c r="AW642" i="7"/>
  <c r="AV642" i="7"/>
  <c r="AU642" i="7"/>
  <c r="AT642" i="7"/>
  <c r="AR642" i="7"/>
  <c r="AQ642" i="7"/>
  <c r="AP642" i="7"/>
  <c r="AO642" i="7"/>
  <c r="AN642" i="7"/>
  <c r="AM642" i="7"/>
  <c r="AL642" i="7"/>
  <c r="AK642" i="7"/>
  <c r="AJ642" i="7"/>
  <c r="AJ643" i="7" s="1"/>
  <c r="AI642" i="7"/>
  <c r="AH642" i="7"/>
  <c r="AG642" i="7"/>
  <c r="AF642" i="7"/>
  <c r="AE642" i="7"/>
  <c r="AD642" i="7"/>
  <c r="AC642" i="7"/>
  <c r="AB642" i="7"/>
  <c r="AA642" i="7"/>
  <c r="Z642" i="7"/>
  <c r="Y642" i="7"/>
  <c r="X642" i="7"/>
  <c r="W642" i="7"/>
  <c r="V642" i="7"/>
  <c r="U642" i="7"/>
  <c r="T642" i="7"/>
  <c r="S642" i="7"/>
  <c r="R642" i="7"/>
  <c r="CB641" i="7"/>
  <c r="CB642" i="7" s="1"/>
  <c r="CA641" i="7"/>
  <c r="CA642" i="7" s="1"/>
  <c r="AS642" i="7"/>
  <c r="BY638" i="7"/>
  <c r="BX638" i="7"/>
  <c r="BW638" i="7"/>
  <c r="BV638" i="7"/>
  <c r="BU638" i="7"/>
  <c r="BT638" i="7"/>
  <c r="BS638" i="7"/>
  <c r="BR638" i="7"/>
  <c r="BQ638" i="7"/>
  <c r="BP638" i="7"/>
  <c r="BO638" i="7"/>
  <c r="BN638" i="7"/>
  <c r="BM638" i="7"/>
  <c r="BL638" i="7"/>
  <c r="BK638" i="7"/>
  <c r="BJ638" i="7"/>
  <c r="BI638" i="7"/>
  <c r="BH638" i="7"/>
  <c r="BG638" i="7"/>
  <c r="BF638" i="7"/>
  <c r="BE638" i="7"/>
  <c r="BD638" i="7"/>
  <c r="BC638" i="7"/>
  <c r="BB638" i="7"/>
  <c r="BA638" i="7"/>
  <c r="AZ638" i="7"/>
  <c r="AZ643" i="7" s="1"/>
  <c r="AY638" i="7"/>
  <c r="AX638" i="7"/>
  <c r="AW638" i="7"/>
  <c r="AV638" i="7"/>
  <c r="AU638" i="7"/>
  <c r="AT638" i="7"/>
  <c r="AR638" i="7"/>
  <c r="AQ638" i="7"/>
  <c r="AP638" i="7"/>
  <c r="AO638" i="7"/>
  <c r="AN638" i="7"/>
  <c r="AM638" i="7"/>
  <c r="AL638" i="7"/>
  <c r="AK638" i="7"/>
  <c r="AJ638" i="7"/>
  <c r="AJ634" i="7"/>
  <c r="AI638" i="7"/>
  <c r="AH638" i="7"/>
  <c r="AG638" i="7"/>
  <c r="AF638" i="7"/>
  <c r="AE638" i="7"/>
  <c r="AD638" i="7"/>
  <c r="AC638" i="7"/>
  <c r="AB638" i="7"/>
  <c r="AA638" i="7"/>
  <c r="Z638" i="7"/>
  <c r="Y638" i="7"/>
  <c r="X638" i="7"/>
  <c r="W638" i="7"/>
  <c r="V638" i="7"/>
  <c r="U638" i="7"/>
  <c r="T638" i="7"/>
  <c r="S638" i="7"/>
  <c r="R638" i="7"/>
  <c r="CB637" i="7"/>
  <c r="CB638" i="7" s="1"/>
  <c r="CA637" i="7"/>
  <c r="CA638" i="7" s="1"/>
  <c r="BY634" i="7"/>
  <c r="BX634" i="7"/>
  <c r="BW634" i="7"/>
  <c r="BV634" i="7"/>
  <c r="BU634" i="7"/>
  <c r="BT634" i="7"/>
  <c r="BS634" i="7"/>
  <c r="BR634" i="7"/>
  <c r="BQ634" i="7"/>
  <c r="BP634" i="7"/>
  <c r="BO634" i="7"/>
  <c r="BN634" i="7"/>
  <c r="BM634" i="7"/>
  <c r="BL634" i="7"/>
  <c r="BK634" i="7"/>
  <c r="BJ634" i="7"/>
  <c r="BI634" i="7"/>
  <c r="BH634" i="7"/>
  <c r="BG634" i="7"/>
  <c r="BF634" i="7"/>
  <c r="BE634" i="7"/>
  <c r="BD634" i="7"/>
  <c r="BC634" i="7"/>
  <c r="BB634" i="7"/>
  <c r="BA634" i="7"/>
  <c r="AZ634" i="7"/>
  <c r="AY634" i="7"/>
  <c r="AX634" i="7"/>
  <c r="AW634" i="7"/>
  <c r="AV634" i="7"/>
  <c r="AU634" i="7"/>
  <c r="AT634" i="7"/>
  <c r="AS634" i="7"/>
  <c r="AR634" i="7"/>
  <c r="AQ634" i="7"/>
  <c r="AP634" i="7"/>
  <c r="AO634" i="7"/>
  <c r="AN634" i="7"/>
  <c r="AM634" i="7"/>
  <c r="AL634" i="7"/>
  <c r="AK634" i="7"/>
  <c r="AI634" i="7"/>
  <c r="AH634" i="7"/>
  <c r="AG634" i="7"/>
  <c r="AF634" i="7"/>
  <c r="AE634" i="7"/>
  <c r="AD634" i="7"/>
  <c r="AC634" i="7"/>
  <c r="AB634" i="7"/>
  <c r="AA634" i="7"/>
  <c r="Z634" i="7"/>
  <c r="Y634" i="7"/>
  <c r="X634" i="7"/>
  <c r="W634" i="7"/>
  <c r="V634" i="7"/>
  <c r="U634" i="7"/>
  <c r="T634" i="7"/>
  <c r="S634" i="7"/>
  <c r="R634" i="7"/>
  <c r="CB633" i="7"/>
  <c r="CB634" i="7" s="1"/>
  <c r="CA633" i="7"/>
  <c r="CA634" i="7"/>
  <c r="BY628" i="7"/>
  <c r="BX628" i="7"/>
  <c r="BW628" i="7"/>
  <c r="BV628" i="7"/>
  <c r="BU628" i="7"/>
  <c r="BT628" i="7"/>
  <c r="BS628" i="7"/>
  <c r="BR628" i="7"/>
  <c r="BQ628" i="7"/>
  <c r="BP628" i="7"/>
  <c r="BO628" i="7"/>
  <c r="BN628" i="7"/>
  <c r="BM628" i="7"/>
  <c r="BL628" i="7"/>
  <c r="BK628" i="7"/>
  <c r="BJ628" i="7"/>
  <c r="BI628" i="7"/>
  <c r="BH628" i="7"/>
  <c r="BG628" i="7"/>
  <c r="BF628" i="7"/>
  <c r="BE628" i="7"/>
  <c r="BD628" i="7"/>
  <c r="BC628" i="7"/>
  <c r="BB628" i="7"/>
  <c r="BA628" i="7"/>
  <c r="AZ628" i="7"/>
  <c r="AY628" i="7"/>
  <c r="AX628" i="7"/>
  <c r="AW628" i="7"/>
  <c r="AV628" i="7"/>
  <c r="AU628" i="7"/>
  <c r="AT628" i="7"/>
  <c r="AS628" i="7"/>
  <c r="AR628" i="7"/>
  <c r="AQ628" i="7"/>
  <c r="AP628" i="7"/>
  <c r="AL628" i="7"/>
  <c r="AK628" i="7"/>
  <c r="AJ628" i="7"/>
  <c r="AI628" i="7"/>
  <c r="AH628" i="7"/>
  <c r="AG628" i="7"/>
  <c r="AF628" i="7"/>
  <c r="AE628" i="7"/>
  <c r="AD628" i="7"/>
  <c r="AC628" i="7"/>
  <c r="AB628" i="7"/>
  <c r="AA628" i="7"/>
  <c r="Z628" i="7"/>
  <c r="Y628" i="7"/>
  <c r="X628" i="7"/>
  <c r="W628" i="7"/>
  <c r="V628" i="7"/>
  <c r="U628" i="7"/>
  <c r="T628" i="7"/>
  <c r="S628" i="7"/>
  <c r="R628" i="7"/>
  <c r="CB627" i="7"/>
  <c r="CA627" i="7"/>
  <c r="CB626" i="7"/>
  <c r="CA626" i="7"/>
  <c r="AO628" i="7"/>
  <c r="CA625" i="7"/>
  <c r="BY622" i="7"/>
  <c r="BX622" i="7"/>
  <c r="BW622" i="7"/>
  <c r="BV622" i="7"/>
  <c r="BU622" i="7"/>
  <c r="BT622" i="7"/>
  <c r="BS622" i="7"/>
  <c r="BR622" i="7"/>
  <c r="BQ622" i="7"/>
  <c r="BP622" i="7"/>
  <c r="BO622" i="7"/>
  <c r="BN622" i="7"/>
  <c r="BM622" i="7"/>
  <c r="BL622" i="7"/>
  <c r="BK622" i="7"/>
  <c r="BJ622" i="7"/>
  <c r="BI622" i="7"/>
  <c r="BH622" i="7"/>
  <c r="BG622" i="7"/>
  <c r="BF622" i="7"/>
  <c r="BE622" i="7"/>
  <c r="BD622" i="7"/>
  <c r="BC622" i="7"/>
  <c r="BB622" i="7"/>
  <c r="BA622" i="7"/>
  <c r="AZ622" i="7"/>
  <c r="AY622" i="7"/>
  <c r="AX622" i="7"/>
  <c r="AW622" i="7"/>
  <c r="AV622" i="7"/>
  <c r="AU622" i="7"/>
  <c r="AT622" i="7"/>
  <c r="AS622" i="7"/>
  <c r="AR622" i="7"/>
  <c r="AQ622" i="7"/>
  <c r="AP622" i="7"/>
  <c r="AO622" i="7"/>
  <c r="AN622" i="7"/>
  <c r="AL622" i="7"/>
  <c r="AK622" i="7"/>
  <c r="AJ622" i="7"/>
  <c r="AI622" i="7"/>
  <c r="AH622" i="7"/>
  <c r="AG622" i="7"/>
  <c r="AF622" i="7"/>
  <c r="AE622" i="7"/>
  <c r="AD622" i="7"/>
  <c r="AC622" i="7"/>
  <c r="AB622" i="7"/>
  <c r="AA622" i="7"/>
  <c r="Z622" i="7"/>
  <c r="Y622" i="7"/>
  <c r="X622" i="7"/>
  <c r="W622" i="7"/>
  <c r="V622" i="7"/>
  <c r="U622" i="7"/>
  <c r="T622" i="7"/>
  <c r="S622" i="7"/>
  <c r="R622" i="7"/>
  <c r="CB621" i="7"/>
  <c r="CA621" i="7"/>
  <c r="CB620" i="7"/>
  <c r="CA620" i="7"/>
  <c r="BY617" i="7"/>
  <c r="BX617" i="7"/>
  <c r="BW617" i="7"/>
  <c r="BV617" i="7"/>
  <c r="BU617" i="7"/>
  <c r="BT617" i="7"/>
  <c r="BS617" i="7"/>
  <c r="BR617" i="7"/>
  <c r="BQ617" i="7"/>
  <c r="BP617" i="7"/>
  <c r="BO617" i="7"/>
  <c r="BN617" i="7"/>
  <c r="BM617" i="7"/>
  <c r="BL617" i="7"/>
  <c r="BK617" i="7"/>
  <c r="BJ617" i="7"/>
  <c r="BI617" i="7"/>
  <c r="BH617" i="7"/>
  <c r="BG617" i="7"/>
  <c r="BF617" i="7"/>
  <c r="BE617" i="7"/>
  <c r="BD617" i="7"/>
  <c r="BC617" i="7"/>
  <c r="BB617" i="7"/>
  <c r="BA617" i="7"/>
  <c r="AZ617" i="7"/>
  <c r="AY617" i="7"/>
  <c r="AX617" i="7"/>
  <c r="AW617" i="7"/>
  <c r="AV617" i="7"/>
  <c r="AU617" i="7"/>
  <c r="AT617" i="7"/>
  <c r="AS617" i="7"/>
  <c r="AR617" i="7"/>
  <c r="AQ617" i="7"/>
  <c r="AP617" i="7"/>
  <c r="AO617" i="7"/>
  <c r="AN617" i="7"/>
  <c r="AL617" i="7"/>
  <c r="AK617" i="7"/>
  <c r="AJ617" i="7"/>
  <c r="AI617" i="7"/>
  <c r="AH617" i="7"/>
  <c r="AG617" i="7"/>
  <c r="AF617" i="7"/>
  <c r="AE617" i="7"/>
  <c r="AD617" i="7"/>
  <c r="AC617" i="7"/>
  <c r="AB617" i="7"/>
  <c r="AA617" i="7"/>
  <c r="Z617" i="7"/>
  <c r="Y617" i="7"/>
  <c r="X617" i="7"/>
  <c r="W617" i="7"/>
  <c r="V617" i="7"/>
  <c r="U617" i="7"/>
  <c r="T617" i="7"/>
  <c r="S617" i="7"/>
  <c r="R617" i="7"/>
  <c r="CB616" i="7"/>
  <c r="CA616" i="7"/>
  <c r="CB615" i="7"/>
  <c r="CA615" i="7"/>
  <c r="CB614" i="7"/>
  <c r="CA614" i="7"/>
  <c r="CB613" i="7"/>
  <c r="CA613" i="7"/>
  <c r="BY610" i="7"/>
  <c r="BX610" i="7"/>
  <c r="BW610" i="7"/>
  <c r="BV610" i="7"/>
  <c r="BU610" i="7"/>
  <c r="BT610" i="7"/>
  <c r="BS610" i="7"/>
  <c r="BR610" i="7"/>
  <c r="BQ610" i="7"/>
  <c r="BP610" i="7"/>
  <c r="BO610" i="7"/>
  <c r="BN610" i="7"/>
  <c r="BM610" i="7"/>
  <c r="BL610" i="7"/>
  <c r="BK610" i="7"/>
  <c r="BJ610" i="7"/>
  <c r="BI610" i="7"/>
  <c r="BH610" i="7"/>
  <c r="BG610" i="7"/>
  <c r="BF610" i="7"/>
  <c r="BE610" i="7"/>
  <c r="BD610" i="7"/>
  <c r="BC610" i="7"/>
  <c r="BB610" i="7"/>
  <c r="BA610" i="7"/>
  <c r="AZ610" i="7"/>
  <c r="AY610" i="7"/>
  <c r="AX610" i="7"/>
  <c r="AW610" i="7"/>
  <c r="AU610" i="7"/>
  <c r="AT610" i="7"/>
  <c r="AS610" i="7"/>
  <c r="AR610" i="7"/>
  <c r="AQ610" i="7"/>
  <c r="AP610" i="7"/>
  <c r="AO610" i="7"/>
  <c r="AN610" i="7"/>
  <c r="AL610" i="7"/>
  <c r="AK610" i="7"/>
  <c r="AJ610" i="7"/>
  <c r="AI610" i="7"/>
  <c r="AH610" i="7"/>
  <c r="AG610" i="7"/>
  <c r="AF610" i="7"/>
  <c r="AE610" i="7"/>
  <c r="AD610" i="7"/>
  <c r="AC610" i="7"/>
  <c r="AB610" i="7"/>
  <c r="AA610" i="7"/>
  <c r="Z610" i="7"/>
  <c r="Y610" i="7"/>
  <c r="X610" i="7"/>
  <c r="W610" i="7"/>
  <c r="V610" i="7"/>
  <c r="U610" i="7"/>
  <c r="T610" i="7"/>
  <c r="S610" i="7"/>
  <c r="R610" i="7"/>
  <c r="CB609" i="7"/>
  <c r="CA609" i="7"/>
  <c r="AV610" i="7"/>
  <c r="CB608" i="7"/>
  <c r="CA608" i="7"/>
  <c r="CB607" i="7"/>
  <c r="CA607" i="7"/>
  <c r="AM610" i="7"/>
  <c r="BY604" i="7"/>
  <c r="BX604" i="7"/>
  <c r="BW604" i="7"/>
  <c r="BV604" i="7"/>
  <c r="BU604" i="7"/>
  <c r="BT604" i="7"/>
  <c r="BS604" i="7"/>
  <c r="BR604" i="7"/>
  <c r="BQ604" i="7"/>
  <c r="BP604" i="7"/>
  <c r="BO604" i="7"/>
  <c r="BN604" i="7"/>
  <c r="BM604" i="7"/>
  <c r="BL604" i="7"/>
  <c r="BK604" i="7"/>
  <c r="BJ604" i="7"/>
  <c r="BI604" i="7"/>
  <c r="BH604" i="7"/>
  <c r="BG604" i="7"/>
  <c r="BF604" i="7"/>
  <c r="BE604" i="7"/>
  <c r="BD604" i="7"/>
  <c r="BC604" i="7"/>
  <c r="BB604" i="7"/>
  <c r="BA604" i="7"/>
  <c r="AZ604" i="7"/>
  <c r="AY604" i="7"/>
  <c r="AX604" i="7"/>
  <c r="AW604" i="7"/>
  <c r="AV604" i="7"/>
  <c r="AU604" i="7"/>
  <c r="AT604" i="7"/>
  <c r="AS604" i="7"/>
  <c r="AR604" i="7"/>
  <c r="AQ604" i="7"/>
  <c r="AP604" i="7"/>
  <c r="AO604" i="7"/>
  <c r="AN604" i="7"/>
  <c r="AM604" i="7"/>
  <c r="AL604" i="7"/>
  <c r="AK604" i="7"/>
  <c r="AJ604" i="7"/>
  <c r="AI604" i="7"/>
  <c r="AH604" i="7"/>
  <c r="AG604" i="7"/>
  <c r="AF604" i="7"/>
  <c r="AE604" i="7"/>
  <c r="AD604" i="7"/>
  <c r="AC604" i="7"/>
  <c r="AB604" i="7"/>
  <c r="AA604" i="7"/>
  <c r="Z604" i="7"/>
  <c r="Y604" i="7"/>
  <c r="X604" i="7"/>
  <c r="W604" i="7"/>
  <c r="V604" i="7"/>
  <c r="U604" i="7"/>
  <c r="T604" i="7"/>
  <c r="S604" i="7"/>
  <c r="R604" i="7"/>
  <c r="CB603" i="7"/>
  <c r="CA603" i="7"/>
  <c r="CB602" i="7"/>
  <c r="CA602" i="7"/>
  <c r="BY599" i="7"/>
  <c r="BX599" i="7"/>
  <c r="BW599" i="7"/>
  <c r="BV599" i="7"/>
  <c r="BU599" i="7"/>
  <c r="BT599" i="7"/>
  <c r="BS599" i="7"/>
  <c r="BR599" i="7"/>
  <c r="BQ599" i="7"/>
  <c r="BP599" i="7"/>
  <c r="BO599" i="7"/>
  <c r="BN599" i="7"/>
  <c r="BM599" i="7"/>
  <c r="BL599" i="7"/>
  <c r="BK599" i="7"/>
  <c r="BJ599" i="7"/>
  <c r="BI599" i="7"/>
  <c r="BH599" i="7"/>
  <c r="BG599" i="7"/>
  <c r="BF599" i="7"/>
  <c r="BE599" i="7"/>
  <c r="BD599" i="7"/>
  <c r="BC599" i="7"/>
  <c r="BB599" i="7"/>
  <c r="BA599" i="7"/>
  <c r="AZ599" i="7"/>
  <c r="AY599" i="7"/>
  <c r="AX599" i="7"/>
  <c r="AW599" i="7"/>
  <c r="AV599" i="7"/>
  <c r="AU599" i="7"/>
  <c r="AT599" i="7"/>
  <c r="AS599" i="7"/>
  <c r="AR599" i="7"/>
  <c r="AQ599" i="7"/>
  <c r="AP599" i="7"/>
  <c r="AO599" i="7"/>
  <c r="AN599" i="7"/>
  <c r="AM599" i="7"/>
  <c r="AL599" i="7"/>
  <c r="AK599" i="7"/>
  <c r="AJ599" i="7"/>
  <c r="AI599" i="7"/>
  <c r="AH599" i="7"/>
  <c r="AG599" i="7"/>
  <c r="AF599" i="7"/>
  <c r="AE599" i="7"/>
  <c r="AD599" i="7"/>
  <c r="AC599" i="7"/>
  <c r="AB599" i="7"/>
  <c r="AA599" i="7"/>
  <c r="Z599" i="7"/>
  <c r="Y599" i="7"/>
  <c r="X599" i="7"/>
  <c r="W599" i="7"/>
  <c r="V599" i="7"/>
  <c r="U599" i="7"/>
  <c r="T599" i="7"/>
  <c r="S599" i="7"/>
  <c r="R599" i="7"/>
  <c r="CB598" i="7"/>
  <c r="CA598" i="7"/>
  <c r="CA599" i="7" s="1"/>
  <c r="CB597" i="7"/>
  <c r="CA597" i="7"/>
  <c r="BY594" i="7"/>
  <c r="BX594" i="7"/>
  <c r="BV594" i="7"/>
  <c r="BU594" i="7"/>
  <c r="BT594" i="7"/>
  <c r="BS594" i="7"/>
  <c r="BR594" i="7"/>
  <c r="BQ594" i="7"/>
  <c r="BP594" i="7"/>
  <c r="BO594" i="7"/>
  <c r="BN594" i="7"/>
  <c r="BM594" i="7"/>
  <c r="BL594" i="7"/>
  <c r="BK594" i="7"/>
  <c r="BJ594" i="7"/>
  <c r="BI594" i="7"/>
  <c r="BH594" i="7"/>
  <c r="BG594" i="7"/>
  <c r="BF594" i="7"/>
  <c r="BE594" i="7"/>
  <c r="BD594" i="7"/>
  <c r="BC594" i="7"/>
  <c r="BB594" i="7"/>
  <c r="BA594" i="7"/>
  <c r="AZ594" i="7"/>
  <c r="AY594" i="7"/>
  <c r="AX594" i="7"/>
  <c r="AW594" i="7"/>
  <c r="AV594" i="7"/>
  <c r="AU594" i="7"/>
  <c r="AT594" i="7"/>
  <c r="AS594" i="7"/>
  <c r="AR594" i="7"/>
  <c r="AQ594" i="7"/>
  <c r="AP594" i="7"/>
  <c r="AO594" i="7"/>
  <c r="AN594" i="7"/>
  <c r="AL594" i="7"/>
  <c r="AK594" i="7"/>
  <c r="AJ594" i="7"/>
  <c r="AI594" i="7"/>
  <c r="AH594" i="7"/>
  <c r="AG594" i="7"/>
  <c r="AF594" i="7"/>
  <c r="AE594" i="7"/>
  <c r="AD594" i="7"/>
  <c r="AC594" i="7"/>
  <c r="AB594" i="7"/>
  <c r="AA594" i="7"/>
  <c r="Z594" i="7"/>
  <c r="Y594" i="7"/>
  <c r="X594" i="7"/>
  <c r="W594" i="7"/>
  <c r="V594" i="7"/>
  <c r="U594" i="7"/>
  <c r="T594" i="7"/>
  <c r="S594" i="7"/>
  <c r="R594" i="7"/>
  <c r="CB593" i="7"/>
  <c r="CA593" i="7"/>
  <c r="CB592" i="7"/>
  <c r="CA592" i="7"/>
  <c r="CB591" i="7"/>
  <c r="CA591" i="7"/>
  <c r="BW594" i="7"/>
  <c r="CB590" i="7"/>
  <c r="CA590" i="7"/>
  <c r="CB589" i="7"/>
  <c r="CA589" i="7"/>
  <c r="BY586" i="7"/>
  <c r="BX586" i="7"/>
  <c r="BW586" i="7"/>
  <c r="BV586" i="7"/>
  <c r="BU586" i="7"/>
  <c r="BT586" i="7"/>
  <c r="BS586" i="7"/>
  <c r="BR586" i="7"/>
  <c r="BQ586" i="7"/>
  <c r="BP586" i="7"/>
  <c r="BO586" i="7"/>
  <c r="BN586" i="7"/>
  <c r="BM586" i="7"/>
  <c r="BL586" i="7"/>
  <c r="BK586" i="7"/>
  <c r="BJ586" i="7"/>
  <c r="BI586" i="7"/>
  <c r="BH586" i="7"/>
  <c r="BG586" i="7"/>
  <c r="BF586" i="7"/>
  <c r="BE586" i="7"/>
  <c r="BD586" i="7"/>
  <c r="BC586" i="7"/>
  <c r="BB586" i="7"/>
  <c r="BA586" i="7"/>
  <c r="AZ586" i="7"/>
  <c r="AY586" i="7"/>
  <c r="AX586" i="7"/>
  <c r="AW586" i="7"/>
  <c r="AV586" i="7"/>
  <c r="AU586" i="7"/>
  <c r="AT586" i="7"/>
  <c r="AS586" i="7"/>
  <c r="AR586" i="7"/>
  <c r="AQ586" i="7"/>
  <c r="AP586" i="7"/>
  <c r="AO586" i="7"/>
  <c r="AN586" i="7"/>
  <c r="AM586" i="7"/>
  <c r="AL586" i="7"/>
  <c r="AK586" i="7"/>
  <c r="AJ586" i="7"/>
  <c r="AI586" i="7"/>
  <c r="AH586" i="7"/>
  <c r="AG586" i="7"/>
  <c r="AF586" i="7"/>
  <c r="AE586" i="7"/>
  <c r="AD586" i="7"/>
  <c r="AC586" i="7"/>
  <c r="AB586" i="7"/>
  <c r="AA586" i="7"/>
  <c r="Z586" i="7"/>
  <c r="Y586" i="7"/>
  <c r="X586" i="7"/>
  <c r="W586" i="7"/>
  <c r="V586" i="7"/>
  <c r="U586" i="7"/>
  <c r="T586" i="7"/>
  <c r="S586" i="7"/>
  <c r="R586" i="7"/>
  <c r="CB585" i="7"/>
  <c r="CA585" i="7"/>
  <c r="CB584" i="7"/>
  <c r="CA584" i="7"/>
  <c r="CB583" i="7"/>
  <c r="CA583" i="7"/>
  <c r="BY580" i="7"/>
  <c r="BX580" i="7"/>
  <c r="BW580" i="7"/>
  <c r="BV580" i="7"/>
  <c r="BU580" i="7"/>
  <c r="BT580" i="7"/>
  <c r="BS580" i="7"/>
  <c r="BR580" i="7"/>
  <c r="BQ580" i="7"/>
  <c r="BP580" i="7"/>
  <c r="BO580" i="7"/>
  <c r="BN580" i="7"/>
  <c r="BM580" i="7"/>
  <c r="BL580" i="7"/>
  <c r="BK580" i="7"/>
  <c r="BJ580" i="7"/>
  <c r="BI580" i="7"/>
  <c r="BH580" i="7"/>
  <c r="BG580" i="7"/>
  <c r="BF580" i="7"/>
  <c r="BE580" i="7"/>
  <c r="BD580" i="7"/>
  <c r="BC580" i="7"/>
  <c r="BB580" i="7"/>
  <c r="BA580" i="7"/>
  <c r="AZ580" i="7"/>
  <c r="AY580" i="7"/>
  <c r="AX580" i="7"/>
  <c r="AW580" i="7"/>
  <c r="AV580" i="7"/>
  <c r="AU580" i="7"/>
  <c r="AT580" i="7"/>
  <c r="AS580" i="7"/>
  <c r="AR580" i="7"/>
  <c r="AQ580" i="7"/>
  <c r="AP580" i="7"/>
  <c r="AO580" i="7"/>
  <c r="AN580" i="7"/>
  <c r="AL580" i="7"/>
  <c r="AK580" i="7"/>
  <c r="AJ580" i="7"/>
  <c r="AI580" i="7"/>
  <c r="AH580" i="7"/>
  <c r="AG580" i="7"/>
  <c r="AF580" i="7"/>
  <c r="AE580" i="7"/>
  <c r="AD580" i="7"/>
  <c r="AC580" i="7"/>
  <c r="AB580" i="7"/>
  <c r="AA580" i="7"/>
  <c r="Z580" i="7"/>
  <c r="Y580" i="7"/>
  <c r="X580" i="7"/>
  <c r="W580" i="7"/>
  <c r="V580" i="7"/>
  <c r="U580" i="7"/>
  <c r="T580" i="7"/>
  <c r="S580" i="7"/>
  <c r="R580" i="7"/>
  <c r="CB579" i="7"/>
  <c r="CA579" i="7"/>
  <c r="CB578" i="7"/>
  <c r="CA578" i="7"/>
  <c r="CB577" i="7"/>
  <c r="CA577" i="7"/>
  <c r="BY574" i="7"/>
  <c r="BX574" i="7"/>
  <c r="BW574" i="7"/>
  <c r="BV574" i="7"/>
  <c r="BU574" i="7"/>
  <c r="BT574" i="7"/>
  <c r="BS574" i="7"/>
  <c r="BR574" i="7"/>
  <c r="BQ574" i="7"/>
  <c r="BP574" i="7"/>
  <c r="BO574" i="7"/>
  <c r="BN574" i="7"/>
  <c r="BM574" i="7"/>
  <c r="BL574" i="7"/>
  <c r="BK574" i="7"/>
  <c r="BJ574" i="7"/>
  <c r="BI574" i="7"/>
  <c r="BH574" i="7"/>
  <c r="BG574" i="7"/>
  <c r="BF574" i="7"/>
  <c r="BE574" i="7"/>
  <c r="BD574" i="7"/>
  <c r="BC574" i="7"/>
  <c r="BB574" i="7"/>
  <c r="BA574" i="7"/>
  <c r="AZ574" i="7"/>
  <c r="AY574" i="7"/>
  <c r="AX574" i="7"/>
  <c r="AW574" i="7"/>
  <c r="AV574" i="7"/>
  <c r="AU574" i="7"/>
  <c r="AT574" i="7"/>
  <c r="AS574" i="7"/>
  <c r="AR574" i="7"/>
  <c r="AQ574" i="7"/>
  <c r="AP574" i="7"/>
  <c r="AO574" i="7"/>
  <c r="AN574" i="7"/>
  <c r="AM574" i="7"/>
  <c r="AL574" i="7"/>
  <c r="AK574" i="7"/>
  <c r="AJ574" i="7"/>
  <c r="AI574" i="7"/>
  <c r="AH574" i="7"/>
  <c r="AG574" i="7"/>
  <c r="AF574" i="7"/>
  <c r="AE574" i="7"/>
  <c r="AD574" i="7"/>
  <c r="AC574" i="7"/>
  <c r="AB574" i="7"/>
  <c r="AA574" i="7"/>
  <c r="Z574" i="7"/>
  <c r="Y574" i="7"/>
  <c r="X574" i="7"/>
  <c r="W574" i="7"/>
  <c r="V574" i="7"/>
  <c r="U574" i="7"/>
  <c r="T574" i="7"/>
  <c r="S574" i="7"/>
  <c r="R574" i="7"/>
  <c r="CB573" i="7"/>
  <c r="CA573" i="7"/>
  <c r="CB572" i="7"/>
  <c r="CA572" i="7"/>
  <c r="CB571" i="7"/>
  <c r="CA571" i="7"/>
  <c r="CB570" i="7"/>
  <c r="CA570" i="7"/>
  <c r="BY567" i="7"/>
  <c r="BX567" i="7"/>
  <c r="BW567" i="7"/>
  <c r="BV567" i="7"/>
  <c r="BU567" i="7"/>
  <c r="BT567" i="7"/>
  <c r="BS567" i="7"/>
  <c r="BR567" i="7"/>
  <c r="BQ567" i="7"/>
  <c r="BP567" i="7"/>
  <c r="BO567" i="7"/>
  <c r="BN567" i="7"/>
  <c r="BM567" i="7"/>
  <c r="BL567" i="7"/>
  <c r="BK567" i="7"/>
  <c r="BJ567" i="7"/>
  <c r="BI567" i="7"/>
  <c r="BH567" i="7"/>
  <c r="BG567" i="7"/>
  <c r="BF567" i="7"/>
  <c r="BE567" i="7"/>
  <c r="BD567" i="7"/>
  <c r="BC567" i="7"/>
  <c r="BB567" i="7"/>
  <c r="BA567" i="7"/>
  <c r="AZ567" i="7"/>
  <c r="AY567" i="7"/>
  <c r="AX567" i="7"/>
  <c r="AW567" i="7"/>
  <c r="AV567" i="7"/>
  <c r="AU567" i="7"/>
  <c r="AT567" i="7"/>
  <c r="AS567" i="7"/>
  <c r="AR567" i="7"/>
  <c r="AQ567" i="7"/>
  <c r="AP567" i="7"/>
  <c r="AO567" i="7"/>
  <c r="AN567" i="7"/>
  <c r="AM567" i="7"/>
  <c r="AL567" i="7"/>
  <c r="AK567" i="7"/>
  <c r="AJ567" i="7"/>
  <c r="AI567" i="7"/>
  <c r="AH567" i="7"/>
  <c r="AG567" i="7"/>
  <c r="AF567" i="7"/>
  <c r="AE567" i="7"/>
  <c r="AD567" i="7"/>
  <c r="AC567" i="7"/>
  <c r="AB567" i="7"/>
  <c r="AA567" i="7"/>
  <c r="Z567" i="7"/>
  <c r="Y567" i="7"/>
  <c r="X567" i="7"/>
  <c r="W567" i="7"/>
  <c r="V567" i="7"/>
  <c r="U567" i="7"/>
  <c r="T567" i="7"/>
  <c r="S567" i="7"/>
  <c r="R567" i="7"/>
  <c r="CB566" i="7"/>
  <c r="CA566" i="7"/>
  <c r="CB565" i="7"/>
  <c r="CA565" i="7"/>
  <c r="BY560" i="7"/>
  <c r="BY561" i="7" s="1"/>
  <c r="BX560" i="7"/>
  <c r="BX561" i="7" s="1"/>
  <c r="BW560" i="7"/>
  <c r="BW561" i="7" s="1"/>
  <c r="BV560" i="7"/>
  <c r="BV561" i="7" s="1"/>
  <c r="BU560" i="7"/>
  <c r="BU561" i="7" s="1"/>
  <c r="BT560" i="7"/>
  <c r="BT561" i="7"/>
  <c r="BS560" i="7"/>
  <c r="BS561" i="7" s="1"/>
  <c r="BR560" i="7"/>
  <c r="BR561" i="7" s="1"/>
  <c r="BQ560" i="7"/>
  <c r="BQ561" i="7" s="1"/>
  <c r="BP560" i="7"/>
  <c r="BP561" i="7" s="1"/>
  <c r="BO560" i="7"/>
  <c r="BO561" i="7" s="1"/>
  <c r="BN560" i="7"/>
  <c r="BN561" i="7" s="1"/>
  <c r="BM560" i="7"/>
  <c r="BM561" i="7" s="1"/>
  <c r="BL560" i="7"/>
  <c r="BL561" i="7"/>
  <c r="BK560" i="7"/>
  <c r="BK561" i="7" s="1"/>
  <c r="BJ560" i="7"/>
  <c r="BJ561" i="7" s="1"/>
  <c r="BI560" i="7"/>
  <c r="BI561" i="7" s="1"/>
  <c r="BH560" i="7"/>
  <c r="BH561" i="7" s="1"/>
  <c r="BG560" i="7"/>
  <c r="BG561" i="7" s="1"/>
  <c r="BF560" i="7"/>
  <c r="BF561" i="7" s="1"/>
  <c r="BE560" i="7"/>
  <c r="BE561" i="7" s="1"/>
  <c r="BD560" i="7"/>
  <c r="BD561" i="7"/>
  <c r="BC560" i="7"/>
  <c r="BC561" i="7" s="1"/>
  <c r="BB560" i="7"/>
  <c r="BB561" i="7" s="1"/>
  <c r="BA560" i="7"/>
  <c r="BA561" i="7" s="1"/>
  <c r="AZ560" i="7"/>
  <c r="AZ561" i="7" s="1"/>
  <c r="AY560" i="7"/>
  <c r="AY561" i="7" s="1"/>
  <c r="AX560" i="7"/>
  <c r="AX561" i="7" s="1"/>
  <c r="AW560" i="7"/>
  <c r="AW561" i="7" s="1"/>
  <c r="AV560" i="7"/>
  <c r="AV561" i="7"/>
  <c r="AU560" i="7"/>
  <c r="AU561" i="7" s="1"/>
  <c r="AT560" i="7"/>
  <c r="AT561" i="7" s="1"/>
  <c r="AS560" i="7"/>
  <c r="AS561" i="7"/>
  <c r="AR560" i="7"/>
  <c r="AR561" i="7" s="1"/>
  <c r="AQ560" i="7"/>
  <c r="AQ561" i="7" s="1"/>
  <c r="AP560" i="7"/>
  <c r="AP561" i="7" s="1"/>
  <c r="AO560" i="7"/>
  <c r="AO561" i="7" s="1"/>
  <c r="AN560" i="7"/>
  <c r="AN561" i="7" s="1"/>
  <c r="AL560" i="7"/>
  <c r="AL561" i="7" s="1"/>
  <c r="AK560" i="7"/>
  <c r="AK561" i="7" s="1"/>
  <c r="AJ560" i="7"/>
  <c r="AJ561" i="7" s="1"/>
  <c r="AI560" i="7"/>
  <c r="AI561" i="7"/>
  <c r="AH560" i="7"/>
  <c r="AH561" i="7" s="1"/>
  <c r="AG560" i="7"/>
  <c r="AG561" i="7" s="1"/>
  <c r="AF560" i="7"/>
  <c r="AF561" i="7" s="1"/>
  <c r="AE560" i="7"/>
  <c r="AE561" i="7" s="1"/>
  <c r="AD560" i="7"/>
  <c r="AD561" i="7" s="1"/>
  <c r="AC560" i="7"/>
  <c r="AC561" i="7" s="1"/>
  <c r="AB560" i="7"/>
  <c r="AB561" i="7" s="1"/>
  <c r="AA560" i="7"/>
  <c r="AA561" i="7"/>
  <c r="Z560" i="7"/>
  <c r="Z561" i="7" s="1"/>
  <c r="Y560" i="7"/>
  <c r="Y561" i="7" s="1"/>
  <c r="X560" i="7"/>
  <c r="X561" i="7" s="1"/>
  <c r="W560" i="7"/>
  <c r="W561" i="7" s="1"/>
  <c r="V560" i="7"/>
  <c r="V561" i="7" s="1"/>
  <c r="U560" i="7"/>
  <c r="U561" i="7" s="1"/>
  <c r="T560" i="7"/>
  <c r="T561" i="7" s="1"/>
  <c r="S560" i="7"/>
  <c r="S561" i="7"/>
  <c r="R560" i="7"/>
  <c r="R561" i="7" s="1"/>
  <c r="CB559" i="7"/>
  <c r="CA559" i="7"/>
  <c r="CB558" i="7"/>
  <c r="CA558" i="7"/>
  <c r="CB557" i="7"/>
  <c r="CA557" i="7"/>
  <c r="BE548" i="7"/>
  <c r="BE549" i="7" s="1"/>
  <c r="BE550" i="7" s="1"/>
  <c r="BE551" i="7" s="1"/>
  <c r="BY548" i="7"/>
  <c r="BY549" i="7" s="1"/>
  <c r="BY550" i="7" s="1"/>
  <c r="BY551" i="7" s="1"/>
  <c r="BX548" i="7"/>
  <c r="BX549" i="7" s="1"/>
  <c r="BX550" i="7"/>
  <c r="BX551" i="7" s="1"/>
  <c r="BW548" i="7"/>
  <c r="BW549" i="7" s="1"/>
  <c r="BW550" i="7" s="1"/>
  <c r="BW551" i="7" s="1"/>
  <c r="BV548" i="7"/>
  <c r="BV549" i="7" s="1"/>
  <c r="BV550" i="7" s="1"/>
  <c r="BV551" i="7" s="1"/>
  <c r="BU548" i="7"/>
  <c r="BU549" i="7" s="1"/>
  <c r="BU550" i="7" s="1"/>
  <c r="BU551" i="7" s="1"/>
  <c r="BT548" i="7"/>
  <c r="BT549" i="7" s="1"/>
  <c r="BT550" i="7" s="1"/>
  <c r="BT551" i="7" s="1"/>
  <c r="BS548" i="7"/>
  <c r="BS549" i="7" s="1"/>
  <c r="BS550" i="7" s="1"/>
  <c r="BS551" i="7" s="1"/>
  <c r="BR548" i="7"/>
  <c r="BR549" i="7" s="1"/>
  <c r="BR550" i="7" s="1"/>
  <c r="BR551" i="7" s="1"/>
  <c r="BQ548" i="7"/>
  <c r="BQ549" i="7" s="1"/>
  <c r="BQ550" i="7"/>
  <c r="BQ551" i="7" s="1"/>
  <c r="BP548" i="7"/>
  <c r="BP549" i="7" s="1"/>
  <c r="BP550" i="7" s="1"/>
  <c r="BP551" i="7" s="1"/>
  <c r="BO548" i="7"/>
  <c r="BO549" i="7" s="1"/>
  <c r="BO550" i="7" s="1"/>
  <c r="BO551" i="7" s="1"/>
  <c r="BN548" i="7"/>
  <c r="BN549" i="7" s="1"/>
  <c r="BN550" i="7" s="1"/>
  <c r="BN551" i="7" s="1"/>
  <c r="BM548" i="7"/>
  <c r="BM549" i="7" s="1"/>
  <c r="BM550" i="7" s="1"/>
  <c r="BM551" i="7" s="1"/>
  <c r="BL548" i="7"/>
  <c r="BL549" i="7" s="1"/>
  <c r="BL550" i="7" s="1"/>
  <c r="BL551" i="7" s="1"/>
  <c r="BK548" i="7"/>
  <c r="BK549" i="7" s="1"/>
  <c r="BK550" i="7" s="1"/>
  <c r="BK551" i="7" s="1"/>
  <c r="BJ548" i="7"/>
  <c r="BJ549" i="7" s="1"/>
  <c r="BJ550" i="7" s="1"/>
  <c r="BJ551" i="7" s="1"/>
  <c r="BI548" i="7"/>
  <c r="BI549" i="7" s="1"/>
  <c r="BI550" i="7" s="1"/>
  <c r="BI551" i="7" s="1"/>
  <c r="BH548" i="7"/>
  <c r="BH549" i="7" s="1"/>
  <c r="BH550" i="7" s="1"/>
  <c r="BH551" i="7" s="1"/>
  <c r="BG548" i="7"/>
  <c r="BG549" i="7" s="1"/>
  <c r="BG550" i="7" s="1"/>
  <c r="BG551" i="7" s="1"/>
  <c r="BF548" i="7"/>
  <c r="BF549" i="7" s="1"/>
  <c r="BF550" i="7" s="1"/>
  <c r="BF551" i="7" s="1"/>
  <c r="BD548" i="7"/>
  <c r="BD549" i="7" s="1"/>
  <c r="BD550" i="7" s="1"/>
  <c r="BD551" i="7" s="1"/>
  <c r="BC548" i="7"/>
  <c r="BC549" i="7" s="1"/>
  <c r="BC550" i="7" s="1"/>
  <c r="BC551" i="7" s="1"/>
  <c r="BB548" i="7"/>
  <c r="BB549" i="7" s="1"/>
  <c r="BB550" i="7" s="1"/>
  <c r="BB551" i="7" s="1"/>
  <c r="BA548" i="7"/>
  <c r="BA549" i="7" s="1"/>
  <c r="BA550" i="7" s="1"/>
  <c r="BA551" i="7" s="1"/>
  <c r="AZ548" i="7"/>
  <c r="AZ549" i="7" s="1"/>
  <c r="AZ550" i="7" s="1"/>
  <c r="AZ551" i="7" s="1"/>
  <c r="AY548" i="7"/>
  <c r="AY549" i="7" s="1"/>
  <c r="AY550" i="7" s="1"/>
  <c r="AY551" i="7" s="1"/>
  <c r="AX548" i="7"/>
  <c r="AX549" i="7" s="1"/>
  <c r="AX550" i="7" s="1"/>
  <c r="AX551" i="7" s="1"/>
  <c r="AW548" i="7"/>
  <c r="AW549" i="7" s="1"/>
  <c r="AW550" i="7" s="1"/>
  <c r="AW551" i="7" s="1"/>
  <c r="AV548" i="7"/>
  <c r="AV549" i="7" s="1"/>
  <c r="AV550" i="7" s="1"/>
  <c r="AV551" i="7" s="1"/>
  <c r="AU548" i="7"/>
  <c r="AU549" i="7" s="1"/>
  <c r="AU550" i="7" s="1"/>
  <c r="AU551" i="7" s="1"/>
  <c r="AT548" i="7"/>
  <c r="AT549" i="7" s="1"/>
  <c r="AT550" i="7" s="1"/>
  <c r="AT551" i="7" s="1"/>
  <c r="AS548" i="7"/>
  <c r="AS549" i="7" s="1"/>
  <c r="AS550" i="7" s="1"/>
  <c r="AS551" i="7" s="1"/>
  <c r="AR548" i="7"/>
  <c r="AR549" i="7" s="1"/>
  <c r="AR550" i="7" s="1"/>
  <c r="AR551" i="7" s="1"/>
  <c r="AQ548" i="7"/>
  <c r="AQ549" i="7" s="1"/>
  <c r="AQ550" i="7" s="1"/>
  <c r="AQ551" i="7" s="1"/>
  <c r="AP548" i="7"/>
  <c r="AP549" i="7" s="1"/>
  <c r="AP550" i="7" s="1"/>
  <c r="AP551" i="7" s="1"/>
  <c r="AO548" i="7"/>
  <c r="AO549" i="7" s="1"/>
  <c r="AO550" i="7" s="1"/>
  <c r="AO551" i="7" s="1"/>
  <c r="AN548" i="7"/>
  <c r="AN549" i="7" s="1"/>
  <c r="AN550" i="7" s="1"/>
  <c r="AN551" i="7" s="1"/>
  <c r="AM548" i="7"/>
  <c r="AM549" i="7" s="1"/>
  <c r="AM550" i="7" s="1"/>
  <c r="AM551" i="7" s="1"/>
  <c r="AL548" i="7"/>
  <c r="AL549" i="7" s="1"/>
  <c r="AL550" i="7" s="1"/>
  <c r="AL551" i="7" s="1"/>
  <c r="AK548" i="7"/>
  <c r="AK549" i="7" s="1"/>
  <c r="AK550" i="7" s="1"/>
  <c r="AK551" i="7" s="1"/>
  <c r="AJ548" i="7"/>
  <c r="AJ549" i="7" s="1"/>
  <c r="AJ550" i="7" s="1"/>
  <c r="AJ551" i="7" s="1"/>
  <c r="AI548" i="7"/>
  <c r="AI549" i="7" s="1"/>
  <c r="AI550" i="7" s="1"/>
  <c r="AI551" i="7" s="1"/>
  <c r="AH548" i="7"/>
  <c r="AH549" i="7" s="1"/>
  <c r="AH550" i="7" s="1"/>
  <c r="AH551" i="7" s="1"/>
  <c r="AG548" i="7"/>
  <c r="AG549" i="7" s="1"/>
  <c r="AG550" i="7" s="1"/>
  <c r="AG551" i="7" s="1"/>
  <c r="AF548" i="7"/>
  <c r="AF549" i="7" s="1"/>
  <c r="AF550" i="7" s="1"/>
  <c r="AF551" i="7" s="1"/>
  <c r="AE548" i="7"/>
  <c r="AE549" i="7" s="1"/>
  <c r="AE550" i="7" s="1"/>
  <c r="AE551" i="7" s="1"/>
  <c r="AD548" i="7"/>
  <c r="AD549" i="7" s="1"/>
  <c r="AD550" i="7" s="1"/>
  <c r="AD551" i="7" s="1"/>
  <c r="AC548" i="7"/>
  <c r="AC549" i="7" s="1"/>
  <c r="AC550" i="7" s="1"/>
  <c r="AC551" i="7" s="1"/>
  <c r="AB548" i="7"/>
  <c r="AB549" i="7" s="1"/>
  <c r="AB550" i="7" s="1"/>
  <c r="AB551" i="7" s="1"/>
  <c r="AA548" i="7"/>
  <c r="AA549" i="7" s="1"/>
  <c r="AA550" i="7" s="1"/>
  <c r="AA551" i="7" s="1"/>
  <c r="Z548" i="7"/>
  <c r="Z549" i="7" s="1"/>
  <c r="Z550" i="7" s="1"/>
  <c r="Z551" i="7" s="1"/>
  <c r="Y548" i="7"/>
  <c r="Y549" i="7" s="1"/>
  <c r="Y550" i="7" s="1"/>
  <c r="Y551" i="7" s="1"/>
  <c r="X548" i="7"/>
  <c r="X549" i="7" s="1"/>
  <c r="X550" i="7" s="1"/>
  <c r="X551" i="7" s="1"/>
  <c r="W548" i="7"/>
  <c r="W549" i="7" s="1"/>
  <c r="W550" i="7" s="1"/>
  <c r="W551" i="7" s="1"/>
  <c r="V548" i="7"/>
  <c r="V549" i="7" s="1"/>
  <c r="V550" i="7" s="1"/>
  <c r="V551" i="7" s="1"/>
  <c r="U548" i="7"/>
  <c r="U549" i="7" s="1"/>
  <c r="U550" i="7" s="1"/>
  <c r="U551" i="7" s="1"/>
  <c r="T548" i="7"/>
  <c r="T549" i="7" s="1"/>
  <c r="T550" i="7" s="1"/>
  <c r="T551" i="7" s="1"/>
  <c r="S548" i="7"/>
  <c r="S549" i="7" s="1"/>
  <c r="S550" i="7" s="1"/>
  <c r="S551" i="7" s="1"/>
  <c r="R548" i="7"/>
  <c r="R549" i="7" s="1"/>
  <c r="R550" i="7" s="1"/>
  <c r="R551" i="7" s="1"/>
  <c r="CB548" i="7"/>
  <c r="CB549" i="7" s="1"/>
  <c r="CB550" i="7" s="1"/>
  <c r="CB551" i="7" s="1"/>
  <c r="I14" i="6" s="1"/>
  <c r="CA547" i="7"/>
  <c r="CA548" i="7" s="1"/>
  <c r="CA549" i="7" s="1"/>
  <c r="CA550" i="7" s="1"/>
  <c r="CA551" i="7" s="1"/>
  <c r="G14" i="6" s="1"/>
  <c r="BY538" i="7"/>
  <c r="BY539" i="7"/>
  <c r="BX538" i="7"/>
  <c r="BX539" i="7" s="1"/>
  <c r="BW538" i="7"/>
  <c r="BW539" i="7" s="1"/>
  <c r="BV538" i="7"/>
  <c r="BV539" i="7" s="1"/>
  <c r="BU538" i="7"/>
  <c r="BU539" i="7"/>
  <c r="BT538" i="7"/>
  <c r="BT539" i="7" s="1"/>
  <c r="BS538" i="7"/>
  <c r="BS539" i="7" s="1"/>
  <c r="BR538" i="7"/>
  <c r="BR539" i="7" s="1"/>
  <c r="BQ538" i="7"/>
  <c r="BQ539" i="7"/>
  <c r="BP538" i="7"/>
  <c r="BP539" i="7" s="1"/>
  <c r="BO538" i="7"/>
  <c r="BO539" i="7" s="1"/>
  <c r="BN538" i="7"/>
  <c r="BN539" i="7" s="1"/>
  <c r="BM538" i="7"/>
  <c r="BM539" i="7" s="1"/>
  <c r="BL538" i="7"/>
  <c r="BL539" i="7" s="1"/>
  <c r="BJ538" i="7"/>
  <c r="BJ539" i="7" s="1"/>
  <c r="BI538" i="7"/>
  <c r="BI539" i="7" s="1"/>
  <c r="BH538" i="7"/>
  <c r="BH539" i="7" s="1"/>
  <c r="BG538" i="7"/>
  <c r="BG539" i="7"/>
  <c r="BF538" i="7"/>
  <c r="BF539" i="7" s="1"/>
  <c r="BE538" i="7"/>
  <c r="BE539" i="7" s="1"/>
  <c r="BD538" i="7"/>
  <c r="BD539" i="7" s="1"/>
  <c r="BC538" i="7"/>
  <c r="BC539" i="7"/>
  <c r="BB538" i="7"/>
  <c r="BB539" i="7" s="1"/>
  <c r="BA538" i="7"/>
  <c r="BA539" i="7" s="1"/>
  <c r="AZ538" i="7"/>
  <c r="AZ539" i="7" s="1"/>
  <c r="AY538" i="7"/>
  <c r="AY539" i="7"/>
  <c r="AX538" i="7"/>
  <c r="AX539" i="7" s="1"/>
  <c r="AW538" i="7"/>
  <c r="AW539" i="7" s="1"/>
  <c r="AV538" i="7"/>
  <c r="AV539" i="7" s="1"/>
  <c r="AU538" i="7"/>
  <c r="AU539" i="7"/>
  <c r="AT538" i="7"/>
  <c r="AT539" i="7" s="1"/>
  <c r="AS538" i="7"/>
  <c r="AS539" i="7" s="1"/>
  <c r="AR538" i="7"/>
  <c r="AR539" i="7" s="1"/>
  <c r="AQ538" i="7"/>
  <c r="AQ539" i="7"/>
  <c r="AP538" i="7"/>
  <c r="AP539" i="7" s="1"/>
  <c r="AO538" i="7"/>
  <c r="AO539" i="7" s="1"/>
  <c r="AN538" i="7"/>
  <c r="AN539" i="7" s="1"/>
  <c r="AM538" i="7"/>
  <c r="AM539" i="7"/>
  <c r="AL538" i="7"/>
  <c r="AL539" i="7" s="1"/>
  <c r="AK538" i="7"/>
  <c r="AK539" i="7" s="1"/>
  <c r="AJ538" i="7"/>
  <c r="AJ539" i="7" s="1"/>
  <c r="AI538" i="7"/>
  <c r="AI539" i="7"/>
  <c r="AH538" i="7"/>
  <c r="AH539" i="7" s="1"/>
  <c r="AG538" i="7"/>
  <c r="AG539" i="7" s="1"/>
  <c r="AF538" i="7"/>
  <c r="AF539" i="7" s="1"/>
  <c r="AE538" i="7"/>
  <c r="AE539" i="7"/>
  <c r="AD538" i="7"/>
  <c r="AD539" i="7" s="1"/>
  <c r="AC538" i="7"/>
  <c r="AC539" i="7" s="1"/>
  <c r="AB538" i="7"/>
  <c r="AB539" i="7" s="1"/>
  <c r="AA538" i="7"/>
  <c r="AA539" i="7"/>
  <c r="Z538" i="7"/>
  <c r="Z539" i="7" s="1"/>
  <c r="Y538" i="7"/>
  <c r="Y539" i="7" s="1"/>
  <c r="X538" i="7"/>
  <c r="X539" i="7" s="1"/>
  <c r="W538" i="7"/>
  <c r="W539" i="7" s="1"/>
  <c r="V538" i="7"/>
  <c r="V539" i="7" s="1"/>
  <c r="T538" i="7"/>
  <c r="T539" i="7" s="1"/>
  <c r="S538" i="7"/>
  <c r="S539" i="7" s="1"/>
  <c r="R538" i="7"/>
  <c r="R539" i="7" s="1"/>
  <c r="CB537" i="7"/>
  <c r="CA537" i="7"/>
  <c r="CB536" i="7"/>
  <c r="CA536" i="7"/>
  <c r="CB535" i="7"/>
  <c r="CA535" i="7"/>
  <c r="CB534" i="7"/>
  <c r="CA534" i="7"/>
  <c r="BY529" i="7"/>
  <c r="BX529" i="7"/>
  <c r="BW529" i="7"/>
  <c r="BV529" i="7"/>
  <c r="BU529" i="7"/>
  <c r="BT529" i="7"/>
  <c r="BS529" i="7"/>
  <c r="BR529" i="7"/>
  <c r="BQ529" i="7"/>
  <c r="BP529" i="7"/>
  <c r="BO529" i="7"/>
  <c r="BN529" i="7"/>
  <c r="BM529" i="7"/>
  <c r="BL529" i="7"/>
  <c r="BJ529" i="7"/>
  <c r="BI529" i="7"/>
  <c r="BH529" i="7"/>
  <c r="BG529" i="7"/>
  <c r="BF529" i="7"/>
  <c r="BE529" i="7"/>
  <c r="BD529" i="7"/>
  <c r="BC529" i="7"/>
  <c r="BB529" i="7"/>
  <c r="BA529" i="7"/>
  <c r="AZ529" i="7"/>
  <c r="AY529" i="7"/>
  <c r="AX529" i="7"/>
  <c r="AW529" i="7"/>
  <c r="AV529" i="7"/>
  <c r="AU529" i="7"/>
  <c r="AT529" i="7"/>
  <c r="AS529" i="7"/>
  <c r="AR529" i="7"/>
  <c r="AQ529" i="7"/>
  <c r="AP529" i="7"/>
  <c r="AO529" i="7"/>
  <c r="AN529" i="7"/>
  <c r="AM529" i="7"/>
  <c r="AL529" i="7"/>
  <c r="AK529" i="7"/>
  <c r="AJ529" i="7"/>
  <c r="AI529" i="7"/>
  <c r="AH529" i="7"/>
  <c r="AG529" i="7"/>
  <c r="AF529" i="7"/>
  <c r="AE529" i="7"/>
  <c r="AD529" i="7"/>
  <c r="AC529" i="7"/>
  <c r="AB529" i="7"/>
  <c r="AA529" i="7"/>
  <c r="Z529" i="7"/>
  <c r="Y529" i="7"/>
  <c r="X529" i="7"/>
  <c r="W529" i="7"/>
  <c r="V529" i="7"/>
  <c r="U529" i="7"/>
  <c r="T529" i="7"/>
  <c r="S529" i="7"/>
  <c r="R529" i="7"/>
  <c r="CB528" i="7"/>
  <c r="CB529" i="7" s="1"/>
  <c r="CA528" i="7"/>
  <c r="CA529" i="7" s="1"/>
  <c r="BK529" i="7"/>
  <c r="BY525" i="7"/>
  <c r="BX525" i="7"/>
  <c r="BW525" i="7"/>
  <c r="BV525" i="7"/>
  <c r="BU525" i="7"/>
  <c r="BT525" i="7"/>
  <c r="BS525" i="7"/>
  <c r="BR525" i="7"/>
  <c r="BQ525" i="7"/>
  <c r="BP525" i="7"/>
  <c r="BO525" i="7"/>
  <c r="BN525" i="7"/>
  <c r="BM525" i="7"/>
  <c r="BL525" i="7"/>
  <c r="BJ525" i="7"/>
  <c r="BI525" i="7"/>
  <c r="BH525" i="7"/>
  <c r="BG525" i="7"/>
  <c r="BF525" i="7"/>
  <c r="BE525" i="7"/>
  <c r="BD525" i="7"/>
  <c r="BC525" i="7"/>
  <c r="BB525" i="7"/>
  <c r="BA525" i="7"/>
  <c r="AZ525" i="7"/>
  <c r="AY525" i="7"/>
  <c r="AX525" i="7"/>
  <c r="AW525" i="7"/>
  <c r="AV525" i="7"/>
  <c r="AU525" i="7"/>
  <c r="AT525" i="7"/>
  <c r="AS525" i="7"/>
  <c r="AR525" i="7"/>
  <c r="AQ525" i="7"/>
  <c r="AP525" i="7"/>
  <c r="AO525" i="7"/>
  <c r="AN525" i="7"/>
  <c r="AM525" i="7"/>
  <c r="AL525" i="7"/>
  <c r="AK525" i="7"/>
  <c r="AJ525" i="7"/>
  <c r="AI525" i="7"/>
  <c r="AH525" i="7"/>
  <c r="AG525" i="7"/>
  <c r="AF525" i="7"/>
  <c r="AE525" i="7"/>
  <c r="AD525" i="7"/>
  <c r="AC525" i="7"/>
  <c r="AB525" i="7"/>
  <c r="AA525" i="7"/>
  <c r="Z525" i="7"/>
  <c r="Y525" i="7"/>
  <c r="X525" i="7"/>
  <c r="W525" i="7"/>
  <c r="V525" i="7"/>
  <c r="U525" i="7"/>
  <c r="T525" i="7"/>
  <c r="S525" i="7"/>
  <c r="R525" i="7"/>
  <c r="CB524" i="7"/>
  <c r="CB525" i="7" s="1"/>
  <c r="CA524" i="7"/>
  <c r="CA525" i="7" s="1"/>
  <c r="BK525" i="7"/>
  <c r="BY521" i="7"/>
  <c r="BX521" i="7"/>
  <c r="BW521" i="7"/>
  <c r="BV521" i="7"/>
  <c r="BU521" i="7"/>
  <c r="BT521" i="7"/>
  <c r="BS521" i="7"/>
  <c r="BR521" i="7"/>
  <c r="BQ521" i="7"/>
  <c r="BP521" i="7"/>
  <c r="BO521" i="7"/>
  <c r="BN521" i="7"/>
  <c r="BM521" i="7"/>
  <c r="BL521" i="7"/>
  <c r="BJ521" i="7"/>
  <c r="BI521" i="7"/>
  <c r="BH521" i="7"/>
  <c r="BG521" i="7"/>
  <c r="BF521" i="7"/>
  <c r="BE521" i="7"/>
  <c r="BD521" i="7"/>
  <c r="BC521" i="7"/>
  <c r="BB521" i="7"/>
  <c r="BA521" i="7"/>
  <c r="AZ521" i="7"/>
  <c r="AY521" i="7"/>
  <c r="AX521" i="7"/>
  <c r="AW521" i="7"/>
  <c r="AV521" i="7"/>
  <c r="AU521" i="7"/>
  <c r="AT521" i="7"/>
  <c r="AS521" i="7"/>
  <c r="AR521" i="7"/>
  <c r="AQ521" i="7"/>
  <c r="AP521" i="7"/>
  <c r="AO521" i="7"/>
  <c r="AN521" i="7"/>
  <c r="AM521" i="7"/>
  <c r="AL521" i="7"/>
  <c r="AK521" i="7"/>
  <c r="AJ521" i="7"/>
  <c r="AI521" i="7"/>
  <c r="AH521" i="7"/>
  <c r="AG521" i="7"/>
  <c r="AF521" i="7"/>
  <c r="AE521" i="7"/>
  <c r="AD521" i="7"/>
  <c r="AC521" i="7"/>
  <c r="AB521" i="7"/>
  <c r="AA521" i="7"/>
  <c r="Z521" i="7"/>
  <c r="Y521" i="7"/>
  <c r="X521" i="7"/>
  <c r="W521" i="7"/>
  <c r="V521" i="7"/>
  <c r="U521" i="7"/>
  <c r="T521" i="7"/>
  <c r="S521" i="7"/>
  <c r="R521" i="7"/>
  <c r="CB520" i="7"/>
  <c r="CB521" i="7"/>
  <c r="CA520" i="7"/>
  <c r="CA521" i="7" s="1"/>
  <c r="BK521" i="7"/>
  <c r="BY517" i="7"/>
  <c r="BX517" i="7"/>
  <c r="BW517" i="7"/>
  <c r="BV517" i="7"/>
  <c r="BU517" i="7"/>
  <c r="BT517" i="7"/>
  <c r="BS517" i="7"/>
  <c r="BR517" i="7"/>
  <c r="BQ517" i="7"/>
  <c r="BP517" i="7"/>
  <c r="BO517" i="7"/>
  <c r="BN517" i="7"/>
  <c r="BM517" i="7"/>
  <c r="BL517" i="7"/>
  <c r="BJ517" i="7"/>
  <c r="BI517" i="7"/>
  <c r="BH517" i="7"/>
  <c r="BG517" i="7"/>
  <c r="BF517" i="7"/>
  <c r="BE517" i="7"/>
  <c r="BD517" i="7"/>
  <c r="BC517" i="7"/>
  <c r="BB517" i="7"/>
  <c r="BA517" i="7"/>
  <c r="AZ517" i="7"/>
  <c r="AY517" i="7"/>
  <c r="AX517" i="7"/>
  <c r="AW517" i="7"/>
  <c r="AV517" i="7"/>
  <c r="AU517" i="7"/>
  <c r="AT517" i="7"/>
  <c r="AS517" i="7"/>
  <c r="AR517" i="7"/>
  <c r="AQ517" i="7"/>
  <c r="AP517" i="7"/>
  <c r="AO517" i="7"/>
  <c r="AN517" i="7"/>
  <c r="AM517" i="7"/>
  <c r="AL517" i="7"/>
  <c r="AK517" i="7"/>
  <c r="AJ517" i="7"/>
  <c r="AI517" i="7"/>
  <c r="AH517" i="7"/>
  <c r="AG517" i="7"/>
  <c r="AF517" i="7"/>
  <c r="AE517" i="7"/>
  <c r="AD517" i="7"/>
  <c r="AC517" i="7"/>
  <c r="AB517" i="7"/>
  <c r="AA517" i="7"/>
  <c r="Z517" i="7"/>
  <c r="Y517" i="7"/>
  <c r="X517" i="7"/>
  <c r="W517" i="7"/>
  <c r="V517" i="7"/>
  <c r="U517" i="7"/>
  <c r="T517" i="7"/>
  <c r="S517" i="7"/>
  <c r="R517" i="7"/>
  <c r="CB516" i="7"/>
  <c r="CA516" i="7"/>
  <c r="CB515" i="7"/>
  <c r="CA515" i="7"/>
  <c r="BY512" i="7"/>
  <c r="BX512" i="7"/>
  <c r="BW512" i="7"/>
  <c r="BV512" i="7"/>
  <c r="BU512" i="7"/>
  <c r="BT512" i="7"/>
  <c r="BS512" i="7"/>
  <c r="BR512" i="7"/>
  <c r="BQ512" i="7"/>
  <c r="BP512" i="7"/>
  <c r="BO512" i="7"/>
  <c r="BN512" i="7"/>
  <c r="BM512" i="7"/>
  <c r="BL512" i="7"/>
  <c r="BJ512" i="7"/>
  <c r="BI512" i="7"/>
  <c r="BH512" i="7"/>
  <c r="BG512" i="7"/>
  <c r="BF512" i="7"/>
  <c r="BE512" i="7"/>
  <c r="BD512" i="7"/>
  <c r="BC512" i="7"/>
  <c r="BB512" i="7"/>
  <c r="BA512" i="7"/>
  <c r="AZ512" i="7"/>
  <c r="AY512" i="7"/>
  <c r="AX512" i="7"/>
  <c r="AW512" i="7"/>
  <c r="AV512" i="7"/>
  <c r="AU512" i="7"/>
  <c r="AT512" i="7"/>
  <c r="AS512" i="7"/>
  <c r="AR512" i="7"/>
  <c r="AQ512" i="7"/>
  <c r="AP512" i="7"/>
  <c r="AO512" i="7"/>
  <c r="AN512" i="7"/>
  <c r="AM512" i="7"/>
  <c r="AL512" i="7"/>
  <c r="AK512" i="7"/>
  <c r="AJ512" i="7"/>
  <c r="AI512" i="7"/>
  <c r="AH512" i="7"/>
  <c r="AG512" i="7"/>
  <c r="AF512" i="7"/>
  <c r="AE512" i="7"/>
  <c r="AD512" i="7"/>
  <c r="AC512" i="7"/>
  <c r="AB512" i="7"/>
  <c r="AA512" i="7"/>
  <c r="Z512" i="7"/>
  <c r="Y512" i="7"/>
  <c r="X512" i="7"/>
  <c r="W512" i="7"/>
  <c r="V512" i="7"/>
  <c r="U512" i="7"/>
  <c r="T512" i="7"/>
  <c r="S512" i="7"/>
  <c r="R512" i="7"/>
  <c r="CB511" i="7"/>
  <c r="CA511" i="7"/>
  <c r="CB510" i="7"/>
  <c r="CA510" i="7"/>
  <c r="BY505" i="7"/>
  <c r="BX505" i="7"/>
  <c r="BW505" i="7"/>
  <c r="BV505" i="7"/>
  <c r="BU505" i="7"/>
  <c r="BT505" i="7"/>
  <c r="BS505" i="7"/>
  <c r="BR505" i="7"/>
  <c r="BQ505" i="7"/>
  <c r="BP505" i="7"/>
  <c r="BO505" i="7"/>
  <c r="BN505" i="7"/>
  <c r="BM505" i="7"/>
  <c r="BL505" i="7"/>
  <c r="BJ505" i="7"/>
  <c r="BI505" i="7"/>
  <c r="BH505" i="7"/>
  <c r="BG505" i="7"/>
  <c r="BF505" i="7"/>
  <c r="BE505" i="7"/>
  <c r="BD505" i="7"/>
  <c r="BC505" i="7"/>
  <c r="BB505" i="7"/>
  <c r="BA505" i="7"/>
  <c r="AZ505" i="7"/>
  <c r="AY505" i="7"/>
  <c r="AX505" i="7"/>
  <c r="AW505" i="7"/>
  <c r="AV505" i="7"/>
  <c r="AU505" i="7"/>
  <c r="AT505" i="7"/>
  <c r="AS505" i="7"/>
  <c r="AR505" i="7"/>
  <c r="AQ505" i="7"/>
  <c r="AP505" i="7"/>
  <c r="AO505" i="7"/>
  <c r="AN505" i="7"/>
  <c r="AM505" i="7"/>
  <c r="AL505" i="7"/>
  <c r="AK505" i="7"/>
  <c r="AJ505" i="7"/>
  <c r="AI505" i="7"/>
  <c r="AH505" i="7"/>
  <c r="AG505" i="7"/>
  <c r="AF505" i="7"/>
  <c r="AE505" i="7"/>
  <c r="AD505" i="7"/>
  <c r="AC505" i="7"/>
  <c r="AB505" i="7"/>
  <c r="AA505" i="7"/>
  <c r="Z505" i="7"/>
  <c r="Y505" i="7"/>
  <c r="X505" i="7"/>
  <c r="W505" i="7"/>
  <c r="V505" i="7"/>
  <c r="U505" i="7"/>
  <c r="T505" i="7"/>
  <c r="S505" i="7"/>
  <c r="R505" i="7"/>
  <c r="CB504" i="7"/>
  <c r="CB505" i="7" s="1"/>
  <c r="CA504" i="7"/>
  <c r="CA505" i="7" s="1"/>
  <c r="BK505" i="7"/>
  <c r="BY501" i="7"/>
  <c r="BX501" i="7"/>
  <c r="BW501" i="7"/>
  <c r="BV501" i="7"/>
  <c r="BU501" i="7"/>
  <c r="BT501" i="7"/>
  <c r="BS501" i="7"/>
  <c r="BR501" i="7"/>
  <c r="BQ501" i="7"/>
  <c r="BP501" i="7"/>
  <c r="BO501" i="7"/>
  <c r="BN501" i="7"/>
  <c r="BM501" i="7"/>
  <c r="BL501" i="7"/>
  <c r="BJ501" i="7"/>
  <c r="BI501" i="7"/>
  <c r="BH501" i="7"/>
  <c r="BG501" i="7"/>
  <c r="BF501" i="7"/>
  <c r="BE501" i="7"/>
  <c r="BD501" i="7"/>
  <c r="BC501" i="7"/>
  <c r="BB501" i="7"/>
  <c r="BA501" i="7"/>
  <c r="AZ501" i="7"/>
  <c r="AY501" i="7"/>
  <c r="AX501" i="7"/>
  <c r="AW501" i="7"/>
  <c r="AV501" i="7"/>
  <c r="AU501" i="7"/>
  <c r="AT501" i="7"/>
  <c r="AS501" i="7"/>
  <c r="AR501" i="7"/>
  <c r="AQ501" i="7"/>
  <c r="AP501" i="7"/>
  <c r="AO501" i="7"/>
  <c r="AN501" i="7"/>
  <c r="AM501" i="7"/>
  <c r="AL501" i="7"/>
  <c r="AK501" i="7"/>
  <c r="AJ501" i="7"/>
  <c r="AI501" i="7"/>
  <c r="AH501" i="7"/>
  <c r="AG501" i="7"/>
  <c r="AF501" i="7"/>
  <c r="AE501" i="7"/>
  <c r="AD501" i="7"/>
  <c r="AC501" i="7"/>
  <c r="AB501" i="7"/>
  <c r="AA501" i="7"/>
  <c r="Z501" i="7"/>
  <c r="Y501" i="7"/>
  <c r="X501" i="7"/>
  <c r="W501" i="7"/>
  <c r="V501" i="7"/>
  <c r="U501" i="7"/>
  <c r="T501" i="7"/>
  <c r="S501" i="7"/>
  <c r="R501" i="7"/>
  <c r="CB500" i="7"/>
  <c r="CA500" i="7"/>
  <c r="CB499" i="7"/>
  <c r="CA499" i="7"/>
  <c r="CB498" i="7"/>
  <c r="CA498" i="7"/>
  <c r="BY495" i="7"/>
  <c r="BX495" i="7"/>
  <c r="BW495" i="7"/>
  <c r="BV495" i="7"/>
  <c r="BU495" i="7"/>
  <c r="BT495" i="7"/>
  <c r="BS495" i="7"/>
  <c r="BR495" i="7"/>
  <c r="BQ495" i="7"/>
  <c r="BP495" i="7"/>
  <c r="BO495" i="7"/>
  <c r="BN495" i="7"/>
  <c r="BM495" i="7"/>
  <c r="BL495" i="7"/>
  <c r="BJ495" i="7"/>
  <c r="BI495" i="7"/>
  <c r="BH495" i="7"/>
  <c r="BG495" i="7"/>
  <c r="BF495" i="7"/>
  <c r="BE495" i="7"/>
  <c r="BD495" i="7"/>
  <c r="BC495" i="7"/>
  <c r="BB495" i="7"/>
  <c r="BA495" i="7"/>
  <c r="AZ495" i="7"/>
  <c r="AY495" i="7"/>
  <c r="AX495" i="7"/>
  <c r="AW495" i="7"/>
  <c r="AV495" i="7"/>
  <c r="AU495" i="7"/>
  <c r="AT495" i="7"/>
  <c r="AS495" i="7"/>
  <c r="AR495" i="7"/>
  <c r="AQ495" i="7"/>
  <c r="AP495" i="7"/>
  <c r="AO495" i="7"/>
  <c r="AN495" i="7"/>
  <c r="AM495" i="7"/>
  <c r="AL495" i="7"/>
  <c r="AK495" i="7"/>
  <c r="AJ495" i="7"/>
  <c r="AI495" i="7"/>
  <c r="AH495" i="7"/>
  <c r="AG495" i="7"/>
  <c r="AF495" i="7"/>
  <c r="AE495" i="7"/>
  <c r="AD495" i="7"/>
  <c r="AC495" i="7"/>
  <c r="AB495" i="7"/>
  <c r="AA495" i="7"/>
  <c r="Z495" i="7"/>
  <c r="Y495" i="7"/>
  <c r="X495" i="7"/>
  <c r="W495" i="7"/>
  <c r="V495" i="7"/>
  <c r="U495" i="7"/>
  <c r="T495" i="7"/>
  <c r="S495" i="7"/>
  <c r="R495" i="7"/>
  <c r="CB494" i="7"/>
  <c r="CA494" i="7"/>
  <c r="CB493" i="7"/>
  <c r="CA493" i="7"/>
  <c r="CB492" i="7"/>
  <c r="CA492" i="7"/>
  <c r="BY489" i="7"/>
  <c r="BX489" i="7"/>
  <c r="BW489" i="7"/>
  <c r="BV489" i="7"/>
  <c r="BU489" i="7"/>
  <c r="BT489" i="7"/>
  <c r="BS489" i="7"/>
  <c r="BR489" i="7"/>
  <c r="BQ489" i="7"/>
  <c r="BP489" i="7"/>
  <c r="BO489" i="7"/>
  <c r="BN489" i="7"/>
  <c r="BM489" i="7"/>
  <c r="BL489" i="7"/>
  <c r="BJ489" i="7"/>
  <c r="BI489" i="7"/>
  <c r="BH489" i="7"/>
  <c r="BG489" i="7"/>
  <c r="BF489" i="7"/>
  <c r="BE489" i="7"/>
  <c r="BD489" i="7"/>
  <c r="BC489" i="7"/>
  <c r="BB489" i="7"/>
  <c r="BA489" i="7"/>
  <c r="AZ489" i="7"/>
  <c r="AY489" i="7"/>
  <c r="AX489" i="7"/>
  <c r="AW489" i="7"/>
  <c r="AV489" i="7"/>
  <c r="AU489" i="7"/>
  <c r="AT489" i="7"/>
  <c r="AS489" i="7"/>
  <c r="AR489" i="7"/>
  <c r="AQ489" i="7"/>
  <c r="AP489" i="7"/>
  <c r="AO489" i="7"/>
  <c r="AN489" i="7"/>
  <c r="AM489" i="7"/>
  <c r="AL489" i="7"/>
  <c r="AK489" i="7"/>
  <c r="AJ489" i="7"/>
  <c r="AI489" i="7"/>
  <c r="AH489" i="7"/>
  <c r="AG489" i="7"/>
  <c r="AF489" i="7"/>
  <c r="AE489" i="7"/>
  <c r="AD489" i="7"/>
  <c r="AC489" i="7"/>
  <c r="AB489" i="7"/>
  <c r="AA489" i="7"/>
  <c r="Z489" i="7"/>
  <c r="Y489" i="7"/>
  <c r="X489" i="7"/>
  <c r="W489" i="7"/>
  <c r="V489" i="7"/>
  <c r="U489" i="7"/>
  <c r="T489" i="7"/>
  <c r="S489" i="7"/>
  <c r="R489" i="7"/>
  <c r="CB488" i="7"/>
  <c r="CB489" i="7" s="1"/>
  <c r="CA488" i="7"/>
  <c r="CA489" i="7" s="1"/>
  <c r="AF483" i="7"/>
  <c r="AF484" i="7" s="1"/>
  <c r="BY483" i="7"/>
  <c r="BY484" i="7" s="1"/>
  <c r="BX483" i="7"/>
  <c r="BX484" i="7"/>
  <c r="BW483" i="7"/>
  <c r="BW484" i="7" s="1"/>
  <c r="BV483" i="7"/>
  <c r="BV484" i="7" s="1"/>
  <c r="BU483" i="7"/>
  <c r="BU484" i="7" s="1"/>
  <c r="BT483" i="7"/>
  <c r="BT484" i="7"/>
  <c r="BS483" i="7"/>
  <c r="BS484" i="7" s="1"/>
  <c r="BR483" i="7"/>
  <c r="BR484" i="7" s="1"/>
  <c r="BQ483" i="7"/>
  <c r="BQ484" i="7" s="1"/>
  <c r="BP483" i="7"/>
  <c r="BP484" i="7"/>
  <c r="BO483" i="7"/>
  <c r="BO484" i="7" s="1"/>
  <c r="BN483" i="7"/>
  <c r="BN484" i="7" s="1"/>
  <c r="BM483" i="7"/>
  <c r="BM484" i="7" s="1"/>
  <c r="BL483" i="7"/>
  <c r="BL484" i="7" s="1"/>
  <c r="BJ483" i="7"/>
  <c r="BJ484" i="7" s="1"/>
  <c r="BI483" i="7"/>
  <c r="BI484" i="7" s="1"/>
  <c r="BH483" i="7"/>
  <c r="BH484" i="7"/>
  <c r="BG483" i="7"/>
  <c r="BG484" i="7" s="1"/>
  <c r="BF483" i="7"/>
  <c r="BF484" i="7" s="1"/>
  <c r="BE483" i="7"/>
  <c r="BE484" i="7" s="1"/>
  <c r="BD483" i="7"/>
  <c r="BD484" i="7"/>
  <c r="BC483" i="7"/>
  <c r="BC484" i="7" s="1"/>
  <c r="BB483" i="7"/>
  <c r="BB484" i="7" s="1"/>
  <c r="BA483" i="7"/>
  <c r="BA484" i="7" s="1"/>
  <c r="AZ483" i="7"/>
  <c r="AZ484" i="7"/>
  <c r="AY483" i="7"/>
  <c r="AY484" i="7" s="1"/>
  <c r="AX483" i="7"/>
  <c r="AX484" i="7" s="1"/>
  <c r="AW483" i="7"/>
  <c r="AW484" i="7" s="1"/>
  <c r="AV483" i="7"/>
  <c r="AV484" i="7"/>
  <c r="AU483" i="7"/>
  <c r="AU484" i="7" s="1"/>
  <c r="AT483" i="7"/>
  <c r="AT484" i="7" s="1"/>
  <c r="AS483" i="7"/>
  <c r="AS484" i="7" s="1"/>
  <c r="AR483" i="7"/>
  <c r="AR484" i="7"/>
  <c r="AQ483" i="7"/>
  <c r="AQ484" i="7" s="1"/>
  <c r="AP483" i="7"/>
  <c r="AP484" i="7" s="1"/>
  <c r="AO483" i="7"/>
  <c r="AO484" i="7" s="1"/>
  <c r="AN483" i="7"/>
  <c r="AN484" i="7"/>
  <c r="AM483" i="7"/>
  <c r="AM484" i="7" s="1"/>
  <c r="AL483" i="7"/>
  <c r="AL484" i="7" s="1"/>
  <c r="AK483" i="7"/>
  <c r="AK484" i="7" s="1"/>
  <c r="AJ483" i="7"/>
  <c r="AJ484" i="7"/>
  <c r="AI483" i="7"/>
  <c r="AI484" i="7" s="1"/>
  <c r="AH483" i="7"/>
  <c r="AH484" i="7" s="1"/>
  <c r="AG483" i="7"/>
  <c r="AG484" i="7" s="1"/>
  <c r="AE483" i="7"/>
  <c r="AE484" i="7"/>
  <c r="AD483" i="7"/>
  <c r="AD484" i="7" s="1"/>
  <c r="AC483" i="7"/>
  <c r="AC484" i="7" s="1"/>
  <c r="AB483" i="7"/>
  <c r="AB484" i="7" s="1"/>
  <c r="AA483" i="7"/>
  <c r="AA484" i="7"/>
  <c r="Z483" i="7"/>
  <c r="Z484" i="7" s="1"/>
  <c r="Y483" i="7"/>
  <c r="Y484" i="7" s="1"/>
  <c r="X483" i="7"/>
  <c r="X484" i="7" s="1"/>
  <c r="W483" i="7"/>
  <c r="W484" i="7"/>
  <c r="V483" i="7"/>
  <c r="V484" i="7" s="1"/>
  <c r="U483" i="7"/>
  <c r="U484" i="7" s="1"/>
  <c r="T483" i="7"/>
  <c r="T484" i="7" s="1"/>
  <c r="S483" i="7"/>
  <c r="S484" i="7"/>
  <c r="R483" i="7"/>
  <c r="R484" i="7" s="1"/>
  <c r="CB482" i="7"/>
  <c r="CA482" i="7"/>
  <c r="CB481" i="7"/>
  <c r="CB483" i="7" s="1"/>
  <c r="CB484" i="7" s="1"/>
  <c r="CA481" i="7"/>
  <c r="BY472" i="7"/>
  <c r="BY473" i="7" s="1"/>
  <c r="BX472" i="7"/>
  <c r="BX473" i="7" s="1"/>
  <c r="BW472" i="7"/>
  <c r="BW473" i="7"/>
  <c r="BV472" i="7"/>
  <c r="BV473" i="7" s="1"/>
  <c r="BU472" i="7"/>
  <c r="BU473" i="7" s="1"/>
  <c r="BT472" i="7"/>
  <c r="BT473" i="7" s="1"/>
  <c r="BS472" i="7"/>
  <c r="BS473" i="7"/>
  <c r="BR472" i="7"/>
  <c r="BR473" i="7" s="1"/>
  <c r="BQ472" i="7"/>
  <c r="BQ473" i="7" s="1"/>
  <c r="BP472" i="7"/>
  <c r="BP473" i="7" s="1"/>
  <c r="BO472" i="7"/>
  <c r="BO473" i="7"/>
  <c r="BN472" i="7"/>
  <c r="BN473" i="7" s="1"/>
  <c r="BM472" i="7"/>
  <c r="BM473" i="7" s="1"/>
  <c r="BL472" i="7"/>
  <c r="BL473" i="7" s="1"/>
  <c r="BK472" i="7"/>
  <c r="BK473" i="7"/>
  <c r="BJ472" i="7"/>
  <c r="BJ473" i="7" s="1"/>
  <c r="BI472" i="7"/>
  <c r="BI473" i="7" s="1"/>
  <c r="BH472" i="7"/>
  <c r="BH473" i="7" s="1"/>
  <c r="BG472" i="7"/>
  <c r="BG473" i="7"/>
  <c r="BF472" i="7"/>
  <c r="BF473" i="7" s="1"/>
  <c r="BE472" i="7"/>
  <c r="BE473" i="7" s="1"/>
  <c r="BD472" i="7"/>
  <c r="BD473" i="7" s="1"/>
  <c r="BC472" i="7"/>
  <c r="BC473" i="7"/>
  <c r="BB472" i="7"/>
  <c r="BB473" i="7" s="1"/>
  <c r="BA472" i="7"/>
  <c r="BA473" i="7" s="1"/>
  <c r="AZ472" i="7"/>
  <c r="AZ473" i="7" s="1"/>
  <c r="AY472" i="7"/>
  <c r="AY473" i="7"/>
  <c r="AX472" i="7"/>
  <c r="AX473" i="7" s="1"/>
  <c r="AW472" i="7"/>
  <c r="AW473" i="7" s="1"/>
  <c r="AV472" i="7"/>
  <c r="AV473" i="7" s="1"/>
  <c r="AU472" i="7"/>
  <c r="AU473" i="7"/>
  <c r="AT472" i="7"/>
  <c r="AT473" i="7" s="1"/>
  <c r="AS472" i="7"/>
  <c r="AS473" i="7" s="1"/>
  <c r="AR472" i="7"/>
  <c r="AR473" i="7" s="1"/>
  <c r="AQ472" i="7"/>
  <c r="AQ473" i="7"/>
  <c r="AP472" i="7"/>
  <c r="AP473" i="7" s="1"/>
  <c r="AO472" i="7"/>
  <c r="AO473" i="7" s="1"/>
  <c r="AN472" i="7"/>
  <c r="AN473" i="7" s="1"/>
  <c r="AM472" i="7"/>
  <c r="AM473" i="7"/>
  <c r="AL472" i="7"/>
  <c r="AL473" i="7" s="1"/>
  <c r="AK472" i="7"/>
  <c r="AK473" i="7" s="1"/>
  <c r="AJ472" i="7"/>
  <c r="AJ473" i="7" s="1"/>
  <c r="AI472" i="7"/>
  <c r="AI473" i="7"/>
  <c r="AH472" i="7"/>
  <c r="AH473" i="7" s="1"/>
  <c r="AG472" i="7"/>
  <c r="AG473" i="7" s="1"/>
  <c r="AF472" i="7"/>
  <c r="AF473" i="7" s="1"/>
  <c r="AE472" i="7"/>
  <c r="AE473" i="7"/>
  <c r="AD472" i="7"/>
  <c r="AD473" i="7" s="1"/>
  <c r="AC472" i="7"/>
  <c r="AC473" i="7" s="1"/>
  <c r="AB472" i="7"/>
  <c r="AB473" i="7" s="1"/>
  <c r="AA472" i="7"/>
  <c r="AA473" i="7"/>
  <c r="Z472" i="7"/>
  <c r="Z473" i="7" s="1"/>
  <c r="Y472" i="7"/>
  <c r="Y473" i="7" s="1"/>
  <c r="X472" i="7"/>
  <c r="X473" i="7" s="1"/>
  <c r="W472" i="7"/>
  <c r="W473" i="7"/>
  <c r="V472" i="7"/>
  <c r="V473" i="7" s="1"/>
  <c r="U472" i="7"/>
  <c r="U473" i="7" s="1"/>
  <c r="T472" i="7"/>
  <c r="T473" i="7" s="1"/>
  <c r="S472" i="7"/>
  <c r="S473" i="7"/>
  <c r="R472" i="7"/>
  <c r="R473" i="7" s="1"/>
  <c r="CB471" i="7"/>
  <c r="CB472" i="7" s="1"/>
  <c r="CB473" i="7" s="1"/>
  <c r="CA471" i="7"/>
  <c r="CA472" i="7" s="1"/>
  <c r="CA473" i="7" s="1"/>
  <c r="BY466" i="7"/>
  <c r="BX466" i="7"/>
  <c r="BW466" i="7"/>
  <c r="BV466" i="7"/>
  <c r="BU466" i="7"/>
  <c r="BT466" i="7"/>
  <c r="BS466" i="7"/>
  <c r="BR466" i="7"/>
  <c r="BQ466" i="7"/>
  <c r="BP466" i="7"/>
  <c r="BO466" i="7"/>
  <c r="BN466" i="7"/>
  <c r="BM466" i="7"/>
  <c r="BL466" i="7"/>
  <c r="BK466" i="7"/>
  <c r="BJ466" i="7"/>
  <c r="BI466" i="7"/>
  <c r="BH466" i="7"/>
  <c r="BG466" i="7"/>
  <c r="BF466" i="7"/>
  <c r="BE466" i="7"/>
  <c r="BD466" i="7"/>
  <c r="BC466" i="7"/>
  <c r="BB466" i="7"/>
  <c r="BA466" i="7"/>
  <c r="AZ466" i="7"/>
  <c r="AY466" i="7"/>
  <c r="AX466" i="7"/>
  <c r="AW466" i="7"/>
  <c r="AV466" i="7"/>
  <c r="AU466" i="7"/>
  <c r="AT466" i="7"/>
  <c r="AS466" i="7"/>
  <c r="AR466" i="7"/>
  <c r="AQ466" i="7"/>
  <c r="AP466" i="7"/>
  <c r="AO466" i="7"/>
  <c r="AN466" i="7"/>
  <c r="AM466" i="7"/>
  <c r="AL466" i="7"/>
  <c r="AK466" i="7"/>
  <c r="AJ466" i="7"/>
  <c r="AI466" i="7"/>
  <c r="AH466" i="7"/>
  <c r="AG466" i="7"/>
  <c r="AF466" i="7"/>
  <c r="AE466" i="7"/>
  <c r="AD466" i="7"/>
  <c r="AC466" i="7"/>
  <c r="AB466" i="7"/>
  <c r="AA466" i="7"/>
  <c r="Z466" i="7"/>
  <c r="Y466" i="7"/>
  <c r="X466" i="7"/>
  <c r="W466" i="7"/>
  <c r="V466" i="7"/>
  <c r="U466" i="7"/>
  <c r="T466" i="7"/>
  <c r="S466" i="7"/>
  <c r="R466" i="7"/>
  <c r="CB465" i="7"/>
  <c r="CA465" i="7"/>
  <c r="CB464" i="7"/>
  <c r="CA464" i="7"/>
  <c r="BQ461" i="7"/>
  <c r="BH461" i="7"/>
  <c r="BE461" i="7"/>
  <c r="BB461" i="7"/>
  <c r="AY461" i="7"/>
  <c r="AV461" i="7"/>
  <c r="AS461" i="7"/>
  <c r="AJ461" i="7"/>
  <c r="AG461" i="7"/>
  <c r="AD461" i="7"/>
  <c r="AA461" i="7"/>
  <c r="X461" i="7"/>
  <c r="U461" i="7"/>
  <c r="R461" i="7"/>
  <c r="CB460" i="7"/>
  <c r="CB461" i="7" s="1"/>
  <c r="CA460" i="7"/>
  <c r="CA461" i="7" s="1"/>
  <c r="BY457" i="7"/>
  <c r="BX457" i="7"/>
  <c r="BW457" i="7"/>
  <c r="BV457" i="7"/>
  <c r="BU457" i="7"/>
  <c r="BT457" i="7"/>
  <c r="BS457" i="7"/>
  <c r="BR457" i="7"/>
  <c r="BQ457" i="7"/>
  <c r="BP457" i="7"/>
  <c r="BO457" i="7"/>
  <c r="BN457" i="7"/>
  <c r="BM457" i="7"/>
  <c r="BL457" i="7"/>
  <c r="BK457" i="7"/>
  <c r="BJ457" i="7"/>
  <c r="BI457" i="7"/>
  <c r="BH457" i="7"/>
  <c r="BG457" i="7"/>
  <c r="BF457" i="7"/>
  <c r="BE457" i="7"/>
  <c r="BD457" i="7"/>
  <c r="BC457" i="7"/>
  <c r="BB457" i="7"/>
  <c r="BA457" i="7"/>
  <c r="AZ457" i="7"/>
  <c r="AY457" i="7"/>
  <c r="AX457" i="7"/>
  <c r="AW457" i="7"/>
  <c r="AV457" i="7"/>
  <c r="AU457" i="7"/>
  <c r="AT457" i="7"/>
  <c r="AS457" i="7"/>
  <c r="AR457" i="7"/>
  <c r="AQ457" i="7"/>
  <c r="AP457" i="7"/>
  <c r="AO457" i="7"/>
  <c r="AN457" i="7"/>
  <c r="AM457" i="7"/>
  <c r="AL457" i="7"/>
  <c r="AK457" i="7"/>
  <c r="AJ457" i="7"/>
  <c r="AI457" i="7"/>
  <c r="AH457" i="7"/>
  <c r="AG457" i="7"/>
  <c r="AF457" i="7"/>
  <c r="AE457" i="7"/>
  <c r="AD457" i="7"/>
  <c r="AC457" i="7"/>
  <c r="AB457" i="7"/>
  <c r="AA457" i="7"/>
  <c r="Z457" i="7"/>
  <c r="Y457" i="7"/>
  <c r="X457" i="7"/>
  <c r="W457" i="7"/>
  <c r="V457" i="7"/>
  <c r="U457" i="7"/>
  <c r="T457" i="7"/>
  <c r="S457" i="7"/>
  <c r="R457" i="7"/>
  <c r="CB456" i="7"/>
  <c r="CB457" i="7" s="1"/>
  <c r="CA456" i="7"/>
  <c r="CA457" i="7" s="1"/>
  <c r="BY453" i="7"/>
  <c r="BX453" i="7"/>
  <c r="BW453" i="7"/>
  <c r="BV453" i="7"/>
  <c r="BU453" i="7"/>
  <c r="BT453" i="7"/>
  <c r="BS453" i="7"/>
  <c r="BR453" i="7"/>
  <c r="BQ453" i="7"/>
  <c r="BP453" i="7"/>
  <c r="BO453" i="7"/>
  <c r="BN453" i="7"/>
  <c r="BM453" i="7"/>
  <c r="BL453" i="7"/>
  <c r="BJ453" i="7"/>
  <c r="BI453" i="7"/>
  <c r="BH453" i="7"/>
  <c r="BG453" i="7"/>
  <c r="BF453" i="7"/>
  <c r="BE453" i="7"/>
  <c r="BD453" i="7"/>
  <c r="BC453" i="7"/>
  <c r="BB453" i="7"/>
  <c r="BA453" i="7"/>
  <c r="AZ453" i="7"/>
  <c r="AY453" i="7"/>
  <c r="AX453" i="7"/>
  <c r="AW453" i="7"/>
  <c r="AV453" i="7"/>
  <c r="AU453" i="7"/>
  <c r="AT453" i="7"/>
  <c r="AS453" i="7"/>
  <c r="AR453" i="7"/>
  <c r="AQ453" i="7"/>
  <c r="AP453" i="7"/>
  <c r="AO453" i="7"/>
  <c r="AN453" i="7"/>
  <c r="AM453" i="7"/>
  <c r="AL453" i="7"/>
  <c r="AK453" i="7"/>
  <c r="AJ453" i="7"/>
  <c r="AI453" i="7"/>
  <c r="AH453" i="7"/>
  <c r="AG453" i="7"/>
  <c r="AF453" i="7"/>
  <c r="AE453" i="7"/>
  <c r="AD453" i="7"/>
  <c r="AC453" i="7"/>
  <c r="AB453" i="7"/>
  <c r="AA453" i="7"/>
  <c r="Z453" i="7"/>
  <c r="Y453" i="7"/>
  <c r="X453" i="7"/>
  <c r="W453" i="7"/>
  <c r="V453" i="7"/>
  <c r="U453" i="7"/>
  <c r="T453" i="7"/>
  <c r="S453" i="7"/>
  <c r="R453" i="7"/>
  <c r="CB452" i="7"/>
  <c r="CA452" i="7"/>
  <c r="CB451" i="7"/>
  <c r="CA451" i="7"/>
  <c r="BY446" i="7"/>
  <c r="BX446" i="7"/>
  <c r="BW446" i="7"/>
  <c r="BV446" i="7"/>
  <c r="BU446" i="7"/>
  <c r="BT446" i="7"/>
  <c r="BS446" i="7"/>
  <c r="BR446" i="7"/>
  <c r="BQ446" i="7"/>
  <c r="BP446" i="7"/>
  <c r="BO446" i="7"/>
  <c r="BN446" i="7"/>
  <c r="BM446" i="7"/>
  <c r="BL446" i="7"/>
  <c r="BJ446" i="7"/>
  <c r="BI446" i="7"/>
  <c r="BH446" i="7"/>
  <c r="BH447" i="7" s="1"/>
  <c r="BG446" i="7"/>
  <c r="BF446" i="7"/>
  <c r="BE446" i="7"/>
  <c r="BD446" i="7"/>
  <c r="BC446" i="7"/>
  <c r="BB446" i="7"/>
  <c r="BA446" i="7"/>
  <c r="AZ446" i="7"/>
  <c r="AX446" i="7"/>
  <c r="AW446" i="7"/>
  <c r="AV446" i="7"/>
  <c r="AU446" i="7"/>
  <c r="AT446" i="7"/>
  <c r="AS446" i="7"/>
  <c r="AR446" i="7"/>
  <c r="AQ446" i="7"/>
  <c r="AP446" i="7"/>
  <c r="AO446" i="7"/>
  <c r="AN446" i="7"/>
  <c r="AM446" i="7"/>
  <c r="AL446" i="7"/>
  <c r="AK446" i="7"/>
  <c r="AJ446" i="7"/>
  <c r="AI446" i="7"/>
  <c r="AH446" i="7"/>
  <c r="AG446" i="7"/>
  <c r="AF446" i="7"/>
  <c r="AE446" i="7"/>
  <c r="AE447" i="7" s="1"/>
  <c r="AD446" i="7"/>
  <c r="AC446" i="7"/>
  <c r="AB446" i="7"/>
  <c r="AA446" i="7"/>
  <c r="Z446" i="7"/>
  <c r="Y446" i="7"/>
  <c r="X446" i="7"/>
  <c r="W446" i="7"/>
  <c r="V446" i="7"/>
  <c r="U446" i="7"/>
  <c r="T446" i="7"/>
  <c r="S446" i="7"/>
  <c r="R446" i="7"/>
  <c r="CB445" i="7"/>
  <c r="CA445" i="7"/>
  <c r="CB444" i="7"/>
  <c r="CA444" i="7"/>
  <c r="CB443" i="7"/>
  <c r="CA443" i="7"/>
  <c r="CB442" i="7"/>
  <c r="CA442" i="7"/>
  <c r="CB441" i="7"/>
  <c r="CA441" i="7"/>
  <c r="BY438" i="7"/>
  <c r="BX438" i="7"/>
  <c r="BW438" i="7"/>
  <c r="BV438" i="7"/>
  <c r="BU438" i="7"/>
  <c r="BT438" i="7"/>
  <c r="BS438" i="7"/>
  <c r="BR438" i="7"/>
  <c r="BQ438" i="7"/>
  <c r="BP438" i="7"/>
  <c r="BO438" i="7"/>
  <c r="BN438" i="7"/>
  <c r="BM438" i="7"/>
  <c r="BM447" i="7" s="1"/>
  <c r="BL438" i="7"/>
  <c r="BJ438" i="7"/>
  <c r="BI438" i="7"/>
  <c r="BH438" i="7"/>
  <c r="BG438" i="7"/>
  <c r="BF438" i="7"/>
  <c r="BE438" i="7"/>
  <c r="BD438" i="7"/>
  <c r="BC438" i="7"/>
  <c r="BC447" i="7" s="1"/>
  <c r="BB438" i="7"/>
  <c r="BA438" i="7"/>
  <c r="AZ438" i="7"/>
  <c r="AY438" i="7"/>
  <c r="AX438" i="7"/>
  <c r="AW438" i="7"/>
  <c r="AV438" i="7"/>
  <c r="AU438" i="7"/>
  <c r="AT438" i="7"/>
  <c r="AT447" i="7" s="1"/>
  <c r="AS438" i="7"/>
  <c r="AR438" i="7"/>
  <c r="AQ438" i="7"/>
  <c r="AP438" i="7"/>
  <c r="AO438" i="7"/>
  <c r="AN438" i="7"/>
  <c r="AM438" i="7"/>
  <c r="AL438" i="7"/>
  <c r="AL447" i="7" s="1"/>
  <c r="AK438" i="7"/>
  <c r="AJ438" i="7"/>
  <c r="AI438" i="7"/>
  <c r="AH438" i="7"/>
  <c r="AG438" i="7"/>
  <c r="AF438" i="7"/>
  <c r="AE438" i="7"/>
  <c r="AD438" i="7"/>
  <c r="AC438" i="7"/>
  <c r="AB438" i="7"/>
  <c r="AA438" i="7"/>
  <c r="Z438" i="7"/>
  <c r="Y438" i="7"/>
  <c r="X438" i="7"/>
  <c r="W438" i="7"/>
  <c r="W447" i="7"/>
  <c r="V438" i="7"/>
  <c r="V447" i="7" s="1"/>
  <c r="U438" i="7"/>
  <c r="T438" i="7"/>
  <c r="S438" i="7"/>
  <c r="R438" i="7"/>
  <c r="CB437" i="7"/>
  <c r="CA437" i="7"/>
  <c r="CB436" i="7"/>
  <c r="CA436" i="7"/>
  <c r="CB435" i="7"/>
  <c r="CA435" i="7"/>
  <c r="CB434" i="7"/>
  <c r="CA434" i="7"/>
  <c r="CB433" i="7"/>
  <c r="CA433" i="7"/>
  <c r="BY428" i="7"/>
  <c r="BX428" i="7"/>
  <c r="BW428" i="7"/>
  <c r="BV428" i="7"/>
  <c r="BU428" i="7"/>
  <c r="BT428" i="7"/>
  <c r="BS428" i="7"/>
  <c r="BR428" i="7"/>
  <c r="BQ428" i="7"/>
  <c r="BP428" i="7"/>
  <c r="BO428" i="7"/>
  <c r="BN428" i="7"/>
  <c r="BM428" i="7"/>
  <c r="BL428" i="7"/>
  <c r="BK428" i="7"/>
  <c r="BJ428" i="7"/>
  <c r="BI428" i="7"/>
  <c r="BH428" i="7"/>
  <c r="BG428" i="7"/>
  <c r="BF428" i="7"/>
  <c r="BE428" i="7"/>
  <c r="BD428" i="7"/>
  <c r="BC428" i="7"/>
  <c r="BB428" i="7"/>
  <c r="BA428" i="7"/>
  <c r="AZ428" i="7"/>
  <c r="AY428" i="7"/>
  <c r="AX428" i="7"/>
  <c r="AW428" i="7"/>
  <c r="AV428" i="7"/>
  <c r="AU428" i="7"/>
  <c r="AT428" i="7"/>
  <c r="AS428" i="7"/>
  <c r="AR428" i="7"/>
  <c r="AQ428" i="7"/>
  <c r="AP428" i="7"/>
  <c r="AO428" i="7"/>
  <c r="AN428" i="7"/>
  <c r="AM428" i="7"/>
  <c r="AL428" i="7"/>
  <c r="AK428" i="7"/>
  <c r="AJ428" i="7"/>
  <c r="AI428" i="7"/>
  <c r="AH428" i="7"/>
  <c r="AG428" i="7"/>
  <c r="AF428" i="7"/>
  <c r="AE428" i="7"/>
  <c r="AD428" i="7"/>
  <c r="AC428" i="7"/>
  <c r="AB428" i="7"/>
  <c r="AA428" i="7"/>
  <c r="Z428" i="7"/>
  <c r="Y428" i="7"/>
  <c r="X428" i="7"/>
  <c r="W428" i="7"/>
  <c r="V428" i="7"/>
  <c r="U428" i="7"/>
  <c r="T428" i="7"/>
  <c r="S428" i="7"/>
  <c r="R428" i="7"/>
  <c r="CB427" i="7"/>
  <c r="CB428" i="7" s="1"/>
  <c r="CA427" i="7"/>
  <c r="CA428" i="7"/>
  <c r="BY424" i="7"/>
  <c r="BX424" i="7"/>
  <c r="BW424" i="7"/>
  <c r="BV424" i="7"/>
  <c r="BU424" i="7"/>
  <c r="BT424" i="7"/>
  <c r="BS424" i="7"/>
  <c r="BR424" i="7"/>
  <c r="BQ424" i="7"/>
  <c r="BP424" i="7"/>
  <c r="BO424" i="7"/>
  <c r="BN424" i="7"/>
  <c r="BM424" i="7"/>
  <c r="BL424" i="7"/>
  <c r="BJ424" i="7"/>
  <c r="BI424" i="7"/>
  <c r="BH424" i="7"/>
  <c r="BG424" i="7"/>
  <c r="BF424" i="7"/>
  <c r="BE424" i="7"/>
  <c r="BD424" i="7"/>
  <c r="BC424" i="7"/>
  <c r="BB424" i="7"/>
  <c r="BA424" i="7"/>
  <c r="AZ424" i="7"/>
  <c r="AX424" i="7"/>
  <c r="AW424" i="7"/>
  <c r="AV424" i="7"/>
  <c r="AU424" i="7"/>
  <c r="AT424" i="7"/>
  <c r="AS424" i="7"/>
  <c r="AR424" i="7"/>
  <c r="AQ424" i="7"/>
  <c r="AP424" i="7"/>
  <c r="AO424" i="7"/>
  <c r="AN424" i="7"/>
  <c r="AM424" i="7"/>
  <c r="AL424" i="7"/>
  <c r="AK424" i="7"/>
  <c r="AJ424" i="7"/>
  <c r="AI424" i="7"/>
  <c r="AH424" i="7"/>
  <c r="AG424" i="7"/>
  <c r="AF424" i="7"/>
  <c r="AE424" i="7"/>
  <c r="AD424" i="7"/>
  <c r="AC424" i="7"/>
  <c r="AB424" i="7"/>
  <c r="AA424" i="7"/>
  <c r="Z424" i="7"/>
  <c r="Y424" i="7"/>
  <c r="X424" i="7"/>
  <c r="W424" i="7"/>
  <c r="V424" i="7"/>
  <c r="U424" i="7"/>
  <c r="T424" i="7"/>
  <c r="S424" i="7"/>
  <c r="R424" i="7"/>
  <c r="CB423" i="7"/>
  <c r="CA423" i="7"/>
  <c r="CB422" i="7"/>
  <c r="CA422" i="7"/>
  <c r="CB421" i="7"/>
  <c r="CA421" i="7"/>
  <c r="AY424" i="7"/>
  <c r="CB420" i="7"/>
  <c r="CA420" i="7"/>
  <c r="BY417" i="7"/>
  <c r="BX417" i="7"/>
  <c r="BW417" i="7"/>
  <c r="BV417" i="7"/>
  <c r="BU417" i="7"/>
  <c r="BT417" i="7"/>
  <c r="BS417" i="7"/>
  <c r="BR417" i="7"/>
  <c r="BQ417" i="7"/>
  <c r="BP417" i="7"/>
  <c r="BO417" i="7"/>
  <c r="BN417" i="7"/>
  <c r="BM417" i="7"/>
  <c r="BL417" i="7"/>
  <c r="BJ417" i="7"/>
  <c r="BI417" i="7"/>
  <c r="BH417" i="7"/>
  <c r="BG417" i="7"/>
  <c r="BF417" i="7"/>
  <c r="BE417" i="7"/>
  <c r="BD417" i="7"/>
  <c r="BC417" i="7"/>
  <c r="BB417" i="7"/>
  <c r="BA417" i="7"/>
  <c r="AZ417" i="7"/>
  <c r="AY417" i="7"/>
  <c r="AX417" i="7"/>
  <c r="AW417" i="7"/>
  <c r="AV417" i="7"/>
  <c r="AU417" i="7"/>
  <c r="AT417" i="7"/>
  <c r="AS417" i="7"/>
  <c r="AR417" i="7"/>
  <c r="AQ417" i="7"/>
  <c r="AP417" i="7"/>
  <c r="AO417" i="7"/>
  <c r="AN417" i="7"/>
  <c r="AM417" i="7"/>
  <c r="AL417" i="7"/>
  <c r="AK417" i="7"/>
  <c r="AJ417" i="7"/>
  <c r="AI417" i="7"/>
  <c r="AH417" i="7"/>
  <c r="AG417" i="7"/>
  <c r="AF417" i="7"/>
  <c r="AE417" i="7"/>
  <c r="AD417" i="7"/>
  <c r="AC417" i="7"/>
  <c r="AB417" i="7"/>
  <c r="AA417" i="7"/>
  <c r="Z417" i="7"/>
  <c r="Y417" i="7"/>
  <c r="X417" i="7"/>
  <c r="W417" i="7"/>
  <c r="V417" i="7"/>
  <c r="U417" i="7"/>
  <c r="T417" i="7"/>
  <c r="S417" i="7"/>
  <c r="R417" i="7"/>
  <c r="CB416" i="7"/>
  <c r="CA416" i="7"/>
  <c r="CB415" i="7"/>
  <c r="CA415" i="7"/>
  <c r="CB414" i="7"/>
  <c r="CA414" i="7"/>
  <c r="CB413" i="7"/>
  <c r="CA413" i="7"/>
  <c r="CB412" i="7"/>
  <c r="CA412" i="7"/>
  <c r="CB411" i="7"/>
  <c r="CA411" i="7"/>
  <c r="CB410" i="7"/>
  <c r="CA410" i="7"/>
  <c r="CB409" i="7"/>
  <c r="CA409" i="7"/>
  <c r="CB408" i="7"/>
  <c r="CA408" i="7"/>
  <c r="CB407" i="7"/>
  <c r="CA407" i="7"/>
  <c r="BY404" i="7"/>
  <c r="BX404" i="7"/>
  <c r="BW404" i="7"/>
  <c r="BV404" i="7"/>
  <c r="BU404" i="7"/>
  <c r="BT404" i="7"/>
  <c r="BS404" i="7"/>
  <c r="BR404" i="7"/>
  <c r="BQ404" i="7"/>
  <c r="BP404" i="7"/>
  <c r="BO404" i="7"/>
  <c r="BN404" i="7"/>
  <c r="BM404" i="7"/>
  <c r="BL404" i="7"/>
  <c r="BJ404" i="7"/>
  <c r="BI404" i="7"/>
  <c r="BH404" i="7"/>
  <c r="BG404" i="7"/>
  <c r="BF404" i="7"/>
  <c r="BE404" i="7"/>
  <c r="BD404" i="7"/>
  <c r="BC404" i="7"/>
  <c r="BB404" i="7"/>
  <c r="BA404" i="7"/>
  <c r="AZ404" i="7"/>
  <c r="AY404" i="7"/>
  <c r="AX404" i="7"/>
  <c r="AW404" i="7"/>
  <c r="AV404" i="7"/>
  <c r="AU404" i="7"/>
  <c r="AT404" i="7"/>
  <c r="AS404" i="7"/>
  <c r="AR404" i="7"/>
  <c r="AQ404" i="7"/>
  <c r="AP404" i="7"/>
  <c r="AO404" i="7"/>
  <c r="AN404" i="7"/>
  <c r="AM404" i="7"/>
  <c r="AL404" i="7"/>
  <c r="AK404" i="7"/>
  <c r="AJ404" i="7"/>
  <c r="AI404" i="7"/>
  <c r="AH404" i="7"/>
  <c r="AG404" i="7"/>
  <c r="AF404" i="7"/>
  <c r="AE404" i="7"/>
  <c r="AD404" i="7"/>
  <c r="AC404" i="7"/>
  <c r="AB404" i="7"/>
  <c r="AA404" i="7"/>
  <c r="Z404" i="7"/>
  <c r="Y404" i="7"/>
  <c r="X404" i="7"/>
  <c r="W404" i="7"/>
  <c r="V404" i="7"/>
  <c r="U404" i="7"/>
  <c r="T404" i="7"/>
  <c r="S404" i="7"/>
  <c r="R404" i="7"/>
  <c r="CB403" i="7"/>
  <c r="CA403" i="7"/>
  <c r="CB402" i="7"/>
  <c r="CA402" i="7"/>
  <c r="CB401" i="7"/>
  <c r="CA401" i="7"/>
  <c r="CB400" i="7"/>
  <c r="CA400" i="7"/>
  <c r="CB399" i="7"/>
  <c r="CA399" i="7"/>
  <c r="CB398" i="7"/>
  <c r="CA398" i="7"/>
  <c r="CB397" i="7"/>
  <c r="CA397" i="7"/>
  <c r="BK404" i="7"/>
  <c r="CB396" i="7"/>
  <c r="CA396" i="7"/>
  <c r="BY391" i="7"/>
  <c r="BX391" i="7"/>
  <c r="BW391" i="7"/>
  <c r="BV391" i="7"/>
  <c r="BU391" i="7"/>
  <c r="BT391" i="7"/>
  <c r="BS391" i="7"/>
  <c r="BR391" i="7"/>
  <c r="BQ391" i="7"/>
  <c r="BP391" i="7"/>
  <c r="BO391" i="7"/>
  <c r="BN391" i="7"/>
  <c r="BM391" i="7"/>
  <c r="BL391" i="7"/>
  <c r="BK391" i="7"/>
  <c r="BJ391" i="7"/>
  <c r="BI391" i="7"/>
  <c r="BH391" i="7"/>
  <c r="BG391" i="7"/>
  <c r="BF391" i="7"/>
  <c r="BE391" i="7"/>
  <c r="BC391" i="7"/>
  <c r="AX391" i="7"/>
  <c r="AW391" i="7"/>
  <c r="AV391" i="7"/>
  <c r="AU391" i="7"/>
  <c r="AT391" i="7"/>
  <c r="AS391" i="7"/>
  <c r="AR391" i="7"/>
  <c r="AQ391" i="7"/>
  <c r="AP391" i="7"/>
  <c r="AO391" i="7"/>
  <c r="AN391" i="7"/>
  <c r="AM391" i="7"/>
  <c r="AL391" i="7"/>
  <c r="AK391" i="7"/>
  <c r="AJ391" i="7"/>
  <c r="AI391" i="7"/>
  <c r="AH391" i="7"/>
  <c r="AG391" i="7"/>
  <c r="AF391" i="7"/>
  <c r="AE391" i="7"/>
  <c r="AD391" i="7"/>
  <c r="AC391" i="7"/>
  <c r="AB391" i="7"/>
  <c r="AA391" i="7"/>
  <c r="Z391" i="7"/>
  <c r="Y391" i="7"/>
  <c r="X391" i="7"/>
  <c r="W391" i="7"/>
  <c r="V391" i="7"/>
  <c r="U391" i="7"/>
  <c r="T391" i="7"/>
  <c r="S391" i="7"/>
  <c r="R391" i="7"/>
  <c r="BD391" i="7"/>
  <c r="BB391" i="7"/>
  <c r="AZ391" i="7"/>
  <c r="AY391" i="7"/>
  <c r="BY387" i="7"/>
  <c r="BX387" i="7"/>
  <c r="BW387" i="7"/>
  <c r="BV387" i="7"/>
  <c r="BU387" i="7"/>
  <c r="BT387" i="7"/>
  <c r="BS387" i="7"/>
  <c r="BR387" i="7"/>
  <c r="BQ387" i="7"/>
  <c r="BP387" i="7"/>
  <c r="BO387" i="7"/>
  <c r="BN387" i="7"/>
  <c r="BM387" i="7"/>
  <c r="BL387" i="7"/>
  <c r="BJ387" i="7"/>
  <c r="BI387" i="7"/>
  <c r="BH387" i="7"/>
  <c r="BG387" i="7"/>
  <c r="BF387" i="7"/>
  <c r="BE387" i="7"/>
  <c r="BD387" i="7"/>
  <c r="BC387" i="7"/>
  <c r="BB387" i="7"/>
  <c r="BA387" i="7"/>
  <c r="AZ387" i="7"/>
  <c r="AY387" i="7"/>
  <c r="AX387" i="7"/>
  <c r="AW387" i="7"/>
  <c r="AV387" i="7"/>
  <c r="AU387" i="7"/>
  <c r="AT387" i="7"/>
  <c r="AS387" i="7"/>
  <c r="AR387" i="7"/>
  <c r="AQ387" i="7"/>
  <c r="AP387" i="7"/>
  <c r="AO387" i="7"/>
  <c r="AN387" i="7"/>
  <c r="AM387" i="7"/>
  <c r="AL387" i="7"/>
  <c r="AK387" i="7"/>
  <c r="AJ387" i="7"/>
  <c r="AI387" i="7"/>
  <c r="AH387" i="7"/>
  <c r="AG387" i="7"/>
  <c r="AF387" i="7"/>
  <c r="AE387" i="7"/>
  <c r="AD387" i="7"/>
  <c r="AC387" i="7"/>
  <c r="AB387" i="7"/>
  <c r="AA387" i="7"/>
  <c r="Z387" i="7"/>
  <c r="Y387" i="7"/>
  <c r="X387" i="7"/>
  <c r="W387" i="7"/>
  <c r="V387" i="7"/>
  <c r="U387" i="7"/>
  <c r="T387" i="7"/>
  <c r="S387" i="7"/>
  <c r="R387" i="7"/>
  <c r="CB386" i="7"/>
  <c r="CA386" i="7"/>
  <c r="CB385" i="7"/>
  <c r="CA385" i="7"/>
  <c r="CB384" i="7"/>
  <c r="CA384" i="7"/>
  <c r="CB383" i="7"/>
  <c r="CA383" i="7"/>
  <c r="CB382" i="7"/>
  <c r="CA382" i="7"/>
  <c r="CB381" i="7"/>
  <c r="CA381" i="7"/>
  <c r="BY378" i="7"/>
  <c r="BX378" i="7"/>
  <c r="BW378" i="7"/>
  <c r="BV378" i="7"/>
  <c r="BU378" i="7"/>
  <c r="BU392" i="7" s="1"/>
  <c r="BT378" i="7"/>
  <c r="BS378" i="7"/>
  <c r="BR378" i="7"/>
  <c r="BQ378" i="7"/>
  <c r="BP378" i="7"/>
  <c r="BO378" i="7"/>
  <c r="BN378" i="7"/>
  <c r="BM378" i="7"/>
  <c r="BM392" i="7" s="1"/>
  <c r="BL378" i="7"/>
  <c r="BK378" i="7"/>
  <c r="BJ378" i="7"/>
  <c r="BI378" i="7"/>
  <c r="BH378" i="7"/>
  <c r="BG378" i="7"/>
  <c r="BF378" i="7"/>
  <c r="BD378" i="7"/>
  <c r="BC378" i="7"/>
  <c r="BB378" i="7"/>
  <c r="BA378" i="7"/>
  <c r="AZ378" i="7"/>
  <c r="AY378" i="7"/>
  <c r="AX378" i="7"/>
  <c r="AW378" i="7"/>
  <c r="AV378" i="7"/>
  <c r="AU378" i="7"/>
  <c r="AT378" i="7"/>
  <c r="AS378" i="7"/>
  <c r="AR378" i="7"/>
  <c r="AQ378" i="7"/>
  <c r="AP378" i="7"/>
  <c r="AO378" i="7"/>
  <c r="AN378" i="7"/>
  <c r="AM378" i="7"/>
  <c r="AL378" i="7"/>
  <c r="AK378" i="7"/>
  <c r="AI378" i="7"/>
  <c r="AH378" i="7"/>
  <c r="AG378" i="7"/>
  <c r="AF378" i="7"/>
  <c r="AE378" i="7"/>
  <c r="AD378" i="7"/>
  <c r="AC378" i="7"/>
  <c r="AB378" i="7"/>
  <c r="AA378" i="7"/>
  <c r="Z378" i="7"/>
  <c r="Y378" i="7"/>
  <c r="X378" i="7"/>
  <c r="W378" i="7"/>
  <c r="V378" i="7"/>
  <c r="U378" i="7"/>
  <c r="T378" i="7"/>
  <c r="S378" i="7"/>
  <c r="R378" i="7"/>
  <c r="CB377" i="7"/>
  <c r="CA377" i="7"/>
  <c r="CB376" i="7"/>
  <c r="CA376" i="7"/>
  <c r="CB375" i="7"/>
  <c r="CA375" i="7"/>
  <c r="BY366" i="7"/>
  <c r="BY367" i="7" s="1"/>
  <c r="BX366" i="7"/>
  <c r="BX367" i="7"/>
  <c r="BW366" i="7"/>
  <c r="BW367" i="7" s="1"/>
  <c r="BV366" i="7"/>
  <c r="BV367" i="7" s="1"/>
  <c r="BU366" i="7"/>
  <c r="BU367" i="7" s="1"/>
  <c r="BT366" i="7"/>
  <c r="BT367" i="7" s="1"/>
  <c r="BS366" i="7"/>
  <c r="BS367" i="7" s="1"/>
  <c r="BR366" i="7"/>
  <c r="BR367" i="7" s="1"/>
  <c r="BQ366" i="7"/>
  <c r="BQ367" i="7" s="1"/>
  <c r="BP366" i="7"/>
  <c r="BP367" i="7"/>
  <c r="BO366" i="7"/>
  <c r="BO367" i="7" s="1"/>
  <c r="BN366" i="7"/>
  <c r="BN367" i="7" s="1"/>
  <c r="BM366" i="7"/>
  <c r="BM367" i="7" s="1"/>
  <c r="BL366" i="7"/>
  <c r="BL367" i="7" s="1"/>
  <c r="BJ366" i="7"/>
  <c r="BJ367" i="7" s="1"/>
  <c r="BI366" i="7"/>
  <c r="BI367" i="7" s="1"/>
  <c r="BH366" i="7"/>
  <c r="BH367" i="7"/>
  <c r="BG366" i="7"/>
  <c r="BG367" i="7" s="1"/>
  <c r="BF366" i="7"/>
  <c r="BF367" i="7" s="1"/>
  <c r="BE366" i="7"/>
  <c r="BE367" i="7" s="1"/>
  <c r="BD366" i="7"/>
  <c r="BD367" i="7" s="1"/>
  <c r="BC366" i="7"/>
  <c r="BC367" i="7" s="1"/>
  <c r="BB366" i="7"/>
  <c r="BB367" i="7" s="1"/>
  <c r="BA366" i="7"/>
  <c r="BA367" i="7" s="1"/>
  <c r="AZ366" i="7"/>
  <c r="AZ367" i="7"/>
  <c r="AY366" i="7"/>
  <c r="AY367" i="7" s="1"/>
  <c r="AX366" i="7"/>
  <c r="AX367" i="7" s="1"/>
  <c r="AW366" i="7"/>
  <c r="AW367" i="7" s="1"/>
  <c r="AV366" i="7"/>
  <c r="AV367" i="7" s="1"/>
  <c r="AU366" i="7"/>
  <c r="AU367" i="7" s="1"/>
  <c r="AT366" i="7"/>
  <c r="AT367" i="7" s="1"/>
  <c r="AS366" i="7"/>
  <c r="AS367" i="7" s="1"/>
  <c r="AR366" i="7"/>
  <c r="AR367" i="7"/>
  <c r="AQ366" i="7"/>
  <c r="AQ367" i="7" s="1"/>
  <c r="AP366" i="7"/>
  <c r="AP367" i="7" s="1"/>
  <c r="AO366" i="7"/>
  <c r="AO367" i="7" s="1"/>
  <c r="AN366" i="7"/>
  <c r="AN367" i="7" s="1"/>
  <c r="AM366" i="7"/>
  <c r="AM367" i="7" s="1"/>
  <c r="AL366" i="7"/>
  <c r="AL367" i="7" s="1"/>
  <c r="AK366" i="7"/>
  <c r="AK367" i="7" s="1"/>
  <c r="AJ366" i="7"/>
  <c r="AJ367" i="7"/>
  <c r="AI366" i="7"/>
  <c r="AI367" i="7" s="1"/>
  <c r="AH366" i="7"/>
  <c r="AH367" i="7" s="1"/>
  <c r="AG366" i="7"/>
  <c r="AG367" i="7" s="1"/>
  <c r="AF366" i="7"/>
  <c r="AF367" i="7" s="1"/>
  <c r="AE366" i="7"/>
  <c r="AE367" i="7" s="1"/>
  <c r="AD366" i="7"/>
  <c r="AD367" i="7" s="1"/>
  <c r="AC366" i="7"/>
  <c r="AC367" i="7" s="1"/>
  <c r="AB366" i="7"/>
  <c r="AB367" i="7" s="1"/>
  <c r="AA366" i="7"/>
  <c r="AA367" i="7" s="1"/>
  <c r="Z366" i="7"/>
  <c r="Z367" i="7" s="1"/>
  <c r="Y366" i="7"/>
  <c r="Y367" i="7" s="1"/>
  <c r="X366" i="7"/>
  <c r="X367" i="7" s="1"/>
  <c r="W366" i="7"/>
  <c r="W367" i="7" s="1"/>
  <c r="V366" i="7"/>
  <c r="V367" i="7" s="1"/>
  <c r="U366" i="7"/>
  <c r="U367" i="7" s="1"/>
  <c r="T366" i="7"/>
  <c r="T367" i="7" s="1"/>
  <c r="S366" i="7"/>
  <c r="S367" i="7" s="1"/>
  <c r="R366" i="7"/>
  <c r="R367" i="7" s="1"/>
  <c r="CB365" i="7"/>
  <c r="CB366" i="7" s="1"/>
  <c r="CB367" i="7" s="1"/>
  <c r="CA365" i="7"/>
  <c r="CA366" i="7" s="1"/>
  <c r="CA367" i="7" s="1"/>
  <c r="BK366" i="7"/>
  <c r="BK367" i="7" s="1"/>
  <c r="BY360" i="7"/>
  <c r="BY361" i="7" s="1"/>
  <c r="BX360" i="7"/>
  <c r="BX361" i="7" s="1"/>
  <c r="BW360" i="7"/>
  <c r="BW361" i="7" s="1"/>
  <c r="BV360" i="7"/>
  <c r="BV361" i="7" s="1"/>
  <c r="BU360" i="7"/>
  <c r="BU361" i="7" s="1"/>
  <c r="BT360" i="7"/>
  <c r="BT361" i="7" s="1"/>
  <c r="BS360" i="7"/>
  <c r="BS361" i="7" s="1"/>
  <c r="BR360" i="7"/>
  <c r="BR361" i="7" s="1"/>
  <c r="BQ360" i="7"/>
  <c r="BQ361" i="7" s="1"/>
  <c r="BP360" i="7"/>
  <c r="BP361" i="7" s="1"/>
  <c r="BO360" i="7"/>
  <c r="BO361" i="7" s="1"/>
  <c r="BN360" i="7"/>
  <c r="BN361" i="7" s="1"/>
  <c r="BM360" i="7"/>
  <c r="BM361" i="7" s="1"/>
  <c r="BL360" i="7"/>
  <c r="BL361" i="7" s="1"/>
  <c r="BJ360" i="7"/>
  <c r="BJ361" i="7" s="1"/>
  <c r="BI360" i="7"/>
  <c r="BI361" i="7" s="1"/>
  <c r="BH360" i="7"/>
  <c r="BH361" i="7" s="1"/>
  <c r="BG360" i="7"/>
  <c r="BG361" i="7" s="1"/>
  <c r="BF360" i="7"/>
  <c r="BF361" i="7" s="1"/>
  <c r="BE360" i="7"/>
  <c r="BE361" i="7" s="1"/>
  <c r="BD360" i="7"/>
  <c r="BD361" i="7" s="1"/>
  <c r="BC360" i="7"/>
  <c r="BC361" i="7" s="1"/>
  <c r="BB360" i="7"/>
  <c r="BB361" i="7" s="1"/>
  <c r="BA360" i="7"/>
  <c r="BA361" i="7" s="1"/>
  <c r="AZ360" i="7"/>
  <c r="AZ361" i="7" s="1"/>
  <c r="AY360" i="7"/>
  <c r="AY361" i="7" s="1"/>
  <c r="AX360" i="7"/>
  <c r="AX361" i="7" s="1"/>
  <c r="AW360" i="7"/>
  <c r="AW361" i="7" s="1"/>
  <c r="AV360" i="7"/>
  <c r="AV361" i="7" s="1"/>
  <c r="AU360" i="7"/>
  <c r="AU361" i="7" s="1"/>
  <c r="AT360" i="7"/>
  <c r="AT361" i="7" s="1"/>
  <c r="AS360" i="7"/>
  <c r="AS361" i="7" s="1"/>
  <c r="AR360" i="7"/>
  <c r="AR361" i="7" s="1"/>
  <c r="AQ360" i="7"/>
  <c r="AQ361" i="7" s="1"/>
  <c r="AP360" i="7"/>
  <c r="AP361" i="7" s="1"/>
  <c r="AO360" i="7"/>
  <c r="AO361" i="7" s="1"/>
  <c r="AN360" i="7"/>
  <c r="AN361" i="7" s="1"/>
  <c r="AM360" i="7"/>
  <c r="AM361" i="7" s="1"/>
  <c r="AL360" i="7"/>
  <c r="AL361" i="7" s="1"/>
  <c r="AK360" i="7"/>
  <c r="AK361" i="7"/>
  <c r="AJ360" i="7"/>
  <c r="AJ361" i="7" s="1"/>
  <c r="AI360" i="7"/>
  <c r="AI361" i="7"/>
  <c r="AH360" i="7"/>
  <c r="AH361" i="7" s="1"/>
  <c r="AG360" i="7"/>
  <c r="AG361" i="7"/>
  <c r="AF360" i="7"/>
  <c r="AF361" i="7" s="1"/>
  <c r="AE360" i="7"/>
  <c r="AE361" i="7"/>
  <c r="AD360" i="7"/>
  <c r="AD361" i="7" s="1"/>
  <c r="AC360" i="7"/>
  <c r="AC361" i="7"/>
  <c r="AB360" i="7"/>
  <c r="AB361" i="7" s="1"/>
  <c r="AA360" i="7"/>
  <c r="AA361" i="7"/>
  <c r="Z360" i="7"/>
  <c r="Z361" i="7" s="1"/>
  <c r="Y360" i="7"/>
  <c r="Y361" i="7"/>
  <c r="X360" i="7"/>
  <c r="X361" i="7" s="1"/>
  <c r="W360" i="7"/>
  <c r="W361" i="7"/>
  <c r="V360" i="7"/>
  <c r="V361" i="7" s="1"/>
  <c r="U360" i="7"/>
  <c r="U361" i="7"/>
  <c r="T360" i="7"/>
  <c r="T361" i="7" s="1"/>
  <c r="S360" i="7"/>
  <c r="S361" i="7"/>
  <c r="R360" i="7"/>
  <c r="R361" i="7" s="1"/>
  <c r="CB359" i="7"/>
  <c r="CA359" i="7"/>
  <c r="CB358" i="7"/>
  <c r="CB360" i="7" s="1"/>
  <c r="CB361" i="7" s="1"/>
  <c r="CA358" i="7"/>
  <c r="BK360" i="7"/>
  <c r="BK361" i="7"/>
  <c r="BY349" i="7"/>
  <c r="BY350" i="7" s="1"/>
  <c r="BY351" i="7" s="1"/>
  <c r="BX349" i="7"/>
  <c r="BX350" i="7" s="1"/>
  <c r="BX351" i="7" s="1"/>
  <c r="BW349" i="7"/>
  <c r="BW350" i="7" s="1"/>
  <c r="BW351" i="7" s="1"/>
  <c r="BV349" i="7"/>
  <c r="BV350" i="7" s="1"/>
  <c r="BV351" i="7" s="1"/>
  <c r="BU349" i="7"/>
  <c r="BU350" i="7"/>
  <c r="BU351" i="7" s="1"/>
  <c r="BT349" i="7"/>
  <c r="BT350" i="7" s="1"/>
  <c r="BT351" i="7" s="1"/>
  <c r="BS349" i="7"/>
  <c r="BS350" i="7"/>
  <c r="BS351" i="7" s="1"/>
  <c r="BR349" i="7"/>
  <c r="BR350" i="7" s="1"/>
  <c r="BR351" i="7" s="1"/>
  <c r="BQ349" i="7"/>
  <c r="BQ350" i="7" s="1"/>
  <c r="BQ351" i="7" s="1"/>
  <c r="BP349" i="7"/>
  <c r="BP350" i="7" s="1"/>
  <c r="BP351" i="7" s="1"/>
  <c r="BO349" i="7"/>
  <c r="BO350" i="7" s="1"/>
  <c r="BO351" i="7" s="1"/>
  <c r="BN349" i="7"/>
  <c r="BN350" i="7" s="1"/>
  <c r="BN351" i="7" s="1"/>
  <c r="BM349" i="7"/>
  <c r="BM350" i="7" s="1"/>
  <c r="BM351" i="7" s="1"/>
  <c r="BL349" i="7"/>
  <c r="BL350" i="7" s="1"/>
  <c r="BL351" i="7" s="1"/>
  <c r="BJ349" i="7"/>
  <c r="BJ350" i="7" s="1"/>
  <c r="BJ351" i="7" s="1"/>
  <c r="BI349" i="7"/>
  <c r="BI350" i="7" s="1"/>
  <c r="BI351" i="7" s="1"/>
  <c r="BH349" i="7"/>
  <c r="BH350" i="7" s="1"/>
  <c r="BH351" i="7" s="1"/>
  <c r="BG349" i="7"/>
  <c r="BG350" i="7" s="1"/>
  <c r="BG351" i="7" s="1"/>
  <c r="BF349" i="7"/>
  <c r="BF350" i="7"/>
  <c r="BF351" i="7" s="1"/>
  <c r="BE349" i="7"/>
  <c r="BE350" i="7" s="1"/>
  <c r="BE351" i="7" s="1"/>
  <c r="BD349" i="7"/>
  <c r="BD350" i="7" s="1"/>
  <c r="BD351" i="7" s="1"/>
  <c r="BC349" i="7"/>
  <c r="BC350" i="7" s="1"/>
  <c r="BC351" i="7" s="1"/>
  <c r="BB349" i="7"/>
  <c r="BB350" i="7"/>
  <c r="BB351" i="7" s="1"/>
  <c r="BA349" i="7"/>
  <c r="BA350" i="7" s="1"/>
  <c r="BA351" i="7" s="1"/>
  <c r="AZ349" i="7"/>
  <c r="AZ350" i="7" s="1"/>
  <c r="AZ351" i="7" s="1"/>
  <c r="AY349" i="7"/>
  <c r="AY350" i="7" s="1"/>
  <c r="AY351" i="7" s="1"/>
  <c r="AX349" i="7"/>
  <c r="AX350" i="7" s="1"/>
  <c r="AX351" i="7" s="1"/>
  <c r="AW349" i="7"/>
  <c r="AW350" i="7" s="1"/>
  <c r="AW351" i="7" s="1"/>
  <c r="AV349" i="7"/>
  <c r="AV350" i="7" s="1"/>
  <c r="AV351" i="7" s="1"/>
  <c r="AU349" i="7"/>
  <c r="AU350" i="7" s="1"/>
  <c r="AU351" i="7" s="1"/>
  <c r="AT349" i="7"/>
  <c r="AT350" i="7" s="1"/>
  <c r="AT351" i="7" s="1"/>
  <c r="AS349" i="7"/>
  <c r="AS350" i="7" s="1"/>
  <c r="AS351" i="7" s="1"/>
  <c r="AR349" i="7"/>
  <c r="AR350" i="7" s="1"/>
  <c r="AR351" i="7" s="1"/>
  <c r="AQ349" i="7"/>
  <c r="AQ350" i="7" s="1"/>
  <c r="AQ351" i="7" s="1"/>
  <c r="AP349" i="7"/>
  <c r="AP350" i="7"/>
  <c r="AP351" i="7" s="1"/>
  <c r="AO349" i="7"/>
  <c r="AO350" i="7" s="1"/>
  <c r="AO351" i="7" s="1"/>
  <c r="AN349" i="7"/>
  <c r="AN350" i="7" s="1"/>
  <c r="AN351" i="7" s="1"/>
  <c r="AM349" i="7"/>
  <c r="AM350" i="7" s="1"/>
  <c r="AM351" i="7" s="1"/>
  <c r="AL349" i="7"/>
  <c r="AL350" i="7"/>
  <c r="AL351" i="7" s="1"/>
  <c r="AK349" i="7"/>
  <c r="AK350" i="7" s="1"/>
  <c r="AK351" i="7" s="1"/>
  <c r="AJ349" i="7"/>
  <c r="AJ350" i="7" s="1"/>
  <c r="AJ351" i="7" s="1"/>
  <c r="AI349" i="7"/>
  <c r="AI350" i="7" s="1"/>
  <c r="AI351" i="7" s="1"/>
  <c r="AH349" i="7"/>
  <c r="AH350" i="7" s="1"/>
  <c r="AH351" i="7" s="1"/>
  <c r="AG349" i="7"/>
  <c r="AG350" i="7" s="1"/>
  <c r="AG351" i="7" s="1"/>
  <c r="AF349" i="7"/>
  <c r="AF350" i="7" s="1"/>
  <c r="AF351" i="7" s="1"/>
  <c r="AE349" i="7"/>
  <c r="AE350" i="7" s="1"/>
  <c r="AE351" i="7" s="1"/>
  <c r="AD349" i="7"/>
  <c r="AD350" i="7" s="1"/>
  <c r="AD351" i="7" s="1"/>
  <c r="AC349" i="7"/>
  <c r="AC350" i="7" s="1"/>
  <c r="AC351" i="7" s="1"/>
  <c r="AB349" i="7"/>
  <c r="AB350" i="7" s="1"/>
  <c r="AB351" i="7" s="1"/>
  <c r="AA349" i="7"/>
  <c r="AA350" i="7" s="1"/>
  <c r="AA351" i="7" s="1"/>
  <c r="Z349" i="7"/>
  <c r="Z350" i="7"/>
  <c r="Z351" i="7" s="1"/>
  <c r="Y349" i="7"/>
  <c r="Y350" i="7" s="1"/>
  <c r="Y351" i="7" s="1"/>
  <c r="X349" i="7"/>
  <c r="X350" i="7" s="1"/>
  <c r="X351" i="7" s="1"/>
  <c r="W349" i="7"/>
  <c r="W350" i="7" s="1"/>
  <c r="W351" i="7" s="1"/>
  <c r="V349" i="7"/>
  <c r="V350" i="7"/>
  <c r="V351" i="7" s="1"/>
  <c r="U349" i="7"/>
  <c r="U350" i="7" s="1"/>
  <c r="U351" i="7" s="1"/>
  <c r="T349" i="7"/>
  <c r="T350" i="7" s="1"/>
  <c r="T351" i="7" s="1"/>
  <c r="S349" i="7"/>
  <c r="S350" i="7" s="1"/>
  <c r="S351" i="7" s="1"/>
  <c r="R349" i="7"/>
  <c r="R350" i="7" s="1"/>
  <c r="R351" i="7" s="1"/>
  <c r="CB348" i="7"/>
  <c r="CA348" i="7"/>
  <c r="CB347" i="7"/>
  <c r="CA347" i="7"/>
  <c r="K347" i="7"/>
  <c r="CB346" i="7"/>
  <c r="CA346" i="7"/>
  <c r="CB345" i="7"/>
  <c r="CA345" i="7"/>
  <c r="CB344" i="7"/>
  <c r="CA344" i="7"/>
  <c r="BY337" i="7"/>
  <c r="BX337" i="7"/>
  <c r="BW337" i="7"/>
  <c r="BV337" i="7"/>
  <c r="BU337" i="7"/>
  <c r="BT337" i="7"/>
  <c r="BS337" i="7"/>
  <c r="BR337" i="7"/>
  <c r="BQ337" i="7"/>
  <c r="BP337" i="7"/>
  <c r="BO337" i="7"/>
  <c r="BN337" i="7"/>
  <c r="BM337" i="7"/>
  <c r="BL337" i="7"/>
  <c r="BJ337" i="7"/>
  <c r="BI337" i="7"/>
  <c r="BH337" i="7"/>
  <c r="BG337" i="7"/>
  <c r="BF337" i="7"/>
  <c r="BE337" i="7"/>
  <c r="BD337" i="7"/>
  <c r="BC337" i="7"/>
  <c r="BB337" i="7"/>
  <c r="BA337" i="7"/>
  <c r="AZ337" i="7"/>
  <c r="AY337" i="7"/>
  <c r="AX337" i="7"/>
  <c r="AW337" i="7"/>
  <c r="AV337" i="7"/>
  <c r="AU337" i="7"/>
  <c r="AT337" i="7"/>
  <c r="AS337" i="7"/>
  <c r="AR337" i="7"/>
  <c r="AQ337" i="7"/>
  <c r="AP337" i="7"/>
  <c r="AO337" i="7"/>
  <c r="AN337" i="7"/>
  <c r="AM337" i="7"/>
  <c r="AL337" i="7"/>
  <c r="AK337" i="7"/>
  <c r="AJ337" i="7"/>
  <c r="AI337" i="7"/>
  <c r="AH337" i="7"/>
  <c r="AG337" i="7"/>
  <c r="AF337" i="7"/>
  <c r="AE337" i="7"/>
  <c r="AD337" i="7"/>
  <c r="AC337" i="7"/>
  <c r="AB337" i="7"/>
  <c r="AA337" i="7"/>
  <c r="Z337" i="7"/>
  <c r="Y337" i="7"/>
  <c r="X337" i="7"/>
  <c r="W337" i="7"/>
  <c r="V337" i="7"/>
  <c r="U337" i="7"/>
  <c r="T337" i="7"/>
  <c r="S337" i="7"/>
  <c r="R337" i="7"/>
  <c r="CB336" i="7"/>
  <c r="CA336" i="7"/>
  <c r="CB335" i="7"/>
  <c r="CA335" i="7"/>
  <c r="CB334" i="7"/>
  <c r="CA334" i="7"/>
  <c r="BY331" i="7"/>
  <c r="BX331" i="7"/>
  <c r="BW331" i="7"/>
  <c r="BV331" i="7"/>
  <c r="BU331" i="7"/>
  <c r="BT331" i="7"/>
  <c r="BS331" i="7"/>
  <c r="BR331" i="7"/>
  <c r="BQ331" i="7"/>
  <c r="BP331" i="7"/>
  <c r="BO331" i="7"/>
  <c r="BN331" i="7"/>
  <c r="BM331" i="7"/>
  <c r="BL331" i="7"/>
  <c r="BJ331" i="7"/>
  <c r="BI331" i="7"/>
  <c r="BH331" i="7"/>
  <c r="BG331" i="7"/>
  <c r="BF331" i="7"/>
  <c r="BE331" i="7"/>
  <c r="BD331" i="7"/>
  <c r="BC331" i="7"/>
  <c r="BB331" i="7"/>
  <c r="BA331" i="7"/>
  <c r="AZ331" i="7"/>
  <c r="AY331" i="7"/>
  <c r="AX331" i="7"/>
  <c r="AW331" i="7"/>
  <c r="AV331" i="7"/>
  <c r="AU331" i="7"/>
  <c r="AT331" i="7"/>
  <c r="AS331" i="7"/>
  <c r="AR331" i="7"/>
  <c r="AQ331" i="7"/>
  <c r="AP331" i="7"/>
  <c r="AO331" i="7"/>
  <c r="AN331" i="7"/>
  <c r="AM331" i="7"/>
  <c r="AL331" i="7"/>
  <c r="AK331" i="7"/>
  <c r="AJ331" i="7"/>
  <c r="AI331" i="7"/>
  <c r="AH331" i="7"/>
  <c r="AG331" i="7"/>
  <c r="AF331" i="7"/>
  <c r="AE331" i="7"/>
  <c r="AD331" i="7"/>
  <c r="AC331" i="7"/>
  <c r="AB331" i="7"/>
  <c r="AA331" i="7"/>
  <c r="Z331" i="7"/>
  <c r="Y331" i="7"/>
  <c r="X331" i="7"/>
  <c r="W331" i="7"/>
  <c r="V331" i="7"/>
  <c r="U331" i="7"/>
  <c r="T331" i="7"/>
  <c r="S331" i="7"/>
  <c r="R331" i="7"/>
  <c r="CB330" i="7"/>
  <c r="CA330" i="7"/>
  <c r="CB329" i="7"/>
  <c r="CA329" i="7"/>
  <c r="CB328" i="7"/>
  <c r="CA328" i="7"/>
  <c r="CB327" i="7"/>
  <c r="CA327" i="7"/>
  <c r="BY324" i="7"/>
  <c r="BX324" i="7"/>
  <c r="BW324" i="7"/>
  <c r="BV324" i="7"/>
  <c r="BU324" i="7"/>
  <c r="BT324" i="7"/>
  <c r="BS324" i="7"/>
  <c r="BR324" i="7"/>
  <c r="BQ324" i="7"/>
  <c r="BP324" i="7"/>
  <c r="BO324" i="7"/>
  <c r="BN324" i="7"/>
  <c r="BM324" i="7"/>
  <c r="BL324" i="7"/>
  <c r="BJ324" i="7"/>
  <c r="BI324" i="7"/>
  <c r="BH324" i="7"/>
  <c r="BG324" i="7"/>
  <c r="BF324" i="7"/>
  <c r="BE324" i="7"/>
  <c r="BD324" i="7"/>
  <c r="BC324" i="7"/>
  <c r="BB324" i="7"/>
  <c r="BA324" i="7"/>
  <c r="AZ324" i="7"/>
  <c r="AY324" i="7"/>
  <c r="AX324" i="7"/>
  <c r="AW324" i="7"/>
  <c r="AV324" i="7"/>
  <c r="AU324" i="7"/>
  <c r="AT324" i="7"/>
  <c r="AS324" i="7"/>
  <c r="AR324" i="7"/>
  <c r="AQ324" i="7"/>
  <c r="AP324" i="7"/>
  <c r="AO324" i="7"/>
  <c r="AN324" i="7"/>
  <c r="AM324" i="7"/>
  <c r="AL324" i="7"/>
  <c r="AK324" i="7"/>
  <c r="AJ324" i="7"/>
  <c r="AI324" i="7"/>
  <c r="AH324" i="7"/>
  <c r="AG324" i="7"/>
  <c r="AF324" i="7"/>
  <c r="AE324" i="7"/>
  <c r="AD324" i="7"/>
  <c r="AC324" i="7"/>
  <c r="AB324" i="7"/>
  <c r="AA324" i="7"/>
  <c r="Z324" i="7"/>
  <c r="Y324" i="7"/>
  <c r="X324" i="7"/>
  <c r="W324" i="7"/>
  <c r="V324" i="7"/>
  <c r="U324" i="7"/>
  <c r="T324" i="7"/>
  <c r="S324" i="7"/>
  <c r="R324" i="7"/>
  <c r="CB323" i="7"/>
  <c r="CA323" i="7"/>
  <c r="BK324" i="7"/>
  <c r="CB322" i="7"/>
  <c r="CA322" i="7"/>
  <c r="CB321" i="7"/>
  <c r="CA321" i="7"/>
  <c r="CB320" i="7"/>
  <c r="CA320" i="7"/>
  <c r="CB319" i="7"/>
  <c r="CA319" i="7"/>
  <c r="CB318" i="7"/>
  <c r="CA318" i="7"/>
  <c r="BQ317" i="7"/>
  <c r="BY315" i="7"/>
  <c r="BX315" i="7"/>
  <c r="BW315" i="7"/>
  <c r="BV315" i="7"/>
  <c r="BU315" i="7"/>
  <c r="BT315" i="7"/>
  <c r="BS315" i="7"/>
  <c r="BR315" i="7"/>
  <c r="BQ315" i="7"/>
  <c r="BP315" i="7"/>
  <c r="BO315" i="7"/>
  <c r="BN315" i="7"/>
  <c r="BM315" i="7"/>
  <c r="BL315" i="7"/>
  <c r="BJ315" i="7"/>
  <c r="BI315" i="7"/>
  <c r="BH315" i="7"/>
  <c r="BG315" i="7"/>
  <c r="BF315" i="7"/>
  <c r="BE315" i="7"/>
  <c r="BD315" i="7"/>
  <c r="BC315" i="7"/>
  <c r="BB315" i="7"/>
  <c r="BA315" i="7"/>
  <c r="AZ315" i="7"/>
  <c r="AY315" i="7"/>
  <c r="AX315" i="7"/>
  <c r="AW315" i="7"/>
  <c r="AV315" i="7"/>
  <c r="AU315" i="7"/>
  <c r="AT315" i="7"/>
  <c r="AS315" i="7"/>
  <c r="AR315" i="7"/>
  <c r="AQ315" i="7"/>
  <c r="AP315" i="7"/>
  <c r="AO315" i="7"/>
  <c r="AN315" i="7"/>
  <c r="AM315" i="7"/>
  <c r="AL315" i="7"/>
  <c r="AK315" i="7"/>
  <c r="AJ315" i="7"/>
  <c r="AI315" i="7"/>
  <c r="AH315" i="7"/>
  <c r="AG315" i="7"/>
  <c r="AF315" i="7"/>
  <c r="AE315" i="7"/>
  <c r="AD315" i="7"/>
  <c r="AC315" i="7"/>
  <c r="AB315" i="7"/>
  <c r="AA315" i="7"/>
  <c r="Z315" i="7"/>
  <c r="Y315" i="7"/>
  <c r="X315" i="7"/>
  <c r="W315" i="7"/>
  <c r="V315" i="7"/>
  <c r="U315" i="7"/>
  <c r="T315" i="7"/>
  <c r="S315" i="7"/>
  <c r="R315" i="7"/>
  <c r="CB314" i="7"/>
  <c r="CA314" i="7"/>
  <c r="CB313" i="7"/>
  <c r="CA313" i="7"/>
  <c r="CB312" i="7"/>
  <c r="CA312" i="7"/>
  <c r="CB311" i="7"/>
  <c r="CA311" i="7"/>
  <c r="BY304" i="7"/>
  <c r="BX304" i="7"/>
  <c r="BW304" i="7"/>
  <c r="BV304" i="7"/>
  <c r="BU304" i="7"/>
  <c r="BT304" i="7"/>
  <c r="BS304" i="7"/>
  <c r="BR304" i="7"/>
  <c r="BQ304" i="7"/>
  <c r="BP304" i="7"/>
  <c r="BO304" i="7"/>
  <c r="BN304" i="7"/>
  <c r="BM304" i="7"/>
  <c r="BL304" i="7"/>
  <c r="BJ304" i="7"/>
  <c r="BI304" i="7"/>
  <c r="BH304" i="7"/>
  <c r="BG304" i="7"/>
  <c r="BF304" i="7"/>
  <c r="BE304" i="7"/>
  <c r="BD304" i="7"/>
  <c r="BC304" i="7"/>
  <c r="BB304" i="7"/>
  <c r="BA304" i="7"/>
  <c r="AZ304" i="7"/>
  <c r="AY304" i="7"/>
  <c r="AX304" i="7"/>
  <c r="AW304" i="7"/>
  <c r="AV304" i="7"/>
  <c r="AU304" i="7"/>
  <c r="AT304" i="7"/>
  <c r="AS304" i="7"/>
  <c r="AR304" i="7"/>
  <c r="AQ304" i="7"/>
  <c r="AP304" i="7"/>
  <c r="AO304" i="7"/>
  <c r="AN304" i="7"/>
  <c r="AM304" i="7"/>
  <c r="AL304" i="7"/>
  <c r="AK304" i="7"/>
  <c r="AJ304" i="7"/>
  <c r="AI304" i="7"/>
  <c r="AH304" i="7"/>
  <c r="AG304" i="7"/>
  <c r="AF304" i="7"/>
  <c r="AE304" i="7"/>
  <c r="AD304" i="7"/>
  <c r="AC304" i="7"/>
  <c r="AB304" i="7"/>
  <c r="AA304" i="7"/>
  <c r="Z304" i="7"/>
  <c r="Y304" i="7"/>
  <c r="X304" i="7"/>
  <c r="W304" i="7"/>
  <c r="V304" i="7"/>
  <c r="U304" i="7"/>
  <c r="T304" i="7"/>
  <c r="S304" i="7"/>
  <c r="R304" i="7"/>
  <c r="CB303" i="7"/>
  <c r="CA303" i="7"/>
  <c r="CB302" i="7"/>
  <c r="CA302" i="7"/>
  <c r="CB301" i="7"/>
  <c r="CA301" i="7"/>
  <c r="CB300" i="7"/>
  <c r="CA300" i="7"/>
  <c r="CB299" i="7"/>
  <c r="CA299" i="7"/>
  <c r="CB298" i="7"/>
  <c r="CA298" i="7"/>
  <c r="BY295" i="7"/>
  <c r="BX295" i="7"/>
  <c r="BW295" i="7"/>
  <c r="BV295" i="7"/>
  <c r="BU295" i="7"/>
  <c r="BT295" i="7"/>
  <c r="BS295" i="7"/>
  <c r="BR295" i="7"/>
  <c r="BQ295" i="7"/>
  <c r="BP295" i="7"/>
  <c r="BO295" i="7"/>
  <c r="BN295" i="7"/>
  <c r="BM295" i="7"/>
  <c r="BL295" i="7"/>
  <c r="BJ295" i="7"/>
  <c r="BI295" i="7"/>
  <c r="BG295" i="7"/>
  <c r="BF295" i="7"/>
  <c r="BE295" i="7"/>
  <c r="BD295" i="7"/>
  <c r="BC295" i="7"/>
  <c r="BB295" i="7"/>
  <c r="BA295" i="7"/>
  <c r="AZ295" i="7"/>
  <c r="AY295" i="7"/>
  <c r="AX295" i="7"/>
  <c r="AW295" i="7"/>
  <c r="AV295" i="7"/>
  <c r="AU295" i="7"/>
  <c r="AT295" i="7"/>
  <c r="AS295" i="7"/>
  <c r="AR295" i="7"/>
  <c r="AQ295" i="7"/>
  <c r="AP295" i="7"/>
  <c r="AO295" i="7"/>
  <c r="AN295" i="7"/>
  <c r="AM295" i="7"/>
  <c r="AL295" i="7"/>
  <c r="AK295" i="7"/>
  <c r="AJ295" i="7"/>
  <c r="AI295" i="7"/>
  <c r="AH295" i="7"/>
  <c r="AG295" i="7"/>
  <c r="AF295" i="7"/>
  <c r="AE295" i="7"/>
  <c r="AD295" i="7"/>
  <c r="AC295" i="7"/>
  <c r="AB295" i="7"/>
  <c r="AA295" i="7"/>
  <c r="Z295" i="7"/>
  <c r="Y295" i="7"/>
  <c r="X295" i="7"/>
  <c r="W295" i="7"/>
  <c r="V295" i="7"/>
  <c r="U295" i="7"/>
  <c r="T295" i="7"/>
  <c r="S295" i="7"/>
  <c r="R295" i="7"/>
  <c r="CB294" i="7"/>
  <c r="CB293" i="7"/>
  <c r="CA294" i="7"/>
  <c r="BK295" i="7"/>
  <c r="CA293" i="7"/>
  <c r="BH295" i="7"/>
  <c r="BY290" i="7"/>
  <c r="BX290" i="7"/>
  <c r="BW290" i="7"/>
  <c r="BV290" i="7"/>
  <c r="BU290" i="7"/>
  <c r="BT290" i="7"/>
  <c r="BS290" i="7"/>
  <c r="BR290" i="7"/>
  <c r="BQ290" i="7"/>
  <c r="BP290" i="7"/>
  <c r="BO290" i="7"/>
  <c r="BN290" i="7"/>
  <c r="BM290" i="7"/>
  <c r="BL290" i="7"/>
  <c r="BJ290" i="7"/>
  <c r="BI290" i="7"/>
  <c r="BH290" i="7"/>
  <c r="BG290" i="7"/>
  <c r="BF290" i="7"/>
  <c r="BE290" i="7"/>
  <c r="BD290" i="7"/>
  <c r="BC290" i="7"/>
  <c r="BB290" i="7"/>
  <c r="BA290" i="7"/>
  <c r="AZ290" i="7"/>
  <c r="AY290" i="7"/>
  <c r="AX290" i="7"/>
  <c r="AW290" i="7"/>
  <c r="AV290" i="7"/>
  <c r="AU290" i="7"/>
  <c r="AT290" i="7"/>
  <c r="AS290" i="7"/>
  <c r="AR290" i="7"/>
  <c r="AQ290" i="7"/>
  <c r="AP290" i="7"/>
  <c r="AO290" i="7"/>
  <c r="AN290" i="7"/>
  <c r="AM290" i="7"/>
  <c r="AL290" i="7"/>
  <c r="AK290" i="7"/>
  <c r="AJ290" i="7"/>
  <c r="AI290" i="7"/>
  <c r="AH290" i="7"/>
  <c r="AG290" i="7"/>
  <c r="AF290" i="7"/>
  <c r="AE290" i="7"/>
  <c r="AD290" i="7"/>
  <c r="AC290" i="7"/>
  <c r="AB290" i="7"/>
  <c r="AA290" i="7"/>
  <c r="Z290" i="7"/>
  <c r="Y290" i="7"/>
  <c r="X290" i="7"/>
  <c r="W290" i="7"/>
  <c r="V290" i="7"/>
  <c r="U290" i="7"/>
  <c r="T290" i="7"/>
  <c r="S290" i="7"/>
  <c r="R290" i="7"/>
  <c r="CB289" i="7"/>
  <c r="CA289" i="7"/>
  <c r="CB288" i="7"/>
  <c r="CA288" i="7"/>
  <c r="CB287" i="7"/>
  <c r="CA287" i="7"/>
  <c r="CB286" i="7"/>
  <c r="CA286" i="7"/>
  <c r="CB285" i="7"/>
  <c r="CA285" i="7"/>
  <c r="CB284" i="7"/>
  <c r="CA284" i="7"/>
  <c r="BY275" i="7"/>
  <c r="BX275" i="7"/>
  <c r="BW275" i="7"/>
  <c r="BV275" i="7"/>
  <c r="BU275" i="7"/>
  <c r="BT275" i="7"/>
  <c r="BS275" i="7"/>
  <c r="BR275" i="7"/>
  <c r="BP275" i="7"/>
  <c r="BO275" i="7"/>
  <c r="BN275" i="7"/>
  <c r="BM275" i="7"/>
  <c r="BL275" i="7"/>
  <c r="BJ275" i="7"/>
  <c r="BI275" i="7"/>
  <c r="BH275" i="7"/>
  <c r="BG275" i="7"/>
  <c r="BF275" i="7"/>
  <c r="BE275" i="7"/>
  <c r="BD275" i="7"/>
  <c r="BC275" i="7"/>
  <c r="BB275" i="7"/>
  <c r="BA275" i="7"/>
  <c r="AZ275" i="7"/>
  <c r="AY275" i="7"/>
  <c r="AX275" i="7"/>
  <c r="AW275" i="7"/>
  <c r="AV275" i="7"/>
  <c r="AU275" i="7"/>
  <c r="AT275" i="7"/>
  <c r="AS275" i="7"/>
  <c r="AR275" i="7"/>
  <c r="AQ275" i="7"/>
  <c r="AP275" i="7"/>
  <c r="AO275" i="7"/>
  <c r="AN275" i="7"/>
  <c r="AM275" i="7"/>
  <c r="AL275" i="7"/>
  <c r="AK275" i="7"/>
  <c r="AJ275" i="7"/>
  <c r="AI275" i="7"/>
  <c r="AH275" i="7"/>
  <c r="AG275" i="7"/>
  <c r="AF275" i="7"/>
  <c r="AE275" i="7"/>
  <c r="AD275" i="7"/>
  <c r="AC275" i="7"/>
  <c r="AB275" i="7"/>
  <c r="AA275" i="7"/>
  <c r="Z275" i="7"/>
  <c r="Y275" i="7"/>
  <c r="X275" i="7"/>
  <c r="W275" i="7"/>
  <c r="V275" i="7"/>
  <c r="U275" i="7"/>
  <c r="T275" i="7"/>
  <c r="S275" i="7"/>
  <c r="R275" i="7"/>
  <c r="CB274" i="7"/>
  <c r="CB275" i="7" s="1"/>
  <c r="CA274" i="7"/>
  <c r="CA275" i="7" s="1"/>
  <c r="BQ275" i="7"/>
  <c r="BK275" i="7"/>
  <c r="BY271" i="7"/>
  <c r="BX271" i="7"/>
  <c r="BW271" i="7"/>
  <c r="BV271" i="7"/>
  <c r="BU271" i="7"/>
  <c r="BT271" i="7"/>
  <c r="BS271" i="7"/>
  <c r="BR271" i="7"/>
  <c r="BQ271" i="7"/>
  <c r="BP271" i="7"/>
  <c r="BO271" i="7"/>
  <c r="BN271" i="7"/>
  <c r="BM271" i="7"/>
  <c r="BL271" i="7"/>
  <c r="BJ271" i="7"/>
  <c r="BI271" i="7"/>
  <c r="BH271" i="7"/>
  <c r="BG271" i="7"/>
  <c r="BF271" i="7"/>
  <c r="BE271" i="7"/>
  <c r="BD271" i="7"/>
  <c r="BC271" i="7"/>
  <c r="BB271" i="7"/>
  <c r="BA271" i="7"/>
  <c r="AZ271" i="7"/>
  <c r="AY271" i="7"/>
  <c r="AX271" i="7"/>
  <c r="AW271" i="7"/>
  <c r="AV271" i="7"/>
  <c r="AU271" i="7"/>
  <c r="AT271" i="7"/>
  <c r="AS271" i="7"/>
  <c r="AR271" i="7"/>
  <c r="AQ271" i="7"/>
  <c r="AP271" i="7"/>
  <c r="AO271" i="7"/>
  <c r="AN271" i="7"/>
  <c r="AM271" i="7"/>
  <c r="AL271" i="7"/>
  <c r="AK271" i="7"/>
  <c r="AJ271" i="7"/>
  <c r="AI271" i="7"/>
  <c r="AH271" i="7"/>
  <c r="AG271" i="7"/>
  <c r="AF271" i="7"/>
  <c r="AE271" i="7"/>
  <c r="AD271" i="7"/>
  <c r="AC271" i="7"/>
  <c r="AB271" i="7"/>
  <c r="AA271" i="7"/>
  <c r="Z271" i="7"/>
  <c r="Y271" i="7"/>
  <c r="X271" i="7"/>
  <c r="W271" i="7"/>
  <c r="V271" i="7"/>
  <c r="U271" i="7"/>
  <c r="T271" i="7"/>
  <c r="S271" i="7"/>
  <c r="R271" i="7"/>
  <c r="CB270" i="7"/>
  <c r="CB271" i="7" s="1"/>
  <c r="CA270" i="7"/>
  <c r="CA271" i="7" s="1"/>
  <c r="BK271" i="7"/>
  <c r="BY267" i="7"/>
  <c r="BX267" i="7"/>
  <c r="BW267" i="7"/>
  <c r="BV267" i="7"/>
  <c r="BU267" i="7"/>
  <c r="BT267" i="7"/>
  <c r="BS267" i="7"/>
  <c r="BR267" i="7"/>
  <c r="BQ267" i="7"/>
  <c r="BP267" i="7"/>
  <c r="BO267" i="7"/>
  <c r="BN267" i="7"/>
  <c r="BM267" i="7"/>
  <c r="BL267" i="7"/>
  <c r="BK267" i="7"/>
  <c r="BJ267" i="7"/>
  <c r="BI267" i="7"/>
  <c r="BH267" i="7"/>
  <c r="BG267" i="7"/>
  <c r="BF267" i="7"/>
  <c r="BE267" i="7"/>
  <c r="BD267" i="7"/>
  <c r="BC267" i="7"/>
  <c r="BB267" i="7"/>
  <c r="BA267" i="7"/>
  <c r="AZ267" i="7"/>
  <c r="AY267" i="7"/>
  <c r="AX267" i="7"/>
  <c r="AW267" i="7"/>
  <c r="AV267" i="7"/>
  <c r="AU267" i="7"/>
  <c r="AT267" i="7"/>
  <c r="AS267" i="7"/>
  <c r="AR267" i="7"/>
  <c r="AQ267" i="7"/>
  <c r="AP267" i="7"/>
  <c r="AO267" i="7"/>
  <c r="AN267" i="7"/>
  <c r="AM267" i="7"/>
  <c r="AL267" i="7"/>
  <c r="AK267" i="7"/>
  <c r="AJ267" i="7"/>
  <c r="AI267" i="7"/>
  <c r="AH267" i="7"/>
  <c r="AG267" i="7"/>
  <c r="AF267" i="7"/>
  <c r="AE267" i="7"/>
  <c r="AD267" i="7"/>
  <c r="AC267" i="7"/>
  <c r="AB267" i="7"/>
  <c r="AA267" i="7"/>
  <c r="Z267" i="7"/>
  <c r="Y267" i="7"/>
  <c r="X267" i="7"/>
  <c r="W267" i="7"/>
  <c r="V267" i="7"/>
  <c r="U267" i="7"/>
  <c r="T267" i="7"/>
  <c r="S267" i="7"/>
  <c r="R267" i="7"/>
  <c r="CB266" i="7"/>
  <c r="CA266" i="7"/>
  <c r="CA267" i="7" s="1"/>
  <c r="CB265" i="7"/>
  <c r="CA265" i="7"/>
  <c r="BY260" i="7"/>
  <c r="BX260" i="7"/>
  <c r="BW260" i="7"/>
  <c r="BV260" i="7"/>
  <c r="BU260" i="7"/>
  <c r="BT260" i="7"/>
  <c r="BS260" i="7"/>
  <c r="BR260" i="7"/>
  <c r="BQ260" i="7"/>
  <c r="BP260" i="7"/>
  <c r="BO260" i="7"/>
  <c r="BN260" i="7"/>
  <c r="BM260" i="7"/>
  <c r="BJ260" i="7"/>
  <c r="BI260" i="7"/>
  <c r="BH260" i="7"/>
  <c r="BG260" i="7"/>
  <c r="BF260" i="7"/>
  <c r="BE260" i="7"/>
  <c r="BD260" i="7"/>
  <c r="BC260" i="7"/>
  <c r="BB260" i="7"/>
  <c r="BA260" i="7"/>
  <c r="AZ260" i="7"/>
  <c r="AY260" i="7"/>
  <c r="AX260" i="7"/>
  <c r="AW260" i="7"/>
  <c r="AV260" i="7"/>
  <c r="AU260" i="7"/>
  <c r="AT260" i="7"/>
  <c r="AS260" i="7"/>
  <c r="AR260" i="7"/>
  <c r="AQ260" i="7"/>
  <c r="AP260" i="7"/>
  <c r="AO260" i="7"/>
  <c r="AN260" i="7"/>
  <c r="AM260" i="7"/>
  <c r="AL260" i="7"/>
  <c r="AK260" i="7"/>
  <c r="AJ260" i="7"/>
  <c r="AI260" i="7"/>
  <c r="AH260" i="7"/>
  <c r="AG260" i="7"/>
  <c r="AF260" i="7"/>
  <c r="AE260" i="7"/>
  <c r="AD260" i="7"/>
  <c r="AC260" i="7"/>
  <c r="AB260" i="7"/>
  <c r="AA260" i="7"/>
  <c r="Z260" i="7"/>
  <c r="Y260" i="7"/>
  <c r="X260" i="7"/>
  <c r="W260" i="7"/>
  <c r="V260" i="7"/>
  <c r="U260" i="7"/>
  <c r="T260" i="7"/>
  <c r="S260" i="7"/>
  <c r="R260" i="7"/>
  <c r="CB259" i="7"/>
  <c r="CA259" i="7"/>
  <c r="CB258" i="7"/>
  <c r="CA258" i="7"/>
  <c r="CB257" i="7"/>
  <c r="BL260" i="7"/>
  <c r="BY254" i="7"/>
  <c r="BX254" i="7"/>
  <c r="BW254" i="7"/>
  <c r="BV254" i="7"/>
  <c r="BU254" i="7"/>
  <c r="BT254" i="7"/>
  <c r="BS254" i="7"/>
  <c r="BR254" i="7"/>
  <c r="BQ254" i="7"/>
  <c r="BP254" i="7"/>
  <c r="BO254" i="7"/>
  <c r="BN254" i="7"/>
  <c r="BM254" i="7"/>
  <c r="BL254" i="7"/>
  <c r="BJ254" i="7"/>
  <c r="BI254" i="7"/>
  <c r="BH254" i="7"/>
  <c r="BG254" i="7"/>
  <c r="BF254" i="7"/>
  <c r="BE254" i="7"/>
  <c r="BD254" i="7"/>
  <c r="BC254" i="7"/>
  <c r="BB254" i="7"/>
  <c r="BA254" i="7"/>
  <c r="AZ254" i="7"/>
  <c r="AY254" i="7"/>
  <c r="AX254" i="7"/>
  <c r="AW254" i="7"/>
  <c r="AV254" i="7"/>
  <c r="AU254" i="7"/>
  <c r="AT254" i="7"/>
  <c r="AS254" i="7"/>
  <c r="AR254" i="7"/>
  <c r="AQ254" i="7"/>
  <c r="AP254" i="7"/>
  <c r="AO254" i="7"/>
  <c r="AN254" i="7"/>
  <c r="AM254" i="7"/>
  <c r="AL254" i="7"/>
  <c r="AK254" i="7"/>
  <c r="AJ254" i="7"/>
  <c r="AI254" i="7"/>
  <c r="AH254" i="7"/>
  <c r="AG254" i="7"/>
  <c r="AF254" i="7"/>
  <c r="AE254" i="7"/>
  <c r="AD254" i="7"/>
  <c r="AC254" i="7"/>
  <c r="AB254" i="7"/>
  <c r="AA254" i="7"/>
  <c r="Z254" i="7"/>
  <c r="Y254" i="7"/>
  <c r="X254" i="7"/>
  <c r="W254" i="7"/>
  <c r="V254" i="7"/>
  <c r="U254" i="7"/>
  <c r="T254" i="7"/>
  <c r="S254" i="7"/>
  <c r="R254" i="7"/>
  <c r="CB253" i="7"/>
  <c r="CA253" i="7"/>
  <c r="CB252" i="7"/>
  <c r="CA252" i="7"/>
  <c r="CB251" i="7"/>
  <c r="CA251" i="7"/>
  <c r="CB250" i="7"/>
  <c r="CA250" i="7"/>
  <c r="BY247" i="7"/>
  <c r="BX247" i="7"/>
  <c r="BW247" i="7"/>
  <c r="BV247" i="7"/>
  <c r="BU247" i="7"/>
  <c r="BT247" i="7"/>
  <c r="BS247" i="7"/>
  <c r="BR247" i="7"/>
  <c r="BQ247" i="7"/>
  <c r="BP247" i="7"/>
  <c r="BO247" i="7"/>
  <c r="BN247" i="7"/>
  <c r="BM247" i="7"/>
  <c r="BL247" i="7"/>
  <c r="BJ247" i="7"/>
  <c r="BI247" i="7"/>
  <c r="BH247" i="7"/>
  <c r="BG247" i="7"/>
  <c r="BF247" i="7"/>
  <c r="BE247" i="7"/>
  <c r="BD247" i="7"/>
  <c r="BC247" i="7"/>
  <c r="BB247" i="7"/>
  <c r="BA247" i="7"/>
  <c r="AZ247" i="7"/>
  <c r="AY247" i="7"/>
  <c r="AX247" i="7"/>
  <c r="AW247" i="7"/>
  <c r="AV247" i="7"/>
  <c r="AU247" i="7"/>
  <c r="AT247" i="7"/>
  <c r="AS247" i="7"/>
  <c r="AR247" i="7"/>
  <c r="AQ247" i="7"/>
  <c r="AP247" i="7"/>
  <c r="AO247" i="7"/>
  <c r="AN247" i="7"/>
  <c r="AM247" i="7"/>
  <c r="AL247" i="7"/>
  <c r="AK247" i="7"/>
  <c r="AJ247" i="7"/>
  <c r="AI247" i="7"/>
  <c r="AH247" i="7"/>
  <c r="AG247" i="7"/>
  <c r="AF247" i="7"/>
  <c r="AE247" i="7"/>
  <c r="AD247" i="7"/>
  <c r="AC247" i="7"/>
  <c r="AB247" i="7"/>
  <c r="AA247" i="7"/>
  <c r="Z247" i="7"/>
  <c r="Y247" i="7"/>
  <c r="X247" i="7"/>
  <c r="W247" i="7"/>
  <c r="V247" i="7"/>
  <c r="U247" i="7"/>
  <c r="T247" i="7"/>
  <c r="S247" i="7"/>
  <c r="R247" i="7"/>
  <c r="CB246" i="7"/>
  <c r="CA246" i="7"/>
  <c r="CB245" i="7"/>
  <c r="CA245" i="7"/>
  <c r="CB244" i="7"/>
  <c r="CA244" i="7"/>
  <c r="CB243" i="7"/>
  <c r="CA243" i="7"/>
  <c r="CB242" i="7"/>
  <c r="CA242" i="7"/>
  <c r="BY233" i="7"/>
  <c r="BX233" i="7"/>
  <c r="BW233" i="7"/>
  <c r="BV233" i="7"/>
  <c r="BU233" i="7"/>
  <c r="BT233" i="7"/>
  <c r="BS233" i="7"/>
  <c r="BR233" i="7"/>
  <c r="BQ233" i="7"/>
  <c r="BP233" i="7"/>
  <c r="BP234" i="7" s="1"/>
  <c r="BP228" i="7"/>
  <c r="BO233" i="7"/>
  <c r="BN233" i="7"/>
  <c r="BM233" i="7"/>
  <c r="BL233" i="7"/>
  <c r="BJ233" i="7"/>
  <c r="BI233" i="7"/>
  <c r="BH233" i="7"/>
  <c r="BG233" i="7"/>
  <c r="BF233" i="7"/>
  <c r="BE233" i="7"/>
  <c r="BD233" i="7"/>
  <c r="BC233" i="7"/>
  <c r="BB233" i="7"/>
  <c r="BA233" i="7"/>
  <c r="AZ233" i="7"/>
  <c r="AY233" i="7"/>
  <c r="AX233" i="7"/>
  <c r="AW233" i="7"/>
  <c r="AV233" i="7"/>
  <c r="AU233" i="7"/>
  <c r="AT233" i="7"/>
  <c r="AS233" i="7"/>
  <c r="AR233" i="7"/>
  <c r="AQ233" i="7"/>
  <c r="AP233" i="7"/>
  <c r="AO233" i="7"/>
  <c r="AN233" i="7"/>
  <c r="AM233" i="7"/>
  <c r="AL233" i="7"/>
  <c r="AK233" i="7"/>
  <c r="AJ233" i="7"/>
  <c r="AI233" i="7"/>
  <c r="AH233" i="7"/>
  <c r="AG233" i="7"/>
  <c r="AF233" i="7"/>
  <c r="AE233" i="7"/>
  <c r="AD233" i="7"/>
  <c r="AC233" i="7"/>
  <c r="AB233" i="7"/>
  <c r="AA233" i="7"/>
  <c r="Z233" i="7"/>
  <c r="Y233" i="7"/>
  <c r="X233" i="7"/>
  <c r="W233" i="7"/>
  <c r="V233" i="7"/>
  <c r="U233" i="7"/>
  <c r="T233" i="7"/>
  <c r="S233" i="7"/>
  <c r="R233" i="7"/>
  <c r="CB232" i="7"/>
  <c r="CA232" i="7"/>
  <c r="CB231" i="7"/>
  <c r="CA231" i="7"/>
  <c r="BY228" i="7"/>
  <c r="BX228" i="7"/>
  <c r="BW228" i="7"/>
  <c r="BV228" i="7"/>
  <c r="BU228" i="7"/>
  <c r="BT228" i="7"/>
  <c r="BS228" i="7"/>
  <c r="BR228" i="7"/>
  <c r="BO228" i="7"/>
  <c r="BN228" i="7"/>
  <c r="BM228" i="7"/>
  <c r="BL228" i="7"/>
  <c r="BJ228" i="7"/>
  <c r="BI228" i="7"/>
  <c r="BH228" i="7"/>
  <c r="BG228" i="7"/>
  <c r="BF228" i="7"/>
  <c r="BE228" i="7"/>
  <c r="BD228" i="7"/>
  <c r="BC228" i="7"/>
  <c r="BB228" i="7"/>
  <c r="BA228" i="7"/>
  <c r="AZ228" i="7"/>
  <c r="AY228" i="7"/>
  <c r="AX228" i="7"/>
  <c r="AW228" i="7"/>
  <c r="AV228" i="7"/>
  <c r="AU228" i="7"/>
  <c r="AU234" i="7"/>
  <c r="AT228" i="7"/>
  <c r="AS228" i="7"/>
  <c r="AR228" i="7"/>
  <c r="AQ228" i="7"/>
  <c r="AP228" i="7"/>
  <c r="AO228" i="7"/>
  <c r="AN228" i="7"/>
  <c r="AM228" i="7"/>
  <c r="AM234" i="7" s="1"/>
  <c r="AL228" i="7"/>
  <c r="AK228" i="7"/>
  <c r="AJ228" i="7"/>
  <c r="AI228" i="7"/>
  <c r="AH228" i="7"/>
  <c r="AG228" i="7"/>
  <c r="AF228" i="7"/>
  <c r="AE228" i="7"/>
  <c r="AE234" i="7"/>
  <c r="AD228" i="7"/>
  <c r="AC228" i="7"/>
  <c r="AB228" i="7"/>
  <c r="AA228" i="7"/>
  <c r="Z228" i="7"/>
  <c r="Y228" i="7"/>
  <c r="X228" i="7"/>
  <c r="W228" i="7"/>
  <c r="V228" i="7"/>
  <c r="U228" i="7"/>
  <c r="T228" i="7"/>
  <c r="S228" i="7"/>
  <c r="R228" i="7"/>
  <c r="CB227" i="7"/>
  <c r="CB228" i="7" s="1"/>
  <c r="CA227" i="7"/>
  <c r="CA228" i="7" s="1"/>
  <c r="BQ228" i="7"/>
  <c r="BY222" i="7"/>
  <c r="BX222" i="7"/>
  <c r="BW222" i="7"/>
  <c r="BV222" i="7"/>
  <c r="BU222" i="7"/>
  <c r="BT222" i="7"/>
  <c r="BS222" i="7"/>
  <c r="BR222" i="7"/>
  <c r="BQ222" i="7"/>
  <c r="BP222" i="7"/>
  <c r="BO222" i="7"/>
  <c r="BN222" i="7"/>
  <c r="BM222" i="7"/>
  <c r="BL222" i="7"/>
  <c r="BK222" i="7"/>
  <c r="BJ222" i="7"/>
  <c r="BI222" i="7"/>
  <c r="BH222" i="7"/>
  <c r="BG222" i="7"/>
  <c r="BF222" i="7"/>
  <c r="BE222" i="7"/>
  <c r="BD222" i="7"/>
  <c r="BC222" i="7"/>
  <c r="BB222" i="7"/>
  <c r="BA222" i="7"/>
  <c r="AZ222" i="7"/>
  <c r="AY222" i="7"/>
  <c r="AX222" i="7"/>
  <c r="AW222" i="7"/>
  <c r="AV222" i="7"/>
  <c r="AU222" i="7"/>
  <c r="AT222" i="7"/>
  <c r="AS222" i="7"/>
  <c r="AR222" i="7"/>
  <c r="AQ222" i="7"/>
  <c r="AP222" i="7"/>
  <c r="AO222" i="7"/>
  <c r="AN222" i="7"/>
  <c r="AM222" i="7"/>
  <c r="AL222" i="7"/>
  <c r="AK222" i="7"/>
  <c r="AJ222" i="7"/>
  <c r="AI222" i="7"/>
  <c r="AH222" i="7"/>
  <c r="AG222" i="7"/>
  <c r="AF222" i="7"/>
  <c r="AE222" i="7"/>
  <c r="AD222" i="7"/>
  <c r="AC222" i="7"/>
  <c r="AB222" i="7"/>
  <c r="AA222" i="7"/>
  <c r="Z222" i="7"/>
  <c r="Y222" i="7"/>
  <c r="X222" i="7"/>
  <c r="W222" i="7"/>
  <c r="V222" i="7"/>
  <c r="U222" i="7"/>
  <c r="T222" i="7"/>
  <c r="S222" i="7"/>
  <c r="CB221" i="7"/>
  <c r="CB222" i="7" s="1"/>
  <c r="CA221" i="7"/>
  <c r="CA222" i="7" s="1"/>
  <c r="BY218" i="7"/>
  <c r="BX218" i="7"/>
  <c r="BW218" i="7"/>
  <c r="BV218" i="7"/>
  <c r="BU218" i="7"/>
  <c r="BT218" i="7"/>
  <c r="BS218" i="7"/>
  <c r="BR218" i="7"/>
  <c r="BQ218" i="7"/>
  <c r="BP218" i="7"/>
  <c r="BO218" i="7"/>
  <c r="BN218" i="7"/>
  <c r="BM218" i="7"/>
  <c r="BL218" i="7"/>
  <c r="BK218" i="7"/>
  <c r="BJ218" i="7"/>
  <c r="BI218" i="7"/>
  <c r="BH218" i="7"/>
  <c r="BG218" i="7"/>
  <c r="BF218" i="7"/>
  <c r="BE218" i="7"/>
  <c r="BD218" i="7"/>
  <c r="BC218" i="7"/>
  <c r="BB218" i="7"/>
  <c r="BA218" i="7"/>
  <c r="AZ218" i="7"/>
  <c r="AY218" i="7"/>
  <c r="AX218" i="7"/>
  <c r="AW218" i="7"/>
  <c r="AV218" i="7"/>
  <c r="AU218" i="7"/>
  <c r="AT218" i="7"/>
  <c r="AS218" i="7"/>
  <c r="AR218" i="7"/>
  <c r="AQ218" i="7"/>
  <c r="AP218" i="7"/>
  <c r="AO218" i="7"/>
  <c r="AN218" i="7"/>
  <c r="AM218" i="7"/>
  <c r="AL218" i="7"/>
  <c r="AK218" i="7"/>
  <c r="AJ218" i="7"/>
  <c r="AI218" i="7"/>
  <c r="AH218" i="7"/>
  <c r="AG218" i="7"/>
  <c r="AF218" i="7"/>
  <c r="AE218" i="7"/>
  <c r="AD218" i="7"/>
  <c r="AC218" i="7"/>
  <c r="AB218" i="7"/>
  <c r="AA218" i="7"/>
  <c r="Z218" i="7"/>
  <c r="Y218" i="7"/>
  <c r="X218" i="7"/>
  <c r="W218" i="7"/>
  <c r="V218" i="7"/>
  <c r="U218" i="7"/>
  <c r="T218" i="7"/>
  <c r="S218" i="7"/>
  <c r="R218" i="7"/>
  <c r="CB217" i="7"/>
  <c r="CB218" i="7" s="1"/>
  <c r="CA217" i="7"/>
  <c r="CA218" i="7" s="1"/>
  <c r="BQ214" i="7"/>
  <c r="BN214" i="7"/>
  <c r="BH214" i="7"/>
  <c r="BE214" i="7"/>
  <c r="BB214" i="7"/>
  <c r="AY214" i="7"/>
  <c r="AV214" i="7"/>
  <c r="AS214" i="7"/>
  <c r="AP214" i="7"/>
  <c r="AM214" i="7"/>
  <c r="AJ214" i="7"/>
  <c r="AG214" i="7"/>
  <c r="AD214" i="7"/>
  <c r="AA214" i="7"/>
  <c r="X214" i="7"/>
  <c r="U214" i="7"/>
  <c r="CB213" i="7"/>
  <c r="CA213" i="7"/>
  <c r="CB212" i="7"/>
  <c r="CA212" i="7"/>
  <c r="CB211" i="7"/>
  <c r="CA211" i="7"/>
  <c r="CB210" i="7"/>
  <c r="CA210" i="7"/>
  <c r="BY201" i="7"/>
  <c r="BX201" i="7"/>
  <c r="BW201" i="7"/>
  <c r="BV201" i="7"/>
  <c r="BU201" i="7"/>
  <c r="BT201" i="7"/>
  <c r="BS201" i="7"/>
  <c r="BR201" i="7"/>
  <c r="BQ201" i="7"/>
  <c r="BP201" i="7"/>
  <c r="BO201" i="7"/>
  <c r="BN201" i="7"/>
  <c r="BM201" i="7"/>
  <c r="BL201" i="7"/>
  <c r="BJ201" i="7"/>
  <c r="BI201" i="7"/>
  <c r="BH201" i="7"/>
  <c r="BG201" i="7"/>
  <c r="BF201" i="7"/>
  <c r="BE201" i="7"/>
  <c r="BD201" i="7"/>
  <c r="BC201" i="7"/>
  <c r="BB201" i="7"/>
  <c r="BA201" i="7"/>
  <c r="AZ201" i="7"/>
  <c r="AY201" i="7"/>
  <c r="AX201" i="7"/>
  <c r="AW201" i="7"/>
  <c r="AV201" i="7"/>
  <c r="AU201" i="7"/>
  <c r="AT201" i="7"/>
  <c r="AS201" i="7"/>
  <c r="AR201" i="7"/>
  <c r="AQ201" i="7"/>
  <c r="AP201" i="7"/>
  <c r="AO201" i="7"/>
  <c r="AN201" i="7"/>
  <c r="AM201" i="7"/>
  <c r="AL201" i="7"/>
  <c r="AK201" i="7"/>
  <c r="AJ201" i="7"/>
  <c r="AI201" i="7"/>
  <c r="AH201" i="7"/>
  <c r="AG201" i="7"/>
  <c r="AF201" i="7"/>
  <c r="AE201" i="7"/>
  <c r="AD201" i="7"/>
  <c r="AC201" i="7"/>
  <c r="AB201" i="7"/>
  <c r="AA201" i="7"/>
  <c r="Z201" i="7"/>
  <c r="Y201" i="7"/>
  <c r="X201" i="7"/>
  <c r="W201" i="7"/>
  <c r="V201" i="7"/>
  <c r="U201" i="7"/>
  <c r="T201" i="7"/>
  <c r="S201" i="7"/>
  <c r="R201" i="7"/>
  <c r="CB200" i="7"/>
  <c r="CB201" i="7" s="1"/>
  <c r="CA200" i="7"/>
  <c r="CA201" i="7" s="1"/>
  <c r="BK201" i="7"/>
  <c r="BY197" i="7"/>
  <c r="BX197" i="7"/>
  <c r="BW197" i="7"/>
  <c r="BV197" i="7"/>
  <c r="BU197" i="7"/>
  <c r="BT197" i="7"/>
  <c r="BS197" i="7"/>
  <c r="BR197" i="7"/>
  <c r="BQ197" i="7"/>
  <c r="BP197" i="7"/>
  <c r="BO197" i="7"/>
  <c r="BN197" i="7"/>
  <c r="BM197" i="7"/>
  <c r="BL197" i="7"/>
  <c r="BJ197" i="7"/>
  <c r="BI197" i="7"/>
  <c r="BH197" i="7"/>
  <c r="BG197" i="7"/>
  <c r="BF197" i="7"/>
  <c r="BE197" i="7"/>
  <c r="BD197" i="7"/>
  <c r="BC197" i="7"/>
  <c r="BB197" i="7"/>
  <c r="BA197" i="7"/>
  <c r="AZ197" i="7"/>
  <c r="AY197" i="7"/>
  <c r="AX197" i="7"/>
  <c r="AW197" i="7"/>
  <c r="AV197" i="7"/>
  <c r="AU197" i="7"/>
  <c r="AT197" i="7"/>
  <c r="AS197" i="7"/>
  <c r="AR197" i="7"/>
  <c r="AQ197" i="7"/>
  <c r="AP197" i="7"/>
  <c r="AO197" i="7"/>
  <c r="AN197" i="7"/>
  <c r="AM197" i="7"/>
  <c r="AL197" i="7"/>
  <c r="AK197" i="7"/>
  <c r="AJ197" i="7"/>
  <c r="AI197" i="7"/>
  <c r="AH197" i="7"/>
  <c r="AG197" i="7"/>
  <c r="AF197" i="7"/>
  <c r="AE197" i="7"/>
  <c r="AD197" i="7"/>
  <c r="AC197" i="7"/>
  <c r="AB197" i="7"/>
  <c r="AA197" i="7"/>
  <c r="Z197" i="7"/>
  <c r="Y197" i="7"/>
  <c r="X197" i="7"/>
  <c r="W197" i="7"/>
  <c r="V197" i="7"/>
  <c r="U197" i="7"/>
  <c r="T197" i="7"/>
  <c r="S197" i="7"/>
  <c r="R197" i="7"/>
  <c r="CB196" i="7"/>
  <c r="CA196" i="7"/>
  <c r="CB195" i="7"/>
  <c r="CA195" i="7"/>
  <c r="CB194" i="7"/>
  <c r="CA194" i="7"/>
  <c r="CB193" i="7"/>
  <c r="CA193" i="7"/>
  <c r="CB192" i="7"/>
  <c r="CA192" i="7"/>
  <c r="BK197" i="7"/>
  <c r="BY187" i="7"/>
  <c r="BY188" i="7" s="1"/>
  <c r="BX187" i="7"/>
  <c r="BX188" i="7"/>
  <c r="BW187" i="7"/>
  <c r="BW188" i="7" s="1"/>
  <c r="BV187" i="7"/>
  <c r="BV188" i="7"/>
  <c r="BU187" i="7"/>
  <c r="BU188" i="7" s="1"/>
  <c r="BT187" i="7"/>
  <c r="BT188" i="7"/>
  <c r="BS187" i="7"/>
  <c r="BS188" i="7" s="1"/>
  <c r="BR187" i="7"/>
  <c r="BR188" i="7"/>
  <c r="BQ187" i="7"/>
  <c r="BQ188" i="7" s="1"/>
  <c r="BP187" i="7"/>
  <c r="BP188" i="7"/>
  <c r="BO187" i="7"/>
  <c r="BO188" i="7" s="1"/>
  <c r="BN187" i="7"/>
  <c r="BN188" i="7"/>
  <c r="BM187" i="7"/>
  <c r="BM188" i="7" s="1"/>
  <c r="BL187" i="7"/>
  <c r="BL188" i="7" s="1"/>
  <c r="BJ187" i="7"/>
  <c r="BJ188" i="7"/>
  <c r="BI187" i="7"/>
  <c r="BI188" i="7" s="1"/>
  <c r="BH187" i="7"/>
  <c r="BH188" i="7"/>
  <c r="BG187" i="7"/>
  <c r="BG188" i="7" s="1"/>
  <c r="BF187" i="7"/>
  <c r="BF188" i="7"/>
  <c r="BE187" i="7"/>
  <c r="BE188" i="7" s="1"/>
  <c r="BD187" i="7"/>
  <c r="BD188" i="7"/>
  <c r="BC187" i="7"/>
  <c r="BC188" i="7" s="1"/>
  <c r="BB187" i="7"/>
  <c r="BB188" i="7"/>
  <c r="BA187" i="7"/>
  <c r="BA188" i="7" s="1"/>
  <c r="AZ187" i="7"/>
  <c r="AZ188" i="7"/>
  <c r="AY187" i="7"/>
  <c r="AY188" i="7" s="1"/>
  <c r="AX187" i="7"/>
  <c r="AX188" i="7"/>
  <c r="AW187" i="7"/>
  <c r="AW188" i="7" s="1"/>
  <c r="AV187" i="7"/>
  <c r="AV188" i="7"/>
  <c r="AU187" i="7"/>
  <c r="AU188" i="7" s="1"/>
  <c r="AT187" i="7"/>
  <c r="AT188" i="7"/>
  <c r="AS187" i="7"/>
  <c r="AS188" i="7" s="1"/>
  <c r="AR187" i="7"/>
  <c r="AR188" i="7"/>
  <c r="AQ187" i="7"/>
  <c r="AQ188" i="7" s="1"/>
  <c r="AP187" i="7"/>
  <c r="AP188" i="7"/>
  <c r="AO187" i="7"/>
  <c r="AO188" i="7" s="1"/>
  <c r="AN187" i="7"/>
  <c r="AN188" i="7"/>
  <c r="AM187" i="7"/>
  <c r="AM188" i="7" s="1"/>
  <c r="AL187" i="7"/>
  <c r="AL188" i="7"/>
  <c r="AK187" i="7"/>
  <c r="AK188" i="7" s="1"/>
  <c r="AJ187" i="7"/>
  <c r="AJ188" i="7"/>
  <c r="AI187" i="7"/>
  <c r="AI188" i="7" s="1"/>
  <c r="AH187" i="7"/>
  <c r="AH188" i="7"/>
  <c r="AG187" i="7"/>
  <c r="AG188" i="7" s="1"/>
  <c r="AF187" i="7"/>
  <c r="AF188" i="7"/>
  <c r="AE187" i="7"/>
  <c r="AE188" i="7" s="1"/>
  <c r="AD187" i="7"/>
  <c r="AD188" i="7"/>
  <c r="AC187" i="7"/>
  <c r="AC188" i="7" s="1"/>
  <c r="AB187" i="7"/>
  <c r="AB188" i="7"/>
  <c r="AA187" i="7"/>
  <c r="AA188" i="7" s="1"/>
  <c r="Z187" i="7"/>
  <c r="Z188" i="7"/>
  <c r="Y187" i="7"/>
  <c r="Y188" i="7" s="1"/>
  <c r="X187" i="7"/>
  <c r="X188" i="7"/>
  <c r="W187" i="7"/>
  <c r="W188" i="7" s="1"/>
  <c r="V187" i="7"/>
  <c r="V188" i="7"/>
  <c r="U187" i="7"/>
  <c r="U188" i="7" s="1"/>
  <c r="T187" i="7"/>
  <c r="T188" i="7"/>
  <c r="S187" i="7"/>
  <c r="S188" i="7" s="1"/>
  <c r="R187" i="7"/>
  <c r="R188" i="7"/>
  <c r="CB186" i="7"/>
  <c r="CB187" i="7" s="1"/>
  <c r="CB188" i="7" s="1"/>
  <c r="CA186" i="7"/>
  <c r="CA187" i="7" s="1"/>
  <c r="CA188" i="7" s="1"/>
  <c r="A186" i="7"/>
  <c r="BY179" i="7"/>
  <c r="BX179" i="7"/>
  <c r="BW179" i="7"/>
  <c r="BV179" i="7"/>
  <c r="BU179" i="7"/>
  <c r="BT179" i="7"/>
  <c r="BS179" i="7"/>
  <c r="BR179" i="7"/>
  <c r="BQ179" i="7"/>
  <c r="BP179" i="7"/>
  <c r="BO179" i="7"/>
  <c r="BN179" i="7"/>
  <c r="BM179" i="7"/>
  <c r="BL179" i="7"/>
  <c r="BJ179" i="7"/>
  <c r="BI179" i="7"/>
  <c r="BH179" i="7"/>
  <c r="BG179" i="7"/>
  <c r="BF179" i="7"/>
  <c r="BE179" i="7"/>
  <c r="BD179" i="7"/>
  <c r="BC179" i="7"/>
  <c r="BB179" i="7"/>
  <c r="BA179" i="7"/>
  <c r="AZ179" i="7"/>
  <c r="AY179" i="7"/>
  <c r="AX179" i="7"/>
  <c r="AW179" i="7"/>
  <c r="AV179" i="7"/>
  <c r="AU179" i="7"/>
  <c r="AT179" i="7"/>
  <c r="AS179" i="7"/>
  <c r="AR179" i="7"/>
  <c r="AQ179" i="7"/>
  <c r="AP179" i="7"/>
  <c r="AO179" i="7"/>
  <c r="AN179" i="7"/>
  <c r="AM179" i="7"/>
  <c r="AL179" i="7"/>
  <c r="AK179" i="7"/>
  <c r="AJ179" i="7"/>
  <c r="AI179" i="7"/>
  <c r="AH179" i="7"/>
  <c r="AG179" i="7"/>
  <c r="AF179" i="7"/>
  <c r="AE179" i="7"/>
  <c r="AD179" i="7"/>
  <c r="AC179" i="7"/>
  <c r="AB179" i="7"/>
  <c r="AB180" i="7" s="1"/>
  <c r="AB174" i="7"/>
  <c r="AA179" i="7"/>
  <c r="Z179" i="7"/>
  <c r="Y179" i="7"/>
  <c r="X179" i="7"/>
  <c r="W179" i="7"/>
  <c r="V179" i="7"/>
  <c r="U179" i="7"/>
  <c r="T179" i="7"/>
  <c r="S179" i="7"/>
  <c r="R179" i="7"/>
  <c r="CB178" i="7"/>
  <c r="CB179" i="7" s="1"/>
  <c r="CA178" i="7"/>
  <c r="CB177" i="7"/>
  <c r="CA177" i="7"/>
  <c r="BK179" i="7"/>
  <c r="BY174" i="7"/>
  <c r="BX174" i="7"/>
  <c r="BW174" i="7"/>
  <c r="BV174" i="7"/>
  <c r="BU174" i="7"/>
  <c r="BT174" i="7"/>
  <c r="BS174" i="7"/>
  <c r="BR174" i="7"/>
  <c r="BQ174" i="7"/>
  <c r="BP174" i="7"/>
  <c r="BO174" i="7"/>
  <c r="BN174" i="7"/>
  <c r="BM174" i="7"/>
  <c r="BL174" i="7"/>
  <c r="BJ174" i="7"/>
  <c r="BI174" i="7"/>
  <c r="BH174" i="7"/>
  <c r="BG174" i="7"/>
  <c r="BF174" i="7"/>
  <c r="BE174" i="7"/>
  <c r="BD174" i="7"/>
  <c r="BC174" i="7"/>
  <c r="BB174" i="7"/>
  <c r="BA174" i="7"/>
  <c r="AZ174" i="7"/>
  <c r="AY174" i="7"/>
  <c r="AX174" i="7"/>
  <c r="AW174" i="7"/>
  <c r="AV174" i="7"/>
  <c r="AU174" i="7"/>
  <c r="AT174" i="7"/>
  <c r="AS174" i="7"/>
  <c r="AR174" i="7"/>
  <c r="AQ174" i="7"/>
  <c r="AP174" i="7"/>
  <c r="AO174" i="7"/>
  <c r="AN174" i="7"/>
  <c r="AM174" i="7"/>
  <c r="AL174" i="7"/>
  <c r="AK174" i="7"/>
  <c r="AJ174" i="7"/>
  <c r="AI174" i="7"/>
  <c r="AH174" i="7"/>
  <c r="AG174" i="7"/>
  <c r="AF174" i="7"/>
  <c r="AE174" i="7"/>
  <c r="AD174" i="7"/>
  <c r="AC174" i="7"/>
  <c r="AA174" i="7"/>
  <c r="Z174" i="7"/>
  <c r="Y174" i="7"/>
  <c r="X174" i="7"/>
  <c r="W174" i="7"/>
  <c r="V174" i="7"/>
  <c r="U174" i="7"/>
  <c r="T174" i="7"/>
  <c r="S174" i="7"/>
  <c r="R174" i="7"/>
  <c r="CB173" i="7"/>
  <c r="CA173" i="7"/>
  <c r="CB172" i="7"/>
  <c r="CA172" i="7"/>
  <c r="CB171" i="7"/>
  <c r="CA171" i="7"/>
  <c r="CB170" i="7"/>
  <c r="CA170" i="7"/>
  <c r="CB169" i="7"/>
  <c r="CA169" i="7"/>
  <c r="BY164" i="7"/>
  <c r="BX164" i="7"/>
  <c r="BW164" i="7"/>
  <c r="BV164" i="7"/>
  <c r="BU164" i="7"/>
  <c r="BT164" i="7"/>
  <c r="BS164" i="7"/>
  <c r="BR164" i="7"/>
  <c r="BQ164" i="7"/>
  <c r="BP164" i="7"/>
  <c r="BO164" i="7"/>
  <c r="BN164" i="7"/>
  <c r="BM164" i="7"/>
  <c r="BL164" i="7"/>
  <c r="BJ164" i="7"/>
  <c r="BI164" i="7"/>
  <c r="BH164" i="7"/>
  <c r="BG164" i="7"/>
  <c r="BF164" i="7"/>
  <c r="BE164" i="7"/>
  <c r="BD164" i="7"/>
  <c r="BC164" i="7"/>
  <c r="BB164" i="7"/>
  <c r="BA164" i="7"/>
  <c r="AZ164" i="7"/>
  <c r="AY164" i="7"/>
  <c r="AX164" i="7"/>
  <c r="AW164" i="7"/>
  <c r="AV164" i="7"/>
  <c r="AU164" i="7"/>
  <c r="AT164" i="7"/>
  <c r="AS164" i="7"/>
  <c r="AR164" i="7"/>
  <c r="AQ164" i="7"/>
  <c r="AP164" i="7"/>
  <c r="AO164" i="7"/>
  <c r="AN164" i="7"/>
  <c r="AM164" i="7"/>
  <c r="AL164" i="7"/>
  <c r="AK164" i="7"/>
  <c r="AJ164" i="7"/>
  <c r="AJ159" i="7"/>
  <c r="AJ153" i="7"/>
  <c r="AI164" i="7"/>
  <c r="AH164" i="7"/>
  <c r="AG164" i="7"/>
  <c r="AF164" i="7"/>
  <c r="AE164" i="7"/>
  <c r="AD164" i="7"/>
  <c r="AC164" i="7"/>
  <c r="AB164" i="7"/>
  <c r="AA164" i="7"/>
  <c r="Z164" i="7"/>
  <c r="Y164" i="7"/>
  <c r="X164" i="7"/>
  <c r="W164" i="7"/>
  <c r="V164" i="7"/>
  <c r="U164" i="7"/>
  <c r="T164" i="7"/>
  <c r="S164" i="7"/>
  <c r="R164" i="7"/>
  <c r="CB163" i="7"/>
  <c r="CA163" i="7"/>
  <c r="CA164" i="7" s="1"/>
  <c r="CB162" i="7"/>
  <c r="CA162" i="7"/>
  <c r="BY159" i="7"/>
  <c r="BX159" i="7"/>
  <c r="BW159" i="7"/>
  <c r="BV159" i="7"/>
  <c r="BU159" i="7"/>
  <c r="BT159" i="7"/>
  <c r="BS159" i="7"/>
  <c r="BR159" i="7"/>
  <c r="BQ159" i="7"/>
  <c r="BP159" i="7"/>
  <c r="BO159" i="7"/>
  <c r="BN159" i="7"/>
  <c r="BM159" i="7"/>
  <c r="BL159" i="7"/>
  <c r="BJ159" i="7"/>
  <c r="BI159" i="7"/>
  <c r="BH159" i="7"/>
  <c r="BG159" i="7"/>
  <c r="BF159" i="7"/>
  <c r="BE159" i="7"/>
  <c r="BD159" i="7"/>
  <c r="BC159" i="7"/>
  <c r="BB159" i="7"/>
  <c r="BA159" i="7"/>
  <c r="AZ159" i="7"/>
  <c r="AY159" i="7"/>
  <c r="AX159" i="7"/>
  <c r="AW159" i="7"/>
  <c r="AV159" i="7"/>
  <c r="AU159" i="7"/>
  <c r="AT159" i="7"/>
  <c r="AS159" i="7"/>
  <c r="AR159" i="7"/>
  <c r="AQ159" i="7"/>
  <c r="AP159" i="7"/>
  <c r="AO159" i="7"/>
  <c r="AN159" i="7"/>
  <c r="AM159" i="7"/>
  <c r="AL159" i="7"/>
  <c r="AK159" i="7"/>
  <c r="AI159" i="7"/>
  <c r="AH159" i="7"/>
  <c r="AG159" i="7"/>
  <c r="AF159" i="7"/>
  <c r="AE159" i="7"/>
  <c r="AD159" i="7"/>
  <c r="AC159" i="7"/>
  <c r="AB159" i="7"/>
  <c r="AA159" i="7"/>
  <c r="Z159" i="7"/>
  <c r="Y159" i="7"/>
  <c r="X159" i="7"/>
  <c r="W159" i="7"/>
  <c r="V159" i="7"/>
  <c r="U159" i="7"/>
  <c r="T159" i="7"/>
  <c r="S159" i="7"/>
  <c r="R159" i="7"/>
  <c r="CB158" i="7"/>
  <c r="CA158" i="7"/>
  <c r="CB157" i="7"/>
  <c r="CA157" i="7"/>
  <c r="CB156" i="7"/>
  <c r="CA156" i="7"/>
  <c r="BY153" i="7"/>
  <c r="BX153" i="7"/>
  <c r="BW153" i="7"/>
  <c r="BV153" i="7"/>
  <c r="BU153" i="7"/>
  <c r="BT153" i="7"/>
  <c r="BS153" i="7"/>
  <c r="BR153" i="7"/>
  <c r="BQ153" i="7"/>
  <c r="BP153" i="7"/>
  <c r="BO153" i="7"/>
  <c r="BN153" i="7"/>
  <c r="BM153" i="7"/>
  <c r="BL153" i="7"/>
  <c r="BJ153" i="7"/>
  <c r="BI153" i="7"/>
  <c r="BH153" i="7"/>
  <c r="BG153" i="7"/>
  <c r="BF153" i="7"/>
  <c r="BE153" i="7"/>
  <c r="BD153" i="7"/>
  <c r="BC153" i="7"/>
  <c r="BB153" i="7"/>
  <c r="BA153" i="7"/>
  <c r="AZ153" i="7"/>
  <c r="AY153" i="7"/>
  <c r="AX153" i="7"/>
  <c r="AW153" i="7"/>
  <c r="AV153" i="7"/>
  <c r="AU153" i="7"/>
  <c r="AT153" i="7"/>
  <c r="AS153" i="7"/>
  <c r="AR153" i="7"/>
  <c r="AQ153" i="7"/>
  <c r="AP153" i="7"/>
  <c r="AO153" i="7"/>
  <c r="AN153" i="7"/>
  <c r="AM153" i="7"/>
  <c r="AL153" i="7"/>
  <c r="AK153" i="7"/>
  <c r="AI153" i="7"/>
  <c r="AH153" i="7"/>
  <c r="AG153" i="7"/>
  <c r="AF153" i="7"/>
  <c r="AE153" i="7"/>
  <c r="AD153" i="7"/>
  <c r="AC153" i="7"/>
  <c r="AB153" i="7"/>
  <c r="AA153" i="7"/>
  <c r="Z153" i="7"/>
  <c r="Y153" i="7"/>
  <c r="X153" i="7"/>
  <c r="W153" i="7"/>
  <c r="V153" i="7"/>
  <c r="U153" i="7"/>
  <c r="T153" i="7"/>
  <c r="S153" i="7"/>
  <c r="R153" i="7"/>
  <c r="R165" i="7"/>
  <c r="CB152" i="7"/>
  <c r="CA152" i="7"/>
  <c r="CB151" i="7"/>
  <c r="CA151" i="7"/>
  <c r="CB150" i="7"/>
  <c r="CA150" i="7"/>
  <c r="CB149" i="7"/>
  <c r="CA149" i="7"/>
  <c r="CB148" i="7"/>
  <c r="CA148" i="7"/>
  <c r="BY143" i="7"/>
  <c r="BX143" i="7"/>
  <c r="BW143" i="7"/>
  <c r="BV143" i="7"/>
  <c r="BU143" i="7"/>
  <c r="BT143" i="7"/>
  <c r="BS143" i="7"/>
  <c r="BR143" i="7"/>
  <c r="BQ143" i="7"/>
  <c r="BP143" i="7"/>
  <c r="BO143" i="7"/>
  <c r="BN143" i="7"/>
  <c r="BM143" i="7"/>
  <c r="BL143" i="7"/>
  <c r="BL144" i="7" s="1"/>
  <c r="BJ143" i="7"/>
  <c r="BI143" i="7"/>
  <c r="BH143" i="7"/>
  <c r="BG143" i="7"/>
  <c r="BF143" i="7"/>
  <c r="BE143" i="7"/>
  <c r="BD143" i="7"/>
  <c r="BC143" i="7"/>
  <c r="BB143" i="7"/>
  <c r="BA143" i="7"/>
  <c r="AZ143" i="7"/>
  <c r="AY143" i="7"/>
  <c r="AX143" i="7"/>
  <c r="AW143" i="7"/>
  <c r="AV143" i="7"/>
  <c r="AU143" i="7"/>
  <c r="AT143" i="7"/>
  <c r="AS143" i="7"/>
  <c r="AR143" i="7"/>
  <c r="AQ143" i="7"/>
  <c r="AP143" i="7"/>
  <c r="AO143" i="7"/>
  <c r="AN143" i="7"/>
  <c r="AM143" i="7"/>
  <c r="AL143" i="7"/>
  <c r="AK143" i="7"/>
  <c r="AJ143" i="7"/>
  <c r="AI143" i="7"/>
  <c r="AH143" i="7"/>
  <c r="AG143" i="7"/>
  <c r="AF143" i="7"/>
  <c r="AE143" i="7"/>
  <c r="AD143" i="7"/>
  <c r="AC143" i="7"/>
  <c r="AB143" i="7"/>
  <c r="Z143" i="7"/>
  <c r="Y143" i="7"/>
  <c r="X143" i="7"/>
  <c r="W143" i="7"/>
  <c r="V143" i="7"/>
  <c r="U143" i="7"/>
  <c r="T143" i="7"/>
  <c r="S143" i="7"/>
  <c r="R143" i="7"/>
  <c r="CB142" i="7"/>
  <c r="CA142" i="7"/>
  <c r="CB141" i="7"/>
  <c r="CA141" i="7"/>
  <c r="CB140" i="7"/>
  <c r="CA140" i="7"/>
  <c r="BK143" i="7"/>
  <c r="CB139" i="7"/>
  <c r="CA139" i="7"/>
  <c r="BY136" i="7"/>
  <c r="BX136" i="7"/>
  <c r="BW136" i="7"/>
  <c r="BV136" i="7"/>
  <c r="BU136" i="7"/>
  <c r="BT136" i="7"/>
  <c r="BS136" i="7"/>
  <c r="BR136" i="7"/>
  <c r="BQ136" i="7"/>
  <c r="BP136" i="7"/>
  <c r="BO136" i="7"/>
  <c r="BN136" i="7"/>
  <c r="BM136" i="7"/>
  <c r="BL136" i="7"/>
  <c r="BJ136" i="7"/>
  <c r="BI136" i="7"/>
  <c r="BH136" i="7"/>
  <c r="BG136" i="7"/>
  <c r="BF136" i="7"/>
  <c r="BE136" i="7"/>
  <c r="BD136" i="7"/>
  <c r="BC136" i="7"/>
  <c r="BB136" i="7"/>
  <c r="BA136" i="7"/>
  <c r="AZ136" i="7"/>
  <c r="AY136" i="7"/>
  <c r="AX136" i="7"/>
  <c r="AW136" i="7"/>
  <c r="AW144" i="7" s="1"/>
  <c r="AV136" i="7"/>
  <c r="AU136" i="7"/>
  <c r="AT136" i="7"/>
  <c r="AS136" i="7"/>
  <c r="AR136" i="7"/>
  <c r="AQ136" i="7"/>
  <c r="AP136" i="7"/>
  <c r="AO136" i="7"/>
  <c r="AN136" i="7"/>
  <c r="AM136" i="7"/>
  <c r="AL136" i="7"/>
  <c r="AK136" i="7"/>
  <c r="AJ136" i="7"/>
  <c r="AI136" i="7"/>
  <c r="AH136" i="7"/>
  <c r="AG136" i="7"/>
  <c r="AF136" i="7"/>
  <c r="AE136" i="7"/>
  <c r="AD136" i="7"/>
  <c r="AC136" i="7"/>
  <c r="AB136" i="7"/>
  <c r="Z136" i="7"/>
  <c r="Y136" i="7"/>
  <c r="X136" i="7"/>
  <c r="X144" i="7" s="1"/>
  <c r="W136" i="7"/>
  <c r="V136" i="7"/>
  <c r="U136" i="7"/>
  <c r="T136" i="7"/>
  <c r="S136" i="7"/>
  <c r="R136" i="7"/>
  <c r="CB135" i="7"/>
  <c r="CA135" i="7"/>
  <c r="CB134" i="7"/>
  <c r="CA134" i="7"/>
  <c r="CB133" i="7"/>
  <c r="CA133" i="7"/>
  <c r="CB132" i="7"/>
  <c r="CA132" i="7"/>
  <c r="CB131" i="7"/>
  <c r="CA131" i="7"/>
  <c r="BK136" i="7"/>
  <c r="BY122" i="7"/>
  <c r="BY123" i="7"/>
  <c r="BY124" i="7" s="1"/>
  <c r="BX122" i="7"/>
  <c r="BX123" i="7" s="1"/>
  <c r="BX124" i="7" s="1"/>
  <c r="BW122" i="7"/>
  <c r="BW123" i="7"/>
  <c r="BW124" i="7" s="1"/>
  <c r="BV122" i="7"/>
  <c r="BV123" i="7" s="1"/>
  <c r="BV124" i="7" s="1"/>
  <c r="BU122" i="7"/>
  <c r="BU123" i="7"/>
  <c r="BU124" i="7" s="1"/>
  <c r="BT122" i="7"/>
  <c r="BT123" i="7" s="1"/>
  <c r="BT124" i="7" s="1"/>
  <c r="BS122" i="7"/>
  <c r="BS123" i="7"/>
  <c r="BS124" i="7" s="1"/>
  <c r="BR122" i="7"/>
  <c r="BR123" i="7" s="1"/>
  <c r="BR124" i="7" s="1"/>
  <c r="BQ122" i="7"/>
  <c r="BQ123" i="7" s="1"/>
  <c r="BQ124" i="7" s="1"/>
  <c r="BP122" i="7"/>
  <c r="BP123" i="7" s="1"/>
  <c r="BP124" i="7" s="1"/>
  <c r="BO122" i="7"/>
  <c r="BO123" i="7" s="1"/>
  <c r="BO124" i="7" s="1"/>
  <c r="BN122" i="7"/>
  <c r="BN123" i="7"/>
  <c r="BN124" i="7"/>
  <c r="BM122" i="7"/>
  <c r="BM123" i="7" s="1"/>
  <c r="BM124" i="7" s="1"/>
  <c r="BL122" i="7"/>
  <c r="BL123" i="7" s="1"/>
  <c r="BL124" i="7" s="1"/>
  <c r="BK122" i="7"/>
  <c r="BK123" i="7" s="1"/>
  <c r="BK124" i="7" s="1"/>
  <c r="BJ122" i="7"/>
  <c r="BJ123" i="7"/>
  <c r="BJ124" i="7" s="1"/>
  <c r="BI122" i="7"/>
  <c r="BI123" i="7"/>
  <c r="BI124" i="7"/>
  <c r="BH122" i="7"/>
  <c r="BH123" i="7" s="1"/>
  <c r="BH124" i="7" s="1"/>
  <c r="BG122" i="7"/>
  <c r="BG123" i="7"/>
  <c r="BG124" i="7" s="1"/>
  <c r="BF122" i="7"/>
  <c r="BF123" i="7" s="1"/>
  <c r="BF124" i="7" s="1"/>
  <c r="BE122" i="7"/>
  <c r="BE123" i="7"/>
  <c r="BE124" i="7" s="1"/>
  <c r="BD122" i="7"/>
  <c r="BD123" i="7" s="1"/>
  <c r="BD124" i="7" s="1"/>
  <c r="BC122" i="7"/>
  <c r="BC123" i="7"/>
  <c r="BC124" i="7" s="1"/>
  <c r="BB122" i="7"/>
  <c r="BB123" i="7" s="1"/>
  <c r="BB124" i="7" s="1"/>
  <c r="BA122" i="7"/>
  <c r="BA123" i="7" s="1"/>
  <c r="BA124" i="7" s="1"/>
  <c r="AZ122" i="7"/>
  <c r="AZ123" i="7" s="1"/>
  <c r="AZ124" i="7" s="1"/>
  <c r="AY122" i="7"/>
  <c r="AY123" i="7" s="1"/>
  <c r="AY124" i="7" s="1"/>
  <c r="AX122" i="7"/>
  <c r="AX123" i="7"/>
  <c r="AX124" i="7"/>
  <c r="AW122" i="7"/>
  <c r="AW123" i="7" s="1"/>
  <c r="AW124" i="7" s="1"/>
  <c r="AV122" i="7"/>
  <c r="AV123" i="7" s="1"/>
  <c r="AV124" i="7" s="1"/>
  <c r="AU122" i="7"/>
  <c r="AU123" i="7" s="1"/>
  <c r="AU124" i="7" s="1"/>
  <c r="AT122" i="7"/>
  <c r="AT123" i="7"/>
  <c r="AT124" i="7" s="1"/>
  <c r="AS122" i="7"/>
  <c r="AS123" i="7" s="1"/>
  <c r="AS124" i="7" s="1"/>
  <c r="AR122" i="7"/>
  <c r="AR123" i="7" s="1"/>
  <c r="AR124" i="7" s="1"/>
  <c r="AQ122" i="7"/>
  <c r="AQ123" i="7" s="1"/>
  <c r="AQ124" i="7" s="1"/>
  <c r="AP122" i="7"/>
  <c r="AP123" i="7"/>
  <c r="AP124" i="7"/>
  <c r="AO122" i="7"/>
  <c r="AO123" i="7" s="1"/>
  <c r="AO124" i="7" s="1"/>
  <c r="AN122" i="7"/>
  <c r="AN123" i="7" s="1"/>
  <c r="AN124" i="7" s="1"/>
  <c r="AM122" i="7"/>
  <c r="AM123" i="7"/>
  <c r="AM124" i="7" s="1"/>
  <c r="AL122" i="7"/>
  <c r="AL123" i="7" s="1"/>
  <c r="AL124" i="7" s="1"/>
  <c r="AK122" i="7"/>
  <c r="AK123" i="7" s="1"/>
  <c r="AK124" i="7" s="1"/>
  <c r="AJ122" i="7"/>
  <c r="AJ123" i="7" s="1"/>
  <c r="AJ124" i="7" s="1"/>
  <c r="AI122" i="7"/>
  <c r="AI123" i="7"/>
  <c r="AI124" i="7" s="1"/>
  <c r="AH122" i="7"/>
  <c r="AH123" i="7" s="1"/>
  <c r="AH124" i="7" s="1"/>
  <c r="AG122" i="7"/>
  <c r="AG123" i="7" s="1"/>
  <c r="AG124" i="7" s="1"/>
  <c r="AF122" i="7"/>
  <c r="AF123" i="7" s="1"/>
  <c r="AF124" i="7" s="1"/>
  <c r="AE122" i="7"/>
  <c r="AE123" i="7" s="1"/>
  <c r="AE124" i="7" s="1"/>
  <c r="AD122" i="7"/>
  <c r="AD123" i="7"/>
  <c r="AD124" i="7" s="1"/>
  <c r="AC122" i="7"/>
  <c r="AC123" i="7"/>
  <c r="AC124" i="7"/>
  <c r="AB122" i="7"/>
  <c r="AB123" i="7" s="1"/>
  <c r="AB124" i="7" s="1"/>
  <c r="AA122" i="7"/>
  <c r="AA123" i="7"/>
  <c r="AA124" i="7" s="1"/>
  <c r="Z122" i="7"/>
  <c r="Z123" i="7" s="1"/>
  <c r="Z124" i="7" s="1"/>
  <c r="Y122" i="7"/>
  <c r="Y123" i="7"/>
  <c r="Y124" i="7" s="1"/>
  <c r="X122" i="7"/>
  <c r="X123" i="7" s="1"/>
  <c r="X124" i="7" s="1"/>
  <c r="W122" i="7"/>
  <c r="W123" i="7"/>
  <c r="W124" i="7" s="1"/>
  <c r="V122" i="7"/>
  <c r="V123" i="7" s="1"/>
  <c r="V124" i="7" s="1"/>
  <c r="U122" i="7"/>
  <c r="U123" i="7" s="1"/>
  <c r="U124" i="7" s="1"/>
  <c r="T122" i="7"/>
  <c r="T123" i="7" s="1"/>
  <c r="T124" i="7" s="1"/>
  <c r="S122" i="7"/>
  <c r="S123" i="7" s="1"/>
  <c r="S124" i="7" s="1"/>
  <c r="R122" i="7"/>
  <c r="R123" i="7"/>
  <c r="R124" i="7"/>
  <c r="CB121" i="7"/>
  <c r="CB122" i="7" s="1"/>
  <c r="CB123" i="7" s="1"/>
  <c r="CB124" i="7" s="1"/>
  <c r="CA121" i="7"/>
  <c r="CA122" i="7" s="1"/>
  <c r="CA123" i="7" s="1"/>
  <c r="CA124" i="7" s="1"/>
  <c r="BY114" i="7"/>
  <c r="BY115" i="7" s="1"/>
  <c r="BY116" i="7" s="1"/>
  <c r="BX114" i="7"/>
  <c r="BX115" i="7" s="1"/>
  <c r="BX116" i="7" s="1"/>
  <c r="BW114" i="7"/>
  <c r="BW115" i="7" s="1"/>
  <c r="BW116" i="7" s="1"/>
  <c r="BV114" i="7"/>
  <c r="BV115" i="7"/>
  <c r="BV116" i="7" s="1"/>
  <c r="BU114" i="7"/>
  <c r="BU115" i="7" s="1"/>
  <c r="BU116" i="7" s="1"/>
  <c r="BT114" i="7"/>
  <c r="BT115" i="7" s="1"/>
  <c r="BT116" i="7" s="1"/>
  <c r="BS114" i="7"/>
  <c r="BS115" i="7" s="1"/>
  <c r="BS116" i="7" s="1"/>
  <c r="BR114" i="7"/>
  <c r="BR115" i="7"/>
  <c r="BR116" i="7"/>
  <c r="BQ114" i="7"/>
  <c r="BQ115" i="7" s="1"/>
  <c r="BQ116" i="7" s="1"/>
  <c r="BP114" i="7"/>
  <c r="BP115" i="7" s="1"/>
  <c r="BP116" i="7" s="1"/>
  <c r="BO114" i="7"/>
  <c r="BO115" i="7"/>
  <c r="BO116" i="7" s="1"/>
  <c r="BN114" i="7"/>
  <c r="BN115" i="7" s="1"/>
  <c r="BN116" i="7" s="1"/>
  <c r="BM114" i="7"/>
  <c r="BM115" i="7" s="1"/>
  <c r="BM116" i="7" s="1"/>
  <c r="BL114" i="7"/>
  <c r="BL115" i="7" s="1"/>
  <c r="BL116" i="7" s="1"/>
  <c r="BK114" i="7"/>
  <c r="BK115" i="7"/>
  <c r="BK116" i="7" s="1"/>
  <c r="BJ114" i="7"/>
  <c r="BJ115" i="7" s="1"/>
  <c r="BJ116" i="7" s="1"/>
  <c r="BI114" i="7"/>
  <c r="BI115" i="7" s="1"/>
  <c r="BI116" i="7" s="1"/>
  <c r="BG114" i="7"/>
  <c r="BG115" i="7" s="1"/>
  <c r="BG116" i="7" s="1"/>
  <c r="BF114" i="7"/>
  <c r="BF115" i="7" s="1"/>
  <c r="BF116" i="7" s="1"/>
  <c r="BE114" i="7"/>
  <c r="BE115" i="7" s="1"/>
  <c r="BE116" i="7" s="1"/>
  <c r="BD114" i="7"/>
  <c r="BD115" i="7" s="1"/>
  <c r="BD116" i="7" s="1"/>
  <c r="BC114" i="7"/>
  <c r="BC115" i="7"/>
  <c r="BC116" i="7" s="1"/>
  <c r="BB114" i="7"/>
  <c r="BB115" i="7" s="1"/>
  <c r="BB116" i="7" s="1"/>
  <c r="BA114" i="7"/>
  <c r="BA115" i="7" s="1"/>
  <c r="BA116" i="7" s="1"/>
  <c r="AZ114" i="7"/>
  <c r="AZ115" i="7" s="1"/>
  <c r="AZ116" i="7" s="1"/>
  <c r="AY114" i="7"/>
  <c r="AY115" i="7" s="1"/>
  <c r="AY116" i="7" s="1"/>
  <c r="AX114" i="7"/>
  <c r="AX115" i="7" s="1"/>
  <c r="AX116" i="7" s="1"/>
  <c r="AW114" i="7"/>
  <c r="AW115" i="7" s="1"/>
  <c r="AW116" i="7" s="1"/>
  <c r="AV114" i="7"/>
  <c r="AV115" i="7" s="1"/>
  <c r="AV116" i="7" s="1"/>
  <c r="AU114" i="7"/>
  <c r="AU115" i="7"/>
  <c r="AU116" i="7" s="1"/>
  <c r="AT114" i="7"/>
  <c r="AT115" i="7" s="1"/>
  <c r="AT116" i="7" s="1"/>
  <c r="AS114" i="7"/>
  <c r="AS115" i="7" s="1"/>
  <c r="AS116" i="7" s="1"/>
  <c r="AR114" i="7"/>
  <c r="AR115" i="7" s="1"/>
  <c r="AR116" i="7" s="1"/>
  <c r="AQ114" i="7"/>
  <c r="AQ115" i="7"/>
  <c r="AQ116" i="7"/>
  <c r="AP114" i="7"/>
  <c r="AP115" i="7" s="1"/>
  <c r="AP116" i="7" s="1"/>
  <c r="AO114" i="7"/>
  <c r="AO115" i="7" s="1"/>
  <c r="AO116" i="7" s="1"/>
  <c r="AN114" i="7"/>
  <c r="AN115" i="7"/>
  <c r="AN116" i="7" s="1"/>
  <c r="AM114" i="7"/>
  <c r="AM115" i="7" s="1"/>
  <c r="AM116" i="7" s="1"/>
  <c r="AL114" i="7"/>
  <c r="AL115" i="7" s="1"/>
  <c r="AL116" i="7" s="1"/>
  <c r="AK114" i="7"/>
  <c r="AK115" i="7" s="1"/>
  <c r="AK116" i="7" s="1"/>
  <c r="AJ114" i="7"/>
  <c r="AJ115" i="7"/>
  <c r="AJ116" i="7" s="1"/>
  <c r="AI114" i="7"/>
  <c r="AI115" i="7" s="1"/>
  <c r="AI116" i="7" s="1"/>
  <c r="AH114" i="7"/>
  <c r="AH115" i="7" s="1"/>
  <c r="AH116" i="7" s="1"/>
  <c r="AG114" i="7"/>
  <c r="AG115" i="7" s="1"/>
  <c r="AG116" i="7" s="1"/>
  <c r="AF114" i="7"/>
  <c r="AF115" i="7" s="1"/>
  <c r="AF116" i="7" s="1"/>
  <c r="AE114" i="7"/>
  <c r="AE115" i="7"/>
  <c r="AE116" i="7" s="1"/>
  <c r="AD114" i="7"/>
  <c r="AD115" i="7" s="1"/>
  <c r="AD116" i="7" s="1"/>
  <c r="AC114" i="7"/>
  <c r="AC115" i="7" s="1"/>
  <c r="AC116" i="7" s="1"/>
  <c r="AB114" i="7"/>
  <c r="AB115" i="7" s="1"/>
  <c r="AB116" i="7" s="1"/>
  <c r="AA114" i="7"/>
  <c r="AA115" i="7"/>
  <c r="AA116" i="7"/>
  <c r="Z114" i="7"/>
  <c r="Z115" i="7" s="1"/>
  <c r="Z116" i="7" s="1"/>
  <c r="W114" i="7"/>
  <c r="W115" i="7"/>
  <c r="W116" i="7"/>
  <c r="V114" i="7"/>
  <c r="V115" i="7" s="1"/>
  <c r="V116" i="7" s="1"/>
  <c r="U114" i="7"/>
  <c r="U115" i="7" s="1"/>
  <c r="U116" i="7" s="1"/>
  <c r="T114" i="7"/>
  <c r="T115" i="7"/>
  <c r="T116" i="7" s="1"/>
  <c r="S114" i="7"/>
  <c r="S115" i="7" s="1"/>
  <c r="S116" i="7" s="1"/>
  <c r="R114" i="7"/>
  <c r="R115" i="7" s="1"/>
  <c r="R116" i="7" s="1"/>
  <c r="CB113" i="7"/>
  <c r="CA113" i="7"/>
  <c r="CB112" i="7"/>
  <c r="CA112" i="7"/>
  <c r="CB111" i="7"/>
  <c r="CA111" i="7"/>
  <c r="CB110" i="7"/>
  <c r="CA110" i="7"/>
  <c r="CB109" i="7"/>
  <c r="CA109" i="7"/>
  <c r="CB108" i="7"/>
  <c r="BH114" i="7"/>
  <c r="BH115" i="7" s="1"/>
  <c r="BH116" i="7" s="1"/>
  <c r="CA108" i="7"/>
  <c r="BY101" i="7"/>
  <c r="BX101" i="7"/>
  <c r="BW101" i="7"/>
  <c r="BV101" i="7"/>
  <c r="BU101" i="7"/>
  <c r="BS101" i="7"/>
  <c r="BR101" i="7"/>
  <c r="BQ101" i="7"/>
  <c r="BP101" i="7"/>
  <c r="BO101" i="7"/>
  <c r="BN101" i="7"/>
  <c r="BK101" i="7"/>
  <c r="BJ101" i="7"/>
  <c r="BI101" i="7"/>
  <c r="BH101" i="7"/>
  <c r="BG101" i="7"/>
  <c r="BF101" i="7"/>
  <c r="BE101" i="7"/>
  <c r="BD101" i="7"/>
  <c r="BC101" i="7"/>
  <c r="BC89" i="7"/>
  <c r="BC102" i="7"/>
  <c r="BC103" i="7" s="1"/>
  <c r="BB101" i="7"/>
  <c r="BA101" i="7"/>
  <c r="AZ101" i="7"/>
  <c r="AY101" i="7"/>
  <c r="AX101" i="7"/>
  <c r="AW101" i="7"/>
  <c r="AV101" i="7"/>
  <c r="AU101" i="7"/>
  <c r="AU89" i="7"/>
  <c r="AT101" i="7"/>
  <c r="AS101" i="7"/>
  <c r="AR101" i="7"/>
  <c r="AQ101" i="7"/>
  <c r="AP101" i="7"/>
  <c r="AO101" i="7"/>
  <c r="AN101" i="7"/>
  <c r="AM101" i="7"/>
  <c r="AM102" i="7" s="1"/>
  <c r="AM103" i="7" s="1"/>
  <c r="AM89" i="7"/>
  <c r="AL101" i="7"/>
  <c r="AK101" i="7"/>
  <c r="AJ101" i="7"/>
  <c r="AI101" i="7"/>
  <c r="AH101" i="7"/>
  <c r="AG101" i="7"/>
  <c r="AF101" i="7"/>
  <c r="AE101" i="7"/>
  <c r="AD101" i="7"/>
  <c r="AC101" i="7"/>
  <c r="AB101" i="7"/>
  <c r="AA101" i="7"/>
  <c r="W101" i="7"/>
  <c r="V101" i="7"/>
  <c r="U101" i="7"/>
  <c r="T101" i="7"/>
  <c r="S101" i="7"/>
  <c r="R101" i="7"/>
  <c r="CB100" i="7"/>
  <c r="CA100" i="7"/>
  <c r="CB99" i="7"/>
  <c r="CA99" i="7"/>
  <c r="CB98" i="7"/>
  <c r="CA98" i="7"/>
  <c r="CB97" i="7"/>
  <c r="CA97" i="7"/>
  <c r="CB95" i="7"/>
  <c r="CA95" i="7"/>
  <c r="CB94" i="7"/>
  <c r="CA94" i="7"/>
  <c r="CB93" i="7"/>
  <c r="CA93" i="7"/>
  <c r="Z101" i="7"/>
  <c r="Z102" i="7" s="1"/>
  <c r="Z103" i="7" s="1"/>
  <c r="Y101" i="7"/>
  <c r="M92" i="7"/>
  <c r="BY89" i="7"/>
  <c r="BX89" i="7"/>
  <c r="BW89" i="7"/>
  <c r="BV89" i="7"/>
  <c r="BU89" i="7"/>
  <c r="BT89" i="7"/>
  <c r="BS89" i="7"/>
  <c r="BR89" i="7"/>
  <c r="BQ89" i="7"/>
  <c r="BP89" i="7"/>
  <c r="BO89" i="7"/>
  <c r="BN89" i="7"/>
  <c r="BM89" i="7"/>
  <c r="BL89" i="7"/>
  <c r="BJ89" i="7"/>
  <c r="BI89" i="7"/>
  <c r="BH89" i="7"/>
  <c r="BG89" i="7"/>
  <c r="BF89" i="7"/>
  <c r="BE89" i="7"/>
  <c r="BD89" i="7"/>
  <c r="BB89" i="7"/>
  <c r="BA89" i="7"/>
  <c r="AZ89" i="7"/>
  <c r="AY89" i="7"/>
  <c r="AX89" i="7"/>
  <c r="AW89" i="7"/>
  <c r="AV89" i="7"/>
  <c r="AT89" i="7"/>
  <c r="AS89" i="7"/>
  <c r="AR89" i="7"/>
  <c r="AQ89" i="7"/>
  <c r="AP89" i="7"/>
  <c r="AO89" i="7"/>
  <c r="AN89" i="7"/>
  <c r="AL89" i="7"/>
  <c r="AK89" i="7"/>
  <c r="AJ89" i="7"/>
  <c r="AF89" i="7"/>
  <c r="AE89" i="7"/>
  <c r="AD89" i="7"/>
  <c r="AC89" i="7"/>
  <c r="AB89" i="7"/>
  <c r="AA89" i="7"/>
  <c r="Z89" i="7"/>
  <c r="Y89" i="7"/>
  <c r="X89" i="7"/>
  <c r="W89" i="7"/>
  <c r="V89" i="7"/>
  <c r="U89" i="7"/>
  <c r="T89" i="7"/>
  <c r="S89" i="7"/>
  <c r="R89" i="7"/>
  <c r="CB88" i="7"/>
  <c r="CA88" i="7"/>
  <c r="CB87" i="7"/>
  <c r="CA87" i="7"/>
  <c r="BK89" i="7"/>
  <c r="CB86" i="7"/>
  <c r="AH89" i="7"/>
  <c r="M86" i="7"/>
  <c r="BY77" i="7"/>
  <c r="BY78" i="7" s="1"/>
  <c r="BY79" i="7" s="1"/>
  <c r="BY80" i="7" s="1"/>
  <c r="BX77" i="7"/>
  <c r="BX78" i="7" s="1"/>
  <c r="BX79" i="7" s="1"/>
  <c r="BX80" i="7" s="1"/>
  <c r="BW77" i="7"/>
  <c r="BW78" i="7" s="1"/>
  <c r="BW79" i="7" s="1"/>
  <c r="BW80" i="7" s="1"/>
  <c r="BV77" i="7"/>
  <c r="BV78" i="7" s="1"/>
  <c r="BV79" i="7" s="1"/>
  <c r="BV80" i="7" s="1"/>
  <c r="BU77" i="7"/>
  <c r="BU78" i="7" s="1"/>
  <c r="BU79" i="7" s="1"/>
  <c r="BU80" i="7" s="1"/>
  <c r="BT77" i="7"/>
  <c r="BT78" i="7" s="1"/>
  <c r="BT79" i="7" s="1"/>
  <c r="BT80" i="7" s="1"/>
  <c r="BS77" i="7"/>
  <c r="BS78" i="7" s="1"/>
  <c r="BS79" i="7" s="1"/>
  <c r="BS80" i="7" s="1"/>
  <c r="BR77" i="7"/>
  <c r="BR78" i="7" s="1"/>
  <c r="BR79" i="7" s="1"/>
  <c r="BR80" i="7" s="1"/>
  <c r="BQ77" i="7"/>
  <c r="BQ78" i="7" s="1"/>
  <c r="BQ79" i="7" s="1"/>
  <c r="BQ80" i="7" s="1"/>
  <c r="BP77" i="7"/>
  <c r="BP78" i="7" s="1"/>
  <c r="BP79" i="7" s="1"/>
  <c r="BP80" i="7" s="1"/>
  <c r="BO77" i="7"/>
  <c r="BO78" i="7" s="1"/>
  <c r="BO79" i="7" s="1"/>
  <c r="BO80" i="7" s="1"/>
  <c r="BN77" i="7"/>
  <c r="BN78" i="7" s="1"/>
  <c r="BN79" i="7" s="1"/>
  <c r="BN80" i="7" s="1"/>
  <c r="BM77" i="7"/>
  <c r="BM78" i="7" s="1"/>
  <c r="BM79" i="7" s="1"/>
  <c r="BM80" i="7" s="1"/>
  <c r="BL77" i="7"/>
  <c r="BL78" i="7" s="1"/>
  <c r="BL79" i="7" s="1"/>
  <c r="BL80" i="7" s="1"/>
  <c r="BJ77" i="7"/>
  <c r="BJ78" i="7" s="1"/>
  <c r="BJ79" i="7"/>
  <c r="BJ80" i="7" s="1"/>
  <c r="BI77" i="7"/>
  <c r="BI78" i="7"/>
  <c r="BI79" i="7" s="1"/>
  <c r="BI80" i="7" s="1"/>
  <c r="BH77" i="7"/>
  <c r="BH78" i="7"/>
  <c r="BH79" i="7" s="1"/>
  <c r="BH80" i="7" s="1"/>
  <c r="BG77" i="7"/>
  <c r="BG78" i="7"/>
  <c r="BG79" i="7"/>
  <c r="BG80" i="7" s="1"/>
  <c r="BF77" i="7"/>
  <c r="BF78" i="7" s="1"/>
  <c r="BF79" i="7"/>
  <c r="BF80" i="7" s="1"/>
  <c r="BE77" i="7"/>
  <c r="BE78" i="7"/>
  <c r="BE79" i="7" s="1"/>
  <c r="BE80" i="7" s="1"/>
  <c r="BD77" i="7"/>
  <c r="BD78" i="7"/>
  <c r="BD79" i="7" s="1"/>
  <c r="BD80" i="7" s="1"/>
  <c r="BC77" i="7"/>
  <c r="BC78" i="7"/>
  <c r="BC79" i="7"/>
  <c r="BC80" i="7" s="1"/>
  <c r="BB77" i="7"/>
  <c r="BB78" i="7" s="1"/>
  <c r="BB79" i="7"/>
  <c r="BB80" i="7" s="1"/>
  <c r="BA77" i="7"/>
  <c r="BA78" i="7"/>
  <c r="BA79" i="7" s="1"/>
  <c r="BA80" i="7" s="1"/>
  <c r="AZ77" i="7"/>
  <c r="AZ78" i="7"/>
  <c r="AZ79" i="7" s="1"/>
  <c r="AZ80" i="7" s="1"/>
  <c r="AY77" i="7"/>
  <c r="AY78" i="7"/>
  <c r="AY79" i="7"/>
  <c r="AY80" i="7" s="1"/>
  <c r="AX77" i="7"/>
  <c r="AX78" i="7" s="1"/>
  <c r="AX79" i="7"/>
  <c r="AX80" i="7" s="1"/>
  <c r="AW77" i="7"/>
  <c r="AW78" i="7"/>
  <c r="AW79" i="7" s="1"/>
  <c r="AW80" i="7" s="1"/>
  <c r="AV77" i="7"/>
  <c r="AV78" i="7"/>
  <c r="AV79" i="7" s="1"/>
  <c r="AV80" i="7" s="1"/>
  <c r="AU77" i="7"/>
  <c r="AU78" i="7"/>
  <c r="AU79" i="7"/>
  <c r="AU80" i="7" s="1"/>
  <c r="AT77" i="7"/>
  <c r="AT78" i="7" s="1"/>
  <c r="AT79" i="7"/>
  <c r="AT80" i="7" s="1"/>
  <c r="AS77" i="7"/>
  <c r="AS78" i="7"/>
  <c r="AS79" i="7" s="1"/>
  <c r="AS80" i="7" s="1"/>
  <c r="AR77" i="7"/>
  <c r="AR78" i="7"/>
  <c r="AR79" i="7" s="1"/>
  <c r="AR80" i="7" s="1"/>
  <c r="AQ77" i="7"/>
  <c r="AQ78" i="7"/>
  <c r="AQ79" i="7"/>
  <c r="AQ80" i="7" s="1"/>
  <c r="AP77" i="7"/>
  <c r="AP78" i="7" s="1"/>
  <c r="AP79" i="7"/>
  <c r="AP80" i="7" s="1"/>
  <c r="AO77" i="7"/>
  <c r="AO78" i="7"/>
  <c r="AO79" i="7" s="1"/>
  <c r="AO80" i="7" s="1"/>
  <c r="AN77" i="7"/>
  <c r="AN78" i="7"/>
  <c r="AN79" i="7" s="1"/>
  <c r="AN80" i="7" s="1"/>
  <c r="AM77" i="7"/>
  <c r="AM78" i="7"/>
  <c r="AM79" i="7"/>
  <c r="AM80" i="7" s="1"/>
  <c r="AL77" i="7"/>
  <c r="AL78" i="7" s="1"/>
  <c r="AL79" i="7"/>
  <c r="AL80" i="7" s="1"/>
  <c r="AK77" i="7"/>
  <c r="AK78" i="7"/>
  <c r="AK79" i="7" s="1"/>
  <c r="AK80" i="7" s="1"/>
  <c r="AJ77" i="7"/>
  <c r="AJ78" i="7"/>
  <c r="AJ79" i="7" s="1"/>
  <c r="AJ80" i="7" s="1"/>
  <c r="AI77" i="7"/>
  <c r="AI78" i="7"/>
  <c r="AI79" i="7"/>
  <c r="AI80" i="7" s="1"/>
  <c r="AH77" i="7"/>
  <c r="AH78" i="7" s="1"/>
  <c r="AH79" i="7"/>
  <c r="AH80" i="7" s="1"/>
  <c r="AG77" i="7"/>
  <c r="AG78" i="7"/>
  <c r="AG79" i="7" s="1"/>
  <c r="AG80" i="7" s="1"/>
  <c r="AF77" i="7"/>
  <c r="AF78" i="7" s="1"/>
  <c r="AF79" i="7" s="1"/>
  <c r="AF80" i="7" s="1"/>
  <c r="AE77" i="7"/>
  <c r="AE78" i="7" s="1"/>
  <c r="AE79" i="7" s="1"/>
  <c r="AE80" i="7" s="1"/>
  <c r="AC77" i="7"/>
  <c r="AC78" i="7"/>
  <c r="AC79" i="7" s="1"/>
  <c r="AC80" i="7" s="1"/>
  <c r="AB77" i="7"/>
  <c r="AB78" i="7" s="1"/>
  <c r="AB79" i="7" s="1"/>
  <c r="AB80" i="7" s="1"/>
  <c r="AA77" i="7"/>
  <c r="AA78" i="7"/>
  <c r="AA79" i="7" s="1"/>
  <c r="AA80" i="7"/>
  <c r="Z77" i="7"/>
  <c r="Z78" i="7" s="1"/>
  <c r="Z79" i="7" s="1"/>
  <c r="Z80" i="7" s="1"/>
  <c r="Y77" i="7"/>
  <c r="Y78" i="7" s="1"/>
  <c r="Y79" i="7" s="1"/>
  <c r="Y80" i="7" s="1"/>
  <c r="X77" i="7"/>
  <c r="X78" i="7" s="1"/>
  <c r="X79" i="7" s="1"/>
  <c r="X80" i="7" s="1"/>
  <c r="W77" i="7"/>
  <c r="W78" i="7"/>
  <c r="W79" i="7" s="1"/>
  <c r="W80" i="7" s="1"/>
  <c r="V77" i="7"/>
  <c r="V78" i="7"/>
  <c r="V79" i="7"/>
  <c r="V80" i="7" s="1"/>
  <c r="U77" i="7"/>
  <c r="U78" i="7" s="1"/>
  <c r="U79" i="7"/>
  <c r="U80" i="7" s="1"/>
  <c r="T77" i="7"/>
  <c r="T78" i="7"/>
  <c r="T79" i="7" s="1"/>
  <c r="T80" i="7" s="1"/>
  <c r="S77" i="7"/>
  <c r="S78" i="7"/>
  <c r="S79" i="7" s="1"/>
  <c r="S80" i="7" s="1"/>
  <c r="R77" i="7"/>
  <c r="R78" i="7"/>
  <c r="R79" i="7"/>
  <c r="R80" i="7" s="1"/>
  <c r="CB76" i="7"/>
  <c r="CA76" i="7"/>
  <c r="CB75" i="7"/>
  <c r="CA75" i="7"/>
  <c r="M75" i="7"/>
  <c r="CB74" i="7"/>
  <c r="CA74" i="7"/>
  <c r="CB73" i="7"/>
  <c r="CA73" i="7"/>
  <c r="CB72" i="7"/>
  <c r="CA72" i="7"/>
  <c r="BY63" i="7"/>
  <c r="BY64" i="7" s="1"/>
  <c r="BX63" i="7"/>
  <c r="BX64" i="7" s="1"/>
  <c r="BW63" i="7"/>
  <c r="BW64" i="7" s="1"/>
  <c r="BV63" i="7"/>
  <c r="BV64" i="7"/>
  <c r="BU63" i="7"/>
  <c r="BU64" i="7" s="1"/>
  <c r="BT63" i="7"/>
  <c r="BT64" i="7" s="1"/>
  <c r="BS63" i="7"/>
  <c r="BS64" i="7" s="1"/>
  <c r="BR63" i="7"/>
  <c r="BR64" i="7"/>
  <c r="BQ63" i="7"/>
  <c r="BQ64" i="7" s="1"/>
  <c r="BP63" i="7"/>
  <c r="BP64" i="7" s="1"/>
  <c r="BO63" i="7"/>
  <c r="BO64" i="7" s="1"/>
  <c r="BN63" i="7"/>
  <c r="BN64" i="7" s="1"/>
  <c r="BM63" i="7"/>
  <c r="BM64" i="7" s="1"/>
  <c r="BL63" i="7"/>
  <c r="BL64" i="7" s="1"/>
  <c r="BJ63" i="7"/>
  <c r="BJ64" i="7" s="1"/>
  <c r="BI63" i="7"/>
  <c r="BI64" i="7" s="1"/>
  <c r="BH63" i="7"/>
  <c r="BH64" i="7"/>
  <c r="BG63" i="7"/>
  <c r="BG64" i="7" s="1"/>
  <c r="BF63" i="7"/>
  <c r="BF64" i="7"/>
  <c r="BE63" i="7"/>
  <c r="BE64" i="7" s="1"/>
  <c r="BD63" i="7"/>
  <c r="BD64" i="7" s="1"/>
  <c r="BC63" i="7"/>
  <c r="BC64" i="7" s="1"/>
  <c r="BB63" i="7"/>
  <c r="BB64" i="7"/>
  <c r="BA63" i="7"/>
  <c r="BA64" i="7" s="1"/>
  <c r="AZ63" i="7"/>
  <c r="AZ64" i="7" s="1"/>
  <c r="AY63" i="7"/>
  <c r="AY64" i="7" s="1"/>
  <c r="AX63" i="7"/>
  <c r="AX64" i="7"/>
  <c r="AW63" i="7"/>
  <c r="AW64" i="7" s="1"/>
  <c r="AV63" i="7"/>
  <c r="AV64" i="7" s="1"/>
  <c r="AU63" i="7"/>
  <c r="AU64" i="7" s="1"/>
  <c r="AT63" i="7"/>
  <c r="AT64" i="7" s="1"/>
  <c r="AS63" i="7"/>
  <c r="AS64" i="7" s="1"/>
  <c r="AR63" i="7"/>
  <c r="AR64" i="7"/>
  <c r="AQ63" i="7"/>
  <c r="AQ64" i="7" s="1"/>
  <c r="AP63" i="7"/>
  <c r="AP64" i="7"/>
  <c r="AO63" i="7"/>
  <c r="AO64" i="7" s="1"/>
  <c r="AN63" i="7"/>
  <c r="AN64" i="7" s="1"/>
  <c r="AM63" i="7"/>
  <c r="AM64" i="7" s="1"/>
  <c r="AL63" i="7"/>
  <c r="AL64" i="7"/>
  <c r="AK63" i="7"/>
  <c r="AK64" i="7" s="1"/>
  <c r="AJ63" i="7"/>
  <c r="AJ64" i="7" s="1"/>
  <c r="AJ65" i="7" s="1"/>
  <c r="AJ66" i="7" s="1"/>
  <c r="AI63" i="7"/>
  <c r="AI64" i="7" s="1"/>
  <c r="AH63" i="7"/>
  <c r="AH64" i="7"/>
  <c r="AG63" i="7"/>
  <c r="AG64" i="7" s="1"/>
  <c r="AF63" i="7"/>
  <c r="AF64" i="7" s="1"/>
  <c r="AE63" i="7"/>
  <c r="AE64" i="7" s="1"/>
  <c r="AD63" i="7"/>
  <c r="AD64" i="7" s="1"/>
  <c r="AC63" i="7"/>
  <c r="AC64" i="7" s="1"/>
  <c r="AB63" i="7"/>
  <c r="AB64" i="7"/>
  <c r="AA63" i="7"/>
  <c r="AA64" i="7" s="1"/>
  <c r="Z63" i="7"/>
  <c r="Z64" i="7"/>
  <c r="Y63" i="7"/>
  <c r="Y64" i="7" s="1"/>
  <c r="X63" i="7"/>
  <c r="X64" i="7" s="1"/>
  <c r="W63" i="7"/>
  <c r="W64" i="7" s="1"/>
  <c r="V63" i="7"/>
  <c r="V64" i="7"/>
  <c r="U63" i="7"/>
  <c r="U64" i="7" s="1"/>
  <c r="T63" i="7"/>
  <c r="T64" i="7" s="1"/>
  <c r="S63" i="7"/>
  <c r="S64" i="7" s="1"/>
  <c r="R63" i="7"/>
  <c r="R64" i="7"/>
  <c r="CB62" i="7"/>
  <c r="CA62" i="7"/>
  <c r="CB61" i="7"/>
  <c r="CA61" i="7"/>
  <c r="CB60" i="7"/>
  <c r="CA60" i="7"/>
  <c r="CB59" i="7"/>
  <c r="CA59" i="7"/>
  <c r="CB58" i="7"/>
  <c r="CA58" i="7"/>
  <c r="CB57" i="7"/>
  <c r="CA57" i="7"/>
  <c r="CB56" i="7"/>
  <c r="CA56" i="7"/>
  <c r="CB55" i="7"/>
  <c r="CA55" i="7"/>
  <c r="CB54" i="7"/>
  <c r="CA54" i="7"/>
  <c r="CB53" i="7"/>
  <c r="CA53" i="7"/>
  <c r="CB52" i="7"/>
  <c r="CA52" i="7"/>
  <c r="CB51" i="7"/>
  <c r="CA51" i="7"/>
  <c r="CB50" i="7"/>
  <c r="CA50" i="7"/>
  <c r="CB49" i="7"/>
  <c r="CA49" i="7"/>
  <c r="CB48" i="7"/>
  <c r="CA48" i="7"/>
  <c r="CB47" i="7"/>
  <c r="CA47" i="7"/>
  <c r="CB46" i="7"/>
  <c r="CA46" i="7"/>
  <c r="CB45" i="7"/>
  <c r="CA45" i="7"/>
  <c r="BC40" i="7"/>
  <c r="BC41" i="7" s="1"/>
  <c r="BY40" i="7"/>
  <c r="BY41" i="7" s="1"/>
  <c r="BX40" i="7"/>
  <c r="BX41" i="7" s="1"/>
  <c r="BW40" i="7"/>
  <c r="BW41" i="7" s="1"/>
  <c r="BV40" i="7"/>
  <c r="BV41" i="7" s="1"/>
  <c r="BU40" i="7"/>
  <c r="BU41" i="7"/>
  <c r="BT40" i="7"/>
  <c r="BT41" i="7" s="1"/>
  <c r="BS40" i="7"/>
  <c r="BS41" i="7"/>
  <c r="BR40" i="7"/>
  <c r="BR41" i="7" s="1"/>
  <c r="BR65" i="7" s="1"/>
  <c r="BR66" i="7" s="1"/>
  <c r="BQ40" i="7"/>
  <c r="BQ41" i="7" s="1"/>
  <c r="BP40" i="7"/>
  <c r="BP41" i="7" s="1"/>
  <c r="BO40" i="7"/>
  <c r="BO41" i="7"/>
  <c r="BN40" i="7"/>
  <c r="BN41" i="7" s="1"/>
  <c r="BM40" i="7"/>
  <c r="BM41" i="7" s="1"/>
  <c r="BL40" i="7"/>
  <c r="BL41" i="7" s="1"/>
  <c r="BK40" i="7"/>
  <c r="BK41" i="7"/>
  <c r="BJ40" i="7"/>
  <c r="BJ41" i="7" s="1"/>
  <c r="BI40" i="7"/>
  <c r="BI41" i="7" s="1"/>
  <c r="BH40" i="7"/>
  <c r="BH41" i="7" s="1"/>
  <c r="BG40" i="7"/>
  <c r="BG41" i="7" s="1"/>
  <c r="BF40" i="7"/>
  <c r="BF41" i="7" s="1"/>
  <c r="BE40" i="7"/>
  <c r="BE41" i="7"/>
  <c r="BD40" i="7"/>
  <c r="BD41" i="7" s="1"/>
  <c r="BB40" i="7"/>
  <c r="BB41" i="7"/>
  <c r="BA40" i="7"/>
  <c r="BA41" i="7" s="1"/>
  <c r="AZ40" i="7"/>
  <c r="AZ41" i="7" s="1"/>
  <c r="AY40" i="7"/>
  <c r="AY41" i="7" s="1"/>
  <c r="AX40" i="7"/>
  <c r="AX41" i="7"/>
  <c r="AW40" i="7"/>
  <c r="AW41" i="7" s="1"/>
  <c r="AV40" i="7"/>
  <c r="AV41" i="7" s="1"/>
  <c r="AU40" i="7"/>
  <c r="AU41" i="7" s="1"/>
  <c r="AT40" i="7"/>
  <c r="AT41" i="7"/>
  <c r="AS40" i="7"/>
  <c r="AS41" i="7" s="1"/>
  <c r="AR40" i="7"/>
  <c r="AR41" i="7" s="1"/>
  <c r="AQ40" i="7"/>
  <c r="AQ41" i="7" s="1"/>
  <c r="AP40" i="7"/>
  <c r="AP41" i="7" s="1"/>
  <c r="AO40" i="7"/>
  <c r="AO41" i="7" s="1"/>
  <c r="AN40" i="7"/>
  <c r="AN41" i="7"/>
  <c r="AM40" i="7"/>
  <c r="AM41" i="7" s="1"/>
  <c r="AL40" i="7"/>
  <c r="AL41" i="7"/>
  <c r="AK40" i="7"/>
  <c r="AK41" i="7" s="1"/>
  <c r="AJ40" i="7"/>
  <c r="AJ41" i="7" s="1"/>
  <c r="AI40" i="7"/>
  <c r="AI41" i="7" s="1"/>
  <c r="AH40" i="7"/>
  <c r="AH41" i="7"/>
  <c r="AG40" i="7"/>
  <c r="AG41" i="7" s="1"/>
  <c r="AF40" i="7"/>
  <c r="AF41" i="7" s="1"/>
  <c r="AF65" i="7" s="1"/>
  <c r="AF66" i="7" s="1"/>
  <c r="AE40" i="7"/>
  <c r="AE41" i="7" s="1"/>
  <c r="AD40" i="7"/>
  <c r="AD41" i="7"/>
  <c r="AC40" i="7"/>
  <c r="AC41" i="7" s="1"/>
  <c r="AB40" i="7"/>
  <c r="AB41" i="7" s="1"/>
  <c r="AA40" i="7"/>
  <c r="AA41" i="7" s="1"/>
  <c r="Z40" i="7"/>
  <c r="Z41" i="7" s="1"/>
  <c r="Y40" i="7"/>
  <c r="Y41" i="7" s="1"/>
  <c r="X40" i="7"/>
  <c r="X41" i="7"/>
  <c r="W40" i="7"/>
  <c r="W41" i="7" s="1"/>
  <c r="V40" i="7"/>
  <c r="V41" i="7"/>
  <c r="U40" i="7"/>
  <c r="U41" i="7" s="1"/>
  <c r="T40" i="7"/>
  <c r="T41" i="7" s="1"/>
  <c r="S40" i="7"/>
  <c r="S41" i="7" s="1"/>
  <c r="R40" i="7"/>
  <c r="R41" i="7"/>
  <c r="CB39" i="7"/>
  <c r="CB40" i="7" s="1"/>
  <c r="CB41" i="7" s="1"/>
  <c r="CA39" i="7"/>
  <c r="CA40" i="7" s="1"/>
  <c r="CA41" i="7" s="1"/>
  <c r="AN30" i="7"/>
  <c r="AN34" i="7"/>
  <c r="BY34" i="7"/>
  <c r="BX34" i="7"/>
  <c r="BW34" i="7"/>
  <c r="BV34" i="7"/>
  <c r="BU34" i="7"/>
  <c r="BT34" i="7"/>
  <c r="BS34" i="7"/>
  <c r="BR34" i="7"/>
  <c r="BQ34" i="7"/>
  <c r="BP34" i="7"/>
  <c r="BO34" i="7"/>
  <c r="BN34" i="7"/>
  <c r="BM34" i="7"/>
  <c r="BL34" i="7"/>
  <c r="BK34" i="7"/>
  <c r="BJ34" i="7"/>
  <c r="BI34" i="7"/>
  <c r="BH34" i="7"/>
  <c r="BG34" i="7"/>
  <c r="BF34" i="7"/>
  <c r="BE34" i="7"/>
  <c r="BD34" i="7"/>
  <c r="BC34" i="7"/>
  <c r="BB34" i="7"/>
  <c r="BA34" i="7"/>
  <c r="AZ34" i="7"/>
  <c r="AY34" i="7"/>
  <c r="AX34" i="7"/>
  <c r="AW34" i="7"/>
  <c r="AV34" i="7"/>
  <c r="AU34" i="7"/>
  <c r="AT34" i="7"/>
  <c r="AS34" i="7"/>
  <c r="AR34" i="7"/>
  <c r="AQ34" i="7"/>
  <c r="AP34" i="7"/>
  <c r="AO34" i="7"/>
  <c r="AM34" i="7"/>
  <c r="AM35" i="7" s="1"/>
  <c r="AL34" i="7"/>
  <c r="AK34" i="7"/>
  <c r="AJ34" i="7"/>
  <c r="AI34" i="7"/>
  <c r="AH34" i="7"/>
  <c r="AG34" i="7"/>
  <c r="AF34" i="7"/>
  <c r="AE34" i="7"/>
  <c r="AD34" i="7"/>
  <c r="AC34" i="7"/>
  <c r="AB34" i="7"/>
  <c r="AA34" i="7"/>
  <c r="Z34" i="7"/>
  <c r="Y34" i="7"/>
  <c r="X34" i="7"/>
  <c r="W34" i="7"/>
  <c r="W35" i="7" s="1"/>
  <c r="W65" i="7" s="1"/>
  <c r="W66" i="7" s="1"/>
  <c r="V34" i="7"/>
  <c r="U34" i="7"/>
  <c r="U35" i="7" s="1"/>
  <c r="U65" i="7" s="1"/>
  <c r="U66" i="7" s="1"/>
  <c r="T34" i="7"/>
  <c r="S34" i="7"/>
  <c r="R34" i="7"/>
  <c r="CB33" i="7"/>
  <c r="CB34" i="7" s="1"/>
  <c r="CA33" i="7"/>
  <c r="CA34" i="7" s="1"/>
  <c r="BY30" i="7"/>
  <c r="BX30" i="7"/>
  <c r="BW30" i="7"/>
  <c r="BW35" i="7" s="1"/>
  <c r="BV30" i="7"/>
  <c r="BU30" i="7"/>
  <c r="BU35" i="7" s="1"/>
  <c r="BU65" i="7" s="1"/>
  <c r="BU66" i="7" s="1"/>
  <c r="BT30" i="7"/>
  <c r="BS30" i="7"/>
  <c r="BR30" i="7"/>
  <c r="BQ30" i="7"/>
  <c r="BP30" i="7"/>
  <c r="BO30" i="7"/>
  <c r="BO35" i="7" s="1"/>
  <c r="BN30" i="7"/>
  <c r="BM30" i="7"/>
  <c r="BL30" i="7"/>
  <c r="BK30" i="7"/>
  <c r="BJ30" i="7"/>
  <c r="BJ35" i="7" s="1"/>
  <c r="BI30" i="7"/>
  <c r="BI35" i="7"/>
  <c r="BH30" i="7"/>
  <c r="BG30" i="7"/>
  <c r="BG35" i="7" s="1"/>
  <c r="BF30" i="7"/>
  <c r="BE30" i="7"/>
  <c r="BE35" i="7" s="1"/>
  <c r="BE65" i="7" s="1"/>
  <c r="BE66" i="7" s="1"/>
  <c r="BD30" i="7"/>
  <c r="BC30" i="7"/>
  <c r="BC35" i="7" s="1"/>
  <c r="BB30" i="7"/>
  <c r="BA30" i="7"/>
  <c r="BA35" i="7" s="1"/>
  <c r="BA65" i="7" s="1"/>
  <c r="BA66" i="7" s="1"/>
  <c r="AZ30" i="7"/>
  <c r="AY30" i="7"/>
  <c r="AY35" i="7" s="1"/>
  <c r="AX30" i="7"/>
  <c r="AW30" i="7"/>
  <c r="AW35" i="7" s="1"/>
  <c r="AV30" i="7"/>
  <c r="AU30" i="7"/>
  <c r="AT30" i="7"/>
  <c r="AS30" i="7"/>
  <c r="AS35" i="7" s="1"/>
  <c r="AS65" i="7" s="1"/>
  <c r="AR30" i="7"/>
  <c r="AQ30" i="7"/>
  <c r="AQ35" i="7"/>
  <c r="AP30" i="7"/>
  <c r="AO30" i="7"/>
  <c r="AO35" i="7" s="1"/>
  <c r="AM30" i="7"/>
  <c r="AL30" i="7"/>
  <c r="AK30" i="7"/>
  <c r="AJ30" i="7"/>
  <c r="AI30" i="7"/>
  <c r="AH30" i="7"/>
  <c r="AG30" i="7"/>
  <c r="AG35" i="7" s="1"/>
  <c r="AF30" i="7"/>
  <c r="AE30" i="7"/>
  <c r="AD30" i="7"/>
  <c r="AD35" i="7" s="1"/>
  <c r="AC30" i="7"/>
  <c r="AC35" i="7" s="1"/>
  <c r="AC65" i="7" s="1"/>
  <c r="AC66" i="7" s="1"/>
  <c r="AB30" i="7"/>
  <c r="AA30" i="7"/>
  <c r="AA35" i="7" s="1"/>
  <c r="Z30" i="7"/>
  <c r="Y30" i="7"/>
  <c r="X30" i="7"/>
  <c r="W30" i="7"/>
  <c r="V30" i="7"/>
  <c r="V35" i="7" s="1"/>
  <c r="V65" i="7" s="1"/>
  <c r="V66" i="7" s="1"/>
  <c r="U30" i="7"/>
  <c r="T30" i="7"/>
  <c r="S30" i="7"/>
  <c r="R30" i="7"/>
  <c r="CB29" i="7"/>
  <c r="CB30" i="7" s="1"/>
  <c r="CA29" i="7"/>
  <c r="CA30" i="7" s="1"/>
  <c r="BY20" i="7"/>
  <c r="BY21" i="7"/>
  <c r="BY22" i="7" s="1"/>
  <c r="BY23" i="7" s="1"/>
  <c r="BX20" i="7"/>
  <c r="BX21" i="7" s="1"/>
  <c r="BX22" i="7" s="1"/>
  <c r="BX23" i="7" s="1"/>
  <c r="BW20" i="7"/>
  <c r="BW21" i="7"/>
  <c r="BW22" i="7" s="1"/>
  <c r="BW23" i="7" s="1"/>
  <c r="BV20" i="7"/>
  <c r="BV21" i="7" s="1"/>
  <c r="BV22" i="7" s="1"/>
  <c r="BV23" i="7" s="1"/>
  <c r="BU20" i="7"/>
  <c r="BU21" i="7"/>
  <c r="BU22" i="7" s="1"/>
  <c r="BU23" i="7" s="1"/>
  <c r="BT20" i="7"/>
  <c r="BT21" i="7" s="1"/>
  <c r="BT22" i="7" s="1"/>
  <c r="BT23" i="7" s="1"/>
  <c r="BS20" i="7"/>
  <c r="BS21" i="7"/>
  <c r="BS22" i="7" s="1"/>
  <c r="BS23" i="7" s="1"/>
  <c r="BR20" i="7"/>
  <c r="BR21" i="7" s="1"/>
  <c r="BR22" i="7" s="1"/>
  <c r="BR23" i="7" s="1"/>
  <c r="BQ20" i="7"/>
  <c r="BQ21" i="7"/>
  <c r="BQ22" i="7" s="1"/>
  <c r="BQ23" i="7" s="1"/>
  <c r="BP20" i="7"/>
  <c r="BP21" i="7" s="1"/>
  <c r="BP22" i="7" s="1"/>
  <c r="BP23" i="7" s="1"/>
  <c r="BO20" i="7"/>
  <c r="BO21" i="7"/>
  <c r="BO22" i="7" s="1"/>
  <c r="BO23" i="7" s="1"/>
  <c r="BN20" i="7"/>
  <c r="BN21" i="7" s="1"/>
  <c r="BN22" i="7" s="1"/>
  <c r="BN23" i="7" s="1"/>
  <c r="BM20" i="7"/>
  <c r="BM21" i="7" s="1"/>
  <c r="BM22" i="7" s="1"/>
  <c r="BM23" i="7" s="1"/>
  <c r="BL20" i="7"/>
  <c r="BL21" i="7" s="1"/>
  <c r="BL22" i="7" s="1"/>
  <c r="BL23" i="7" s="1"/>
  <c r="BJ20" i="7"/>
  <c r="BJ21" i="7" s="1"/>
  <c r="BJ22" i="7" s="1"/>
  <c r="BJ23" i="7" s="1"/>
  <c r="BI20" i="7"/>
  <c r="BI21" i="7" s="1"/>
  <c r="BI22" i="7" s="1"/>
  <c r="BI23" i="7" s="1"/>
  <c r="BH20" i="7"/>
  <c r="BH21" i="7" s="1"/>
  <c r="BH22" i="7" s="1"/>
  <c r="BH23" i="7" s="1"/>
  <c r="BG20" i="7"/>
  <c r="BG21" i="7" s="1"/>
  <c r="BG22" i="7" s="1"/>
  <c r="BG23" i="7" s="1"/>
  <c r="BF20" i="7"/>
  <c r="BF21" i="7" s="1"/>
  <c r="BF22" i="7" s="1"/>
  <c r="BF23" i="7" s="1"/>
  <c r="BE20" i="7"/>
  <c r="BE21" i="7" s="1"/>
  <c r="BE22" i="7" s="1"/>
  <c r="BE23" i="7" s="1"/>
  <c r="BD20" i="7"/>
  <c r="BD21" i="7" s="1"/>
  <c r="BD22" i="7" s="1"/>
  <c r="BD23" i="7" s="1"/>
  <c r="BC20" i="7"/>
  <c r="BC21" i="7" s="1"/>
  <c r="BC22" i="7" s="1"/>
  <c r="BC23" i="7" s="1"/>
  <c r="BB20" i="7"/>
  <c r="BB21" i="7" s="1"/>
  <c r="BB22" i="7" s="1"/>
  <c r="BB23" i="7" s="1"/>
  <c r="BA20" i="7"/>
  <c r="BA21" i="7" s="1"/>
  <c r="BA22" i="7" s="1"/>
  <c r="BA23" i="7" s="1"/>
  <c r="AZ20" i="7"/>
  <c r="AZ21" i="7" s="1"/>
  <c r="AZ22" i="7" s="1"/>
  <c r="AZ23" i="7" s="1"/>
  <c r="AY20" i="7"/>
  <c r="AY21" i="7" s="1"/>
  <c r="AY22" i="7" s="1"/>
  <c r="AY23" i="7" s="1"/>
  <c r="AX20" i="7"/>
  <c r="AX21" i="7" s="1"/>
  <c r="AX22" i="7" s="1"/>
  <c r="AX23" i="7" s="1"/>
  <c r="AW20" i="7"/>
  <c r="AW21" i="7" s="1"/>
  <c r="AW22" i="7" s="1"/>
  <c r="AW23" i="7" s="1"/>
  <c r="AV20" i="7"/>
  <c r="AV21" i="7" s="1"/>
  <c r="AV22" i="7" s="1"/>
  <c r="AV23" i="7" s="1"/>
  <c r="AU20" i="7"/>
  <c r="AU21" i="7" s="1"/>
  <c r="AU22" i="7" s="1"/>
  <c r="AU23" i="7" s="1"/>
  <c r="AT20" i="7"/>
  <c r="AT21" i="7" s="1"/>
  <c r="AT22" i="7" s="1"/>
  <c r="AT23" i="7" s="1"/>
  <c r="AS20" i="7"/>
  <c r="AS21" i="7" s="1"/>
  <c r="AS22" i="7" s="1"/>
  <c r="AS23" i="7" s="1"/>
  <c r="AR20" i="7"/>
  <c r="AR21" i="7" s="1"/>
  <c r="AR22" i="7" s="1"/>
  <c r="AR23" i="7" s="1"/>
  <c r="AQ20" i="7"/>
  <c r="AQ21" i="7" s="1"/>
  <c r="AQ22" i="7" s="1"/>
  <c r="AQ23" i="7" s="1"/>
  <c r="AP20" i="7"/>
  <c r="AP21" i="7" s="1"/>
  <c r="AP22" i="7" s="1"/>
  <c r="AP23" i="7" s="1"/>
  <c r="AO20" i="7"/>
  <c r="AO21" i="7" s="1"/>
  <c r="AO22" i="7" s="1"/>
  <c r="AO23" i="7" s="1"/>
  <c r="AN20" i="7"/>
  <c r="AN21" i="7" s="1"/>
  <c r="AN22" i="7" s="1"/>
  <c r="AN23" i="7" s="1"/>
  <c r="AM20" i="7"/>
  <c r="AM21" i="7" s="1"/>
  <c r="AM22" i="7" s="1"/>
  <c r="AM23" i="7" s="1"/>
  <c r="AL20" i="7"/>
  <c r="AL21" i="7" s="1"/>
  <c r="AL22" i="7" s="1"/>
  <c r="AL23" i="7" s="1"/>
  <c r="AK20" i="7"/>
  <c r="AK21" i="7" s="1"/>
  <c r="AK22" i="7" s="1"/>
  <c r="AK23" i="7" s="1"/>
  <c r="AJ20" i="7"/>
  <c r="AJ21" i="7" s="1"/>
  <c r="AJ22" i="7" s="1"/>
  <c r="AJ23" i="7" s="1"/>
  <c r="AI20" i="7"/>
  <c r="AI21" i="7" s="1"/>
  <c r="AI22" i="7" s="1"/>
  <c r="AI23" i="7" s="1"/>
  <c r="AH20" i="7"/>
  <c r="AH21" i="7" s="1"/>
  <c r="AH22" i="7" s="1"/>
  <c r="AH23" i="7" s="1"/>
  <c r="AG20" i="7"/>
  <c r="AG21" i="7" s="1"/>
  <c r="AG22" i="7" s="1"/>
  <c r="AG23" i="7" s="1"/>
  <c r="AF20" i="7"/>
  <c r="AF21" i="7" s="1"/>
  <c r="AF22" i="7" s="1"/>
  <c r="AF23" i="7" s="1"/>
  <c r="AE20" i="7"/>
  <c r="AE21" i="7" s="1"/>
  <c r="AE22" i="7" s="1"/>
  <c r="AE23" i="7" s="1"/>
  <c r="AD20" i="7"/>
  <c r="AD21" i="7" s="1"/>
  <c r="AD22" i="7" s="1"/>
  <c r="AD23" i="7" s="1"/>
  <c r="AC20" i="7"/>
  <c r="AC21" i="7" s="1"/>
  <c r="AC22" i="7" s="1"/>
  <c r="AC23" i="7" s="1"/>
  <c r="AB20" i="7"/>
  <c r="AB21" i="7" s="1"/>
  <c r="AB22" i="7" s="1"/>
  <c r="AB23" i="7" s="1"/>
  <c r="AA20" i="7"/>
  <c r="AA21" i="7" s="1"/>
  <c r="AA22" i="7" s="1"/>
  <c r="AA23" i="7" s="1"/>
  <c r="Z20" i="7"/>
  <c r="Z21" i="7" s="1"/>
  <c r="Z22" i="7" s="1"/>
  <c r="Z23" i="7" s="1"/>
  <c r="Y20" i="7"/>
  <c r="Y21" i="7" s="1"/>
  <c r="Y22" i="7" s="1"/>
  <c r="Y23" i="7" s="1"/>
  <c r="X20" i="7"/>
  <c r="X21" i="7" s="1"/>
  <c r="X22" i="7" s="1"/>
  <c r="X23" i="7" s="1"/>
  <c r="W20" i="7"/>
  <c r="W21" i="7" s="1"/>
  <c r="W22" i="7" s="1"/>
  <c r="W23" i="7" s="1"/>
  <c r="V20" i="7"/>
  <c r="V21" i="7" s="1"/>
  <c r="V22" i="7" s="1"/>
  <c r="V23" i="7" s="1"/>
  <c r="U20" i="7"/>
  <c r="U21" i="7" s="1"/>
  <c r="U22" i="7" s="1"/>
  <c r="U23" i="7" s="1"/>
  <c r="T20" i="7"/>
  <c r="T21" i="7" s="1"/>
  <c r="T22" i="7" s="1"/>
  <c r="T23" i="7" s="1"/>
  <c r="S20" i="7"/>
  <c r="S21" i="7" s="1"/>
  <c r="S22" i="7" s="1"/>
  <c r="S23" i="7" s="1"/>
  <c r="R20" i="7"/>
  <c r="R21" i="7" s="1"/>
  <c r="R22" i="7" s="1"/>
  <c r="R23" i="7" s="1"/>
  <c r="CB19" i="7"/>
  <c r="CA19" i="7"/>
  <c r="CB18" i="7"/>
  <c r="CA18" i="7"/>
  <c r="CB17" i="7"/>
  <c r="CA17" i="7"/>
  <c r="CB16" i="7"/>
  <c r="CA16" i="7"/>
  <c r="CB15" i="7"/>
  <c r="CA15" i="7"/>
  <c r="M15" i="7"/>
  <c r="CB14" i="7"/>
  <c r="CA14" i="7"/>
  <c r="M14" i="7"/>
  <c r="CB13" i="7"/>
  <c r="CA13" i="7"/>
  <c r="M13" i="7"/>
  <c r="CB12" i="7"/>
  <c r="CA12" i="7"/>
  <c r="M12" i="7"/>
  <c r="CB11" i="7"/>
  <c r="CA11" i="7"/>
  <c r="M11" i="7"/>
  <c r="BK214" i="7"/>
  <c r="S261" i="7"/>
  <c r="AA261" i="7"/>
  <c r="AI261" i="7"/>
  <c r="AQ261" i="7"/>
  <c r="AY261" i="7"/>
  <c r="BG261" i="7"/>
  <c r="AF392" i="7"/>
  <c r="AN392" i="7"/>
  <c r="AV392" i="7"/>
  <c r="BL392" i="7"/>
  <c r="BT392" i="7"/>
  <c r="Z447" i="7"/>
  <c r="AX447" i="7"/>
  <c r="BG447" i="7"/>
  <c r="BN165" i="7"/>
  <c r="BX276" i="7"/>
  <c r="U717" i="7"/>
  <c r="AY717" i="7"/>
  <c r="AC102" i="7"/>
  <c r="AC103" i="7" s="1"/>
  <c r="AL223" i="7"/>
  <c r="BJ223" i="7"/>
  <c r="U643" i="7"/>
  <c r="AC643" i="7"/>
  <c r="AK643" i="7"/>
  <c r="R671" i="7"/>
  <c r="Z671" i="7"/>
  <c r="AH671" i="7"/>
  <c r="AX671" i="7"/>
  <c r="BF671" i="7"/>
  <c r="BP165" i="7"/>
  <c r="BF447" i="7"/>
  <c r="AD77" i="7"/>
  <c r="AD78" i="7"/>
  <c r="AD79" i="7" s="1"/>
  <c r="AD80" i="7" s="1"/>
  <c r="BG144" i="7"/>
  <c r="BP144" i="7"/>
  <c r="BX144" i="7"/>
  <c r="BQ144" i="7"/>
  <c r="BY144" i="7"/>
  <c r="R180" i="7"/>
  <c r="Z180" i="7"/>
  <c r="AH180" i="7"/>
  <c r="AP180" i="7"/>
  <c r="AX180" i="7"/>
  <c r="BF180" i="7"/>
  <c r="BB202" i="7"/>
  <c r="S234" i="7"/>
  <c r="AA234" i="7"/>
  <c r="AQ234" i="7"/>
  <c r="BG234" i="7"/>
  <c r="AO223" i="7"/>
  <c r="BM223" i="7"/>
  <c r="BH305" i="7"/>
  <c r="BH306" i="7" s="1"/>
  <c r="AI368" i="7"/>
  <c r="AI369" i="7" s="1"/>
  <c r="R429" i="7"/>
  <c r="AH429" i="7"/>
  <c r="AH467" i="7"/>
  <c r="AH447" i="7"/>
  <c r="AH474" i="7" s="1"/>
  <c r="AH475" i="7" s="1"/>
  <c r="AH392" i="7"/>
  <c r="S447" i="7"/>
  <c r="AA447" i="7"/>
  <c r="AI447" i="7"/>
  <c r="AQ447" i="7"/>
  <c r="BP506" i="7"/>
  <c r="BX506" i="7"/>
  <c r="CB517" i="7"/>
  <c r="AL35" i="7"/>
  <c r="AL65" i="7" s="1"/>
  <c r="AL66" i="7" s="1"/>
  <c r="AY234" i="7"/>
  <c r="BV530" i="7"/>
  <c r="U144" i="7"/>
  <c r="V144" i="7"/>
  <c r="AE144" i="7"/>
  <c r="AM144" i="7"/>
  <c r="AU144" i="7"/>
  <c r="BC144" i="7"/>
  <c r="X180" i="7"/>
  <c r="AF180" i="7"/>
  <c r="AN180" i="7"/>
  <c r="AV180" i="7"/>
  <c r="BD180" i="7"/>
  <c r="U261" i="7"/>
  <c r="AK261" i="7"/>
  <c r="BA261" i="7"/>
  <c r="BB447" i="7"/>
  <c r="AM617" i="7"/>
  <c r="BQ738" i="7"/>
  <c r="BQ739" i="7" s="1"/>
  <c r="BQ740" i="7" s="1"/>
  <c r="BQ741" i="7" s="1"/>
  <c r="BR35" i="7"/>
  <c r="AE102" i="7"/>
  <c r="AE103" i="7" s="1"/>
  <c r="AE125" i="7" s="1"/>
  <c r="BV165" i="7"/>
  <c r="Y202" i="7"/>
  <c r="Y203" i="7"/>
  <c r="AG202" i="7"/>
  <c r="AO202" i="7"/>
  <c r="AW202" i="7"/>
  <c r="BE202" i="7"/>
  <c r="BN202" i="7"/>
  <c r="BV202" i="7"/>
  <c r="BY261" i="7"/>
  <c r="S530" i="7"/>
  <c r="AA530" i="7"/>
  <c r="AI530" i="7"/>
  <c r="AQ530" i="7"/>
  <c r="AY530" i="7"/>
  <c r="BG530" i="7"/>
  <c r="AT35" i="7"/>
  <c r="AT65" i="7" s="1"/>
  <c r="AT66" i="7" s="1"/>
  <c r="AU35" i="7"/>
  <c r="AU65" i="7" s="1"/>
  <c r="AU66" i="7" s="1"/>
  <c r="AK102" i="7"/>
  <c r="AK103" i="7" s="1"/>
  <c r="AS102" i="7"/>
  <c r="AS103" i="7"/>
  <c r="BA102" i="7"/>
  <c r="BA103" i="7" s="1"/>
  <c r="BA125" i="7" s="1"/>
  <c r="BI102" i="7"/>
  <c r="BI103" i="7" s="1"/>
  <c r="AF102" i="7"/>
  <c r="AF103" i="7" s="1"/>
  <c r="BU165" i="7"/>
  <c r="BU180" i="7"/>
  <c r="BU181" i="7" s="1"/>
  <c r="BU144" i="7"/>
  <c r="BU202" i="7"/>
  <c r="BU203" i="7" s="1"/>
  <c r="BU204" i="7" s="1"/>
  <c r="Z202" i="7"/>
  <c r="Z203" i="7" s="1"/>
  <c r="BP467" i="7"/>
  <c r="BX467" i="7"/>
  <c r="BB35" i="7"/>
  <c r="BB65" i="7" s="1"/>
  <c r="BB66" i="7" s="1"/>
  <c r="BK35" i="7"/>
  <c r="BR144" i="7"/>
  <c r="X101" i="7"/>
  <c r="Y144" i="7"/>
  <c r="AH144" i="7"/>
  <c r="BO144" i="7"/>
  <c r="S180" i="7"/>
  <c r="AA180" i="7"/>
  <c r="AI180" i="7"/>
  <c r="AQ180" i="7"/>
  <c r="AY180" i="7"/>
  <c r="BG180" i="7"/>
  <c r="BP180" i="7"/>
  <c r="BX180" i="7"/>
  <c r="Y305" i="7"/>
  <c r="Y306" i="7" s="1"/>
  <c r="AG305" i="7"/>
  <c r="AG306" i="7" s="1"/>
  <c r="AO305" i="7"/>
  <c r="AO306" i="7"/>
  <c r="AW305" i="7"/>
  <c r="AW306" i="7" s="1"/>
  <c r="BE305" i="7"/>
  <c r="BE306" i="7" s="1"/>
  <c r="S368" i="7"/>
  <c r="S369" i="7" s="1"/>
  <c r="AY368" i="7"/>
  <c r="AY369" i="7"/>
  <c r="T447" i="7"/>
  <c r="AB447" i="7"/>
  <c r="AR447" i="7"/>
  <c r="X447" i="7"/>
  <c r="AF447" i="7"/>
  <c r="AN447" i="7"/>
  <c r="AV447" i="7"/>
  <c r="U467" i="7"/>
  <c r="BQ467" i="7"/>
  <c r="BY467" i="7"/>
  <c r="BH643" i="7"/>
  <c r="BQ705" i="7"/>
  <c r="X717" i="7"/>
  <c r="AE35" i="7"/>
  <c r="BS35" i="7"/>
  <c r="BS65" i="7" s="1"/>
  <c r="BS66" i="7" s="1"/>
  <c r="AP102" i="7"/>
  <c r="AP103" i="7" s="1"/>
  <c r="AX102" i="7"/>
  <c r="AX103" i="7"/>
  <c r="AX125" i="7" s="1"/>
  <c r="AZ165" i="7"/>
  <c r="T180" i="7"/>
  <c r="AZ180" i="7"/>
  <c r="BH180" i="7"/>
  <c r="T202" i="7"/>
  <c r="AB202" i="7"/>
  <c r="AJ202" i="7"/>
  <c r="AR202" i="7"/>
  <c r="AZ202" i="7"/>
  <c r="BH202" i="7"/>
  <c r="AW261" i="7"/>
  <c r="CB260" i="7"/>
  <c r="AJ368" i="7"/>
  <c r="AJ369" i="7" s="1"/>
  <c r="BR447" i="7"/>
  <c r="CB580" i="7"/>
  <c r="CA750" i="7"/>
  <c r="CA751" i="7" s="1"/>
  <c r="CA752" i="7" s="1"/>
  <c r="CA753" i="7" s="1"/>
  <c r="G20" i="6" s="1"/>
  <c r="R214" i="7"/>
  <c r="AM580" i="7"/>
  <c r="AP629" i="7"/>
  <c r="BF629" i="7"/>
  <c r="BN629" i="7"/>
  <c r="AX629" i="7"/>
  <c r="BV629" i="7"/>
  <c r="X35" i="7"/>
  <c r="X65" i="7" s="1"/>
  <c r="X66" i="7" s="1"/>
  <c r="AF35" i="7"/>
  <c r="AV35" i="7"/>
  <c r="BD35" i="7"/>
  <c r="BD65" i="7" s="1"/>
  <c r="BD66" i="7" s="1"/>
  <c r="BT35" i="7"/>
  <c r="BN102" i="7"/>
  <c r="BN103" i="7"/>
  <c r="BU305" i="7"/>
  <c r="BU306" i="7" s="1"/>
  <c r="T276" i="7"/>
  <c r="AB276" i="7"/>
  <c r="AJ276" i="7"/>
  <c r="AR276" i="7"/>
  <c r="AZ276" i="7"/>
  <c r="BH276" i="7"/>
  <c r="BT506" i="7"/>
  <c r="AM594" i="7"/>
  <c r="T35" i="7"/>
  <c r="AB35" i="7"/>
  <c r="AB65" i="7"/>
  <c r="AB66" i="7" s="1"/>
  <c r="AJ35" i="7"/>
  <c r="AR35" i="7"/>
  <c r="AR65" i="7" s="1"/>
  <c r="AR66" i="7" s="1"/>
  <c r="AZ35" i="7"/>
  <c r="BH35" i="7"/>
  <c r="BP35" i="7"/>
  <c r="BX35" i="7"/>
  <c r="U102" i="7"/>
  <c r="U103" i="7"/>
  <c r="AN102" i="7"/>
  <c r="AN103" i="7" s="1"/>
  <c r="AN125" i="7" s="1"/>
  <c r="BD102" i="7"/>
  <c r="BD103" i="7" s="1"/>
  <c r="BD125" i="7" s="1"/>
  <c r="AQ144" i="7"/>
  <c r="R222" i="7"/>
  <c r="BQ35" i="7"/>
  <c r="BY35" i="7"/>
  <c r="AO102" i="7"/>
  <c r="AO103" i="7" s="1"/>
  <c r="AW102" i="7"/>
  <c r="AW103" i="7"/>
  <c r="BE102" i="7"/>
  <c r="BE103" i="7" s="1"/>
  <c r="AZ144" i="7"/>
  <c r="AZ181" i="7" s="1"/>
  <c r="T144" i="7"/>
  <c r="BA144" i="7"/>
  <c r="Z165" i="7"/>
  <c r="AP165" i="7"/>
  <c r="BF165" i="7"/>
  <c r="R202" i="7"/>
  <c r="AH202" i="7"/>
  <c r="AH203" i="7" s="1"/>
  <c r="AP202" i="7"/>
  <c r="AX202" i="7"/>
  <c r="AX203" i="7"/>
  <c r="BF202" i="7"/>
  <c r="BO202" i="7"/>
  <c r="BO203" i="7" s="1"/>
  <c r="BW202" i="7"/>
  <c r="BW203" i="7"/>
  <c r="X223" i="7"/>
  <c r="AF223" i="7"/>
  <c r="AN223" i="7"/>
  <c r="AN234" i="7"/>
  <c r="AN235" i="7" s="1"/>
  <c r="AN236" i="7" s="1"/>
  <c r="AV223" i="7"/>
  <c r="BD223" i="7"/>
  <c r="BT223" i="7"/>
  <c r="X234" i="7"/>
  <c r="AF234" i="7"/>
  <c r="AV234" i="7"/>
  <c r="AV235" i="7" s="1"/>
  <c r="AV236" i="7" s="1"/>
  <c r="BD234" i="7"/>
  <c r="BU234" i="7"/>
  <c r="BR276" i="7"/>
  <c r="CA295" i="7"/>
  <c r="AB305" i="7"/>
  <c r="AB306" i="7"/>
  <c r="AZ305" i="7"/>
  <c r="AZ306" i="7" s="1"/>
  <c r="BT338" i="7"/>
  <c r="BT339" i="7" s="1"/>
  <c r="AL392" i="7"/>
  <c r="X392" i="7"/>
  <c r="BI392" i="7"/>
  <c r="CB560" i="7"/>
  <c r="CB561" i="7" s="1"/>
  <c r="CB665" i="7"/>
  <c r="AD705" i="7"/>
  <c r="BS144" i="7"/>
  <c r="Y180" i="7"/>
  <c r="AG180" i="7"/>
  <c r="AO180" i="7"/>
  <c r="AW180" i="7"/>
  <c r="BE180" i="7"/>
  <c r="BN180" i="7"/>
  <c r="BV180" i="7"/>
  <c r="AG223" i="7"/>
  <c r="BE223" i="7"/>
  <c r="V276" i="7"/>
  <c r="AD276" i="7"/>
  <c r="AL276" i="7"/>
  <c r="AT276" i="7"/>
  <c r="BB276" i="7"/>
  <c r="BJ276" i="7"/>
  <c r="BO305" i="7"/>
  <c r="BO306" i="7" s="1"/>
  <c r="AF338" i="7"/>
  <c r="AF339" i="7" s="1"/>
  <c r="T467" i="7"/>
  <c r="T429" i="7"/>
  <c r="T392" i="7"/>
  <c r="AB467" i="7"/>
  <c r="AJ467" i="7"/>
  <c r="AR467" i="7"/>
  <c r="BH467" i="7"/>
  <c r="Y506" i="7"/>
  <c r="AG506" i="7"/>
  <c r="AO506" i="7"/>
  <c r="BE506" i="7"/>
  <c r="AJ717" i="7"/>
  <c r="Z223" i="7"/>
  <c r="AH223" i="7"/>
  <c r="AX223" i="7"/>
  <c r="BF223" i="7"/>
  <c r="BN223" i="7"/>
  <c r="BV223" i="7"/>
  <c r="BU261" i="7"/>
  <c r="BT368" i="7"/>
  <c r="BT369" i="7" s="1"/>
  <c r="AP392" i="7"/>
  <c r="AX392" i="7"/>
  <c r="CB453" i="7"/>
  <c r="CB501" i="7"/>
  <c r="CB650" i="7"/>
  <c r="AG89" i="7"/>
  <c r="AG102" i="7" s="1"/>
  <c r="AG103" i="7" s="1"/>
  <c r="AG125" i="7" s="1"/>
  <c r="BF102" i="7"/>
  <c r="BF103" i="7" s="1"/>
  <c r="BF125" i="7" s="1"/>
  <c r="AB102" i="7"/>
  <c r="AB103" i="7" s="1"/>
  <c r="AJ102" i="7"/>
  <c r="AJ103" i="7"/>
  <c r="AR102" i="7"/>
  <c r="AR103" i="7" s="1"/>
  <c r="AR125" i="7" s="1"/>
  <c r="AZ102" i="7"/>
  <c r="AZ103" i="7" s="1"/>
  <c r="BH102" i="7"/>
  <c r="BH103" i="7"/>
  <c r="AM125" i="7"/>
  <c r="BC125" i="7"/>
  <c r="W144" i="7"/>
  <c r="AF144" i="7"/>
  <c r="AN144" i="7"/>
  <c r="AV144" i="7"/>
  <c r="BD144" i="7"/>
  <c r="BK164" i="7"/>
  <c r="AH165" i="7"/>
  <c r="AH181" i="7" s="1"/>
  <c r="AX165" i="7"/>
  <c r="AI234" i="7"/>
  <c r="BX234" i="7"/>
  <c r="AF261" i="7"/>
  <c r="AV261" i="7"/>
  <c r="BM276" i="7"/>
  <c r="BV276" i="7"/>
  <c r="BC305" i="7"/>
  <c r="BC306" i="7" s="1"/>
  <c r="BK304" i="7"/>
  <c r="X368" i="7"/>
  <c r="X369" i="7" s="1"/>
  <c r="AF368" i="7"/>
  <c r="AF369" i="7" s="1"/>
  <c r="AN368" i="7"/>
  <c r="AN369" i="7" s="1"/>
  <c r="AV368" i="7"/>
  <c r="AV369" i="7"/>
  <c r="BD368" i="7"/>
  <c r="BD369" i="7" s="1"/>
  <c r="AO392" i="7"/>
  <c r="AW392" i="7"/>
  <c r="BV429" i="7"/>
  <c r="V530" i="7"/>
  <c r="AD530" i="7"/>
  <c r="AL530" i="7"/>
  <c r="AT530" i="7"/>
  <c r="BB530" i="7"/>
  <c r="BJ530" i="7"/>
  <c r="BP530" i="7"/>
  <c r="BP540" i="7"/>
  <c r="BP541" i="7" s="1"/>
  <c r="BX530" i="7"/>
  <c r="R102" i="7"/>
  <c r="R103" i="7" s="1"/>
  <c r="BQ180" i="7"/>
  <c r="BQ165" i="7"/>
  <c r="BQ181" i="7" s="1"/>
  <c r="BY180" i="7"/>
  <c r="V202" i="7"/>
  <c r="AD202" i="7"/>
  <c r="AD203" i="7" s="1"/>
  <c r="AL202" i="7"/>
  <c r="AL203" i="7" s="1"/>
  <c r="AT202" i="7"/>
  <c r="BJ202" i="7"/>
  <c r="BS202" i="7"/>
  <c r="BQ261" i="7"/>
  <c r="AC261" i="7"/>
  <c r="AS261" i="7"/>
  <c r="BI261" i="7"/>
  <c r="Y261" i="7"/>
  <c r="AG261" i="7"/>
  <c r="AO261" i="7"/>
  <c r="BE261" i="7"/>
  <c r="Y276" i="7"/>
  <c r="AG276" i="7"/>
  <c r="AO276" i="7"/>
  <c r="AW276" i="7"/>
  <c r="BE276" i="7"/>
  <c r="BI429" i="7"/>
  <c r="BN447" i="7"/>
  <c r="BV447" i="7"/>
  <c r="BV467" i="7"/>
  <c r="BV392" i="7"/>
  <c r="BJ447" i="7"/>
  <c r="AM560" i="7"/>
  <c r="AM561" i="7" s="1"/>
  <c r="X643" i="7"/>
  <c r="AF643" i="7"/>
  <c r="AN643" i="7"/>
  <c r="AV643" i="7"/>
  <c r="BD643" i="7"/>
  <c r="BL643" i="7"/>
  <c r="BT643" i="7"/>
  <c r="R643" i="7"/>
  <c r="Z643" i="7"/>
  <c r="AH643" i="7"/>
  <c r="AP643" i="7"/>
  <c r="AY643" i="7"/>
  <c r="BG643" i="7"/>
  <c r="BO643" i="7"/>
  <c r="BW643" i="7"/>
  <c r="BK159" i="7"/>
  <c r="T165" i="7"/>
  <c r="W202" i="7"/>
  <c r="W203" i="7" s="1"/>
  <c r="AE202" i="7"/>
  <c r="AE203" i="7" s="1"/>
  <c r="AM202" i="7"/>
  <c r="AM203" i="7" s="1"/>
  <c r="AU202" i="7"/>
  <c r="AU203" i="7" s="1"/>
  <c r="BC202" i="7"/>
  <c r="BC203" i="7" s="1"/>
  <c r="AC223" i="7"/>
  <c r="AK223" i="7"/>
  <c r="BA223" i="7"/>
  <c r="BI223" i="7"/>
  <c r="BY223" i="7"/>
  <c r="BP261" i="7"/>
  <c r="BX261" i="7"/>
  <c r="BX277" i="7" s="1"/>
  <c r="BX278" i="7" s="1"/>
  <c r="AP276" i="7"/>
  <c r="AN338" i="7"/>
  <c r="AN339" i="7" s="1"/>
  <c r="BW368" i="7"/>
  <c r="BW369" i="7" s="1"/>
  <c r="BO368" i="7"/>
  <c r="BO369" i="7" s="1"/>
  <c r="AD392" i="7"/>
  <c r="AZ429" i="7"/>
  <c r="BH429" i="7"/>
  <c r="R447" i="7"/>
  <c r="AP447" i="7"/>
  <c r="V467" i="7"/>
  <c r="AD467" i="7"/>
  <c r="AL467" i="7"/>
  <c r="AT467" i="7"/>
  <c r="BJ467" i="7"/>
  <c r="AV467" i="7"/>
  <c r="BD467" i="7"/>
  <c r="X506" i="7"/>
  <c r="AF506" i="7"/>
  <c r="AN506" i="7"/>
  <c r="BB717" i="7"/>
  <c r="R144" i="7"/>
  <c r="R181" i="7" s="1"/>
  <c r="Z144" i="7"/>
  <c r="U180" i="7"/>
  <c r="AC180" i="7"/>
  <c r="AK180" i="7"/>
  <c r="AS180" i="7"/>
  <c r="BA180" i="7"/>
  <c r="BI180" i="7"/>
  <c r="BR180" i="7"/>
  <c r="BQ223" i="7"/>
  <c r="AD223" i="7"/>
  <c r="BB223" i="7"/>
  <c r="BT234" i="7"/>
  <c r="BS234" i="7"/>
  <c r="BP276" i="7"/>
  <c r="BP277" i="7" s="1"/>
  <c r="BP278" i="7" s="1"/>
  <c r="BT305" i="7"/>
  <c r="BT306" i="7" s="1"/>
  <c r="V392" i="7"/>
  <c r="AC467" i="7"/>
  <c r="BA467" i="7"/>
  <c r="CB599" i="7"/>
  <c r="BP643" i="7"/>
  <c r="BX643" i="7"/>
  <c r="T643" i="7"/>
  <c r="AB643" i="7"/>
  <c r="AR643" i="7"/>
  <c r="BV671" i="7"/>
  <c r="BB705" i="7"/>
  <c r="AA717" i="7"/>
  <c r="BE717" i="7"/>
  <c r="AW234" i="7"/>
  <c r="BK144" i="7"/>
  <c r="BE234" i="7"/>
  <c r="AV102" i="7"/>
  <c r="AV103" i="7" s="1"/>
  <c r="BS203" i="7"/>
  <c r="AG234" i="7"/>
  <c r="BM101" i="7"/>
  <c r="CB96" i="7"/>
  <c r="Y234" i="7"/>
  <c r="AO234" i="7"/>
  <c r="AO235" i="7" s="1"/>
  <c r="AO236" i="7" s="1"/>
  <c r="BK20" i="7"/>
  <c r="BK21" i="7"/>
  <c r="BK22" i="7" s="1"/>
  <c r="BK23" i="7" s="1"/>
  <c r="R35" i="7"/>
  <c r="R65" i="7"/>
  <c r="R66" i="7" s="1"/>
  <c r="Z35" i="7"/>
  <c r="AH35" i="7"/>
  <c r="AH65" i="7"/>
  <c r="AH66" i="7" s="1"/>
  <c r="AP35" i="7"/>
  <c r="AX35" i="7"/>
  <c r="AX65" i="7" s="1"/>
  <c r="AX66" i="7" s="1"/>
  <c r="BF35" i="7"/>
  <c r="BF65" i="7" s="1"/>
  <c r="BF66" i="7" s="1"/>
  <c r="BN35" i="7"/>
  <c r="BV35" i="7"/>
  <c r="BV65" i="7" s="1"/>
  <c r="BV66" i="7" s="1"/>
  <c r="BT101" i="7"/>
  <c r="BT102" i="7" s="1"/>
  <c r="BT103" i="7" s="1"/>
  <c r="S102" i="7"/>
  <c r="S103" i="7" s="1"/>
  <c r="S125" i="7" s="1"/>
  <c r="BR102" i="7"/>
  <c r="BR103" i="7" s="1"/>
  <c r="CA136" i="7"/>
  <c r="AD144" i="7"/>
  <c r="AL144" i="7"/>
  <c r="AT144" i="7"/>
  <c r="BB144" i="7"/>
  <c r="BJ144" i="7"/>
  <c r="V165" i="7"/>
  <c r="AD165" i="7"/>
  <c r="AL165" i="7"/>
  <c r="AT165" i="7"/>
  <c r="BB165" i="7"/>
  <c r="BJ165" i="7"/>
  <c r="BM180" i="7"/>
  <c r="V180" i="7"/>
  <c r="AD180" i="7"/>
  <c r="AL180" i="7"/>
  <c r="AT180" i="7"/>
  <c r="BB180" i="7"/>
  <c r="BJ180" i="7"/>
  <c r="BS180" i="7"/>
  <c r="U223" i="7"/>
  <c r="AS223" i="7"/>
  <c r="V223" i="7"/>
  <c r="AT223" i="7"/>
  <c r="BR223" i="7"/>
  <c r="T102" i="7"/>
  <c r="T103" i="7"/>
  <c r="T125" i="7" s="1"/>
  <c r="BS102" i="7"/>
  <c r="BS103" i="7" s="1"/>
  <c r="BS125" i="7" s="1"/>
  <c r="AK125" i="7"/>
  <c r="BT144" i="7"/>
  <c r="W165" i="7"/>
  <c r="AE165" i="7"/>
  <c r="AM165" i="7"/>
  <c r="AU165" i="7"/>
  <c r="AU181" i="7" s="1"/>
  <c r="AU180" i="7"/>
  <c r="BC165" i="7"/>
  <c r="BT165" i="7"/>
  <c r="AM180" i="7"/>
  <c r="BC180" i="7"/>
  <c r="BT180" i="7"/>
  <c r="AG203" i="7"/>
  <c r="AO203" i="7"/>
  <c r="AW203" i="7"/>
  <c r="BE203" i="7"/>
  <c r="AS66" i="7"/>
  <c r="BQ102" i="7"/>
  <c r="BQ103" i="7"/>
  <c r="BY102" i="7"/>
  <c r="BY103" i="7"/>
  <c r="AA136" i="7"/>
  <c r="AG144" i="7"/>
  <c r="AO144" i="7"/>
  <c r="BE144" i="7"/>
  <c r="BY165" i="7"/>
  <c r="BY181" i="7"/>
  <c r="CB164" i="7"/>
  <c r="Y165" i="7"/>
  <c r="AG165" i="7"/>
  <c r="AO165" i="7"/>
  <c r="AW165" i="7"/>
  <c r="BE165" i="7"/>
  <c r="BE181" i="7" s="1"/>
  <c r="S202" i="7"/>
  <c r="S203" i="7"/>
  <c r="S204" i="7" s="1"/>
  <c r="AA202" i="7"/>
  <c r="AA203" i="7"/>
  <c r="AI202" i="7"/>
  <c r="AI203" i="7"/>
  <c r="AQ202" i="7"/>
  <c r="AQ203" i="7"/>
  <c r="AY202" i="7"/>
  <c r="AY203" i="7"/>
  <c r="BG202" i="7"/>
  <c r="BG203" i="7"/>
  <c r="BP202" i="7"/>
  <c r="BP203" i="7"/>
  <c r="BX202" i="7"/>
  <c r="BX203" i="7"/>
  <c r="Y223" i="7"/>
  <c r="AW223" i="7"/>
  <c r="AW235" i="7" s="1"/>
  <c r="AW236" i="7" s="1"/>
  <c r="BU223" i="7"/>
  <c r="CA233" i="7"/>
  <c r="U234" i="7"/>
  <c r="AC234" i="7"/>
  <c r="AK234" i="7"/>
  <c r="AK235" i="7"/>
  <c r="AK236" i="7" s="1"/>
  <c r="AS234" i="7"/>
  <c r="BA234" i="7"/>
  <c r="W102" i="7"/>
  <c r="W103" i="7" s="1"/>
  <c r="W125" i="7" s="1"/>
  <c r="BW102" i="7"/>
  <c r="BW103" i="7" s="1"/>
  <c r="BW125" i="7" s="1"/>
  <c r="U165" i="7"/>
  <c r="AC165" i="7"/>
  <c r="AK165" i="7"/>
  <c r="AS165" i="7"/>
  <c r="BA165" i="7"/>
  <c r="BI165" i="7"/>
  <c r="BO180" i="7"/>
  <c r="BW180" i="7"/>
  <c r="BV203" i="7"/>
  <c r="AP223" i="7"/>
  <c r="CB233" i="7"/>
  <c r="V234" i="7"/>
  <c r="V235" i="7"/>
  <c r="V236" i="7" s="1"/>
  <c r="AD234" i="7"/>
  <c r="AD235" i="7" s="1"/>
  <c r="AD236" i="7" s="1"/>
  <c r="AL234" i="7"/>
  <c r="AL235" i="7"/>
  <c r="AL236" i="7" s="1"/>
  <c r="AT234" i="7"/>
  <c r="BB234" i="7"/>
  <c r="BB235" i="7" s="1"/>
  <c r="BB236" i="7" s="1"/>
  <c r="BJ234" i="7"/>
  <c r="BJ235" i="7" s="1"/>
  <c r="BJ236" i="7" s="1"/>
  <c r="X102" i="7"/>
  <c r="X103" i="7" s="1"/>
  <c r="BO102" i="7"/>
  <c r="BO103" i="7" s="1"/>
  <c r="BO125" i="7" s="1"/>
  <c r="BX102" i="7"/>
  <c r="BX103" i="7" s="1"/>
  <c r="BX125" i="7" s="1"/>
  <c r="AI144" i="7"/>
  <c r="AY144" i="7"/>
  <c r="BW144" i="7"/>
  <c r="S165" i="7"/>
  <c r="AA165" i="7"/>
  <c r="AI165" i="7"/>
  <c r="AQ165" i="7"/>
  <c r="BX165" i="7"/>
  <c r="BX181" i="7"/>
  <c r="U202" i="7"/>
  <c r="U203" i="7" s="1"/>
  <c r="AC202" i="7"/>
  <c r="AC203" i="7" s="1"/>
  <c r="AK202" i="7"/>
  <c r="AK203" i="7" s="1"/>
  <c r="AS202" i="7"/>
  <c r="AS203" i="7"/>
  <c r="BA202" i="7"/>
  <c r="BA203" i="7" s="1"/>
  <c r="BI202" i="7"/>
  <c r="BI203" i="7" s="1"/>
  <c r="BR202" i="7"/>
  <c r="BR203" i="7" s="1"/>
  <c r="S223" i="7"/>
  <c r="S235" i="7" s="1"/>
  <c r="S236" i="7" s="1"/>
  <c r="AA223" i="7"/>
  <c r="AA235" i="7" s="1"/>
  <c r="AA236" i="7" s="1"/>
  <c r="AI223" i="7"/>
  <c r="AQ223" i="7"/>
  <c r="AY223" i="7"/>
  <c r="BG223" i="7"/>
  <c r="BO223" i="7"/>
  <c r="BW223" i="7"/>
  <c r="BW234" i="7"/>
  <c r="BW235" i="7" s="1"/>
  <c r="BW236" i="7" s="1"/>
  <c r="W234" i="7"/>
  <c r="BC234" i="7"/>
  <c r="AA102" i="7"/>
  <c r="AA103" i="7"/>
  <c r="AA125" i="7" s="1"/>
  <c r="AQ102" i="7"/>
  <c r="AQ103" i="7" s="1"/>
  <c r="AQ125" i="7" s="1"/>
  <c r="AY102" i="7"/>
  <c r="AY103" i="7"/>
  <c r="AY125" i="7" s="1"/>
  <c r="BG102" i="7"/>
  <c r="BG103" i="7"/>
  <c r="BG125" i="7" s="1"/>
  <c r="BP102" i="7"/>
  <c r="BP103" i="7" s="1"/>
  <c r="BP125" i="7" s="1"/>
  <c r="AC125" i="7"/>
  <c r="CB136" i="7"/>
  <c r="AC144" i="7"/>
  <c r="AC181" i="7" s="1"/>
  <c r="AK144" i="7"/>
  <c r="AS144" i="7"/>
  <c r="BI144" i="7"/>
  <c r="S144" i="7"/>
  <c r="S181" i="7"/>
  <c r="AJ144" i="7"/>
  <c r="AR144" i="7"/>
  <c r="BH144" i="7"/>
  <c r="CA159" i="7"/>
  <c r="AB165" i="7"/>
  <c r="AR165" i="7"/>
  <c r="BH165" i="7"/>
  <c r="AJ180" i="7"/>
  <c r="AR180" i="7"/>
  <c r="AF235" i="7"/>
  <c r="AF236" i="7" s="1"/>
  <c r="BU235" i="7"/>
  <c r="BU236" i="7" s="1"/>
  <c r="AZ261" i="7"/>
  <c r="AZ277" i="7"/>
  <c r="AZ278" i="7" s="1"/>
  <c r="T234" i="7"/>
  <c r="AB234" i="7"/>
  <c r="AJ234" i="7"/>
  <c r="AR234" i="7"/>
  <c r="AZ234" i="7"/>
  <c r="BH234" i="7"/>
  <c r="R276" i="7"/>
  <c r="Z276" i="7"/>
  <c r="AH276" i="7"/>
  <c r="AX276" i="7"/>
  <c r="BF276" i="7"/>
  <c r="BN276" i="7"/>
  <c r="BU276" i="7"/>
  <c r="CB331" i="7"/>
  <c r="R338" i="7"/>
  <c r="R339" i="7" s="1"/>
  <c r="Z338" i="7"/>
  <c r="Z339" i="7" s="1"/>
  <c r="AH338" i="7"/>
  <c r="AH339" i="7" s="1"/>
  <c r="AP338" i="7"/>
  <c r="AP339" i="7" s="1"/>
  <c r="AX338" i="7"/>
  <c r="AX339" i="7" s="1"/>
  <c r="BF338" i="7"/>
  <c r="BF339" i="7" s="1"/>
  <c r="T368" i="7"/>
  <c r="T369" i="7" s="1"/>
  <c r="AT392" i="7"/>
  <c r="BJ392" i="7"/>
  <c r="BR392" i="7"/>
  <c r="AY392" i="7"/>
  <c r="AB392" i="7"/>
  <c r="AR392" i="7"/>
  <c r="BE447" i="7"/>
  <c r="AF467" i="7"/>
  <c r="AN467" i="7"/>
  <c r="S671" i="7"/>
  <c r="T261" i="7"/>
  <c r="AB261" i="7"/>
  <c r="AB277" i="7" s="1"/>
  <c r="AB278" i="7" s="1"/>
  <c r="AJ261" i="7"/>
  <c r="AJ277" i="7" s="1"/>
  <c r="AJ278" i="7" s="1"/>
  <c r="AR261" i="7"/>
  <c r="AR277" i="7" s="1"/>
  <c r="AR278" i="7" s="1"/>
  <c r="BH261" i="7"/>
  <c r="Y277" i="7"/>
  <c r="Y278" i="7" s="1"/>
  <c r="CB304" i="7"/>
  <c r="U392" i="7"/>
  <c r="AC392" i="7"/>
  <c r="Y447" i="7"/>
  <c r="BI234" i="7"/>
  <c r="BI235" i="7" s="1"/>
  <c r="BI236" i="7" s="1"/>
  <c r="BR234" i="7"/>
  <c r="R261" i="7"/>
  <c r="Z261" i="7"/>
  <c r="AH261" i="7"/>
  <c r="AP261" i="7"/>
  <c r="AP277" i="7"/>
  <c r="AP278" i="7" s="1"/>
  <c r="AX261" i="7"/>
  <c r="BF261" i="7"/>
  <c r="BN261" i="7"/>
  <c r="BV261" i="7"/>
  <c r="BV277" i="7"/>
  <c r="BV278" i="7" s="1"/>
  <c r="AI305" i="7"/>
  <c r="AI306" i="7"/>
  <c r="AY305" i="7"/>
  <c r="AY306" i="7" s="1"/>
  <c r="BW305" i="7"/>
  <c r="BW306" i="7" s="1"/>
  <c r="BW338" i="7"/>
  <c r="BW339" i="7" s="1"/>
  <c r="BF392" i="7"/>
  <c r="BN392" i="7"/>
  <c r="X429" i="7"/>
  <c r="BU429" i="7"/>
  <c r="Z429" i="7"/>
  <c r="AP429" i="7"/>
  <c r="AX429" i="7"/>
  <c r="BF429" i="7"/>
  <c r="BN429" i="7"/>
  <c r="BS447" i="7"/>
  <c r="AK467" i="7"/>
  <c r="AS467" i="7"/>
  <c r="BI467" i="7"/>
  <c r="BO261" i="7"/>
  <c r="BW261" i="7"/>
  <c r="Y338" i="7"/>
  <c r="Y339" i="7" s="1"/>
  <c r="AG338" i="7"/>
  <c r="AG339" i="7"/>
  <c r="AG352" i="7" s="1"/>
  <c r="AO338" i="7"/>
  <c r="AO339" i="7" s="1"/>
  <c r="AO352" i="7" s="1"/>
  <c r="AW338" i="7"/>
  <c r="AW339" i="7" s="1"/>
  <c r="BE338" i="7"/>
  <c r="BE339" i="7" s="1"/>
  <c r="BE352" i="7" s="1"/>
  <c r="BB392" i="7"/>
  <c r="BG392" i="7"/>
  <c r="BO392" i="7"/>
  <c r="BW392" i="7"/>
  <c r="CB424" i="7"/>
  <c r="Y429" i="7"/>
  <c r="AW429" i="7"/>
  <c r="CB446" i="7"/>
  <c r="CB466" i="7"/>
  <c r="BQ202" i="7"/>
  <c r="BQ203" i="7" s="1"/>
  <c r="BY202" i="7"/>
  <c r="BY203" i="7"/>
  <c r="T223" i="7"/>
  <c r="AB223" i="7"/>
  <c r="AJ223" i="7"/>
  <c r="AR223" i="7"/>
  <c r="AZ223" i="7"/>
  <c r="BH223" i="7"/>
  <c r="BP223" i="7"/>
  <c r="BX223" i="7"/>
  <c r="BX235" i="7" s="1"/>
  <c r="BX236" i="7" s="1"/>
  <c r="W261" i="7"/>
  <c r="AE261" i="7"/>
  <c r="AM261" i="7"/>
  <c r="AU261" i="7"/>
  <c r="BC261" i="7"/>
  <c r="BK260" i="7"/>
  <c r="BS261" i="7"/>
  <c r="U276" i="7"/>
  <c r="U277" i="7"/>
  <c r="U278" i="7" s="1"/>
  <c r="AC276" i="7"/>
  <c r="AC277" i="7" s="1"/>
  <c r="AC278" i="7" s="1"/>
  <c r="AK276" i="7"/>
  <c r="AK277" i="7"/>
  <c r="AK278" i="7" s="1"/>
  <c r="AS276" i="7"/>
  <c r="AS277" i="7"/>
  <c r="AS278" i="7" s="1"/>
  <c r="BA276" i="7"/>
  <c r="BA277" i="7" s="1"/>
  <c r="BA278" i="7" s="1"/>
  <c r="BI276" i="7"/>
  <c r="BQ276" i="7"/>
  <c r="BQ277" i="7" s="1"/>
  <c r="BQ278" i="7" s="1"/>
  <c r="BY276" i="7"/>
  <c r="X338" i="7"/>
  <c r="X339" i="7" s="1"/>
  <c r="AV338" i="7"/>
  <c r="AV339" i="7" s="1"/>
  <c r="BD338" i="7"/>
  <c r="BD339" i="7" s="1"/>
  <c r="BK349" i="7"/>
  <c r="BK350" i="7" s="1"/>
  <c r="BK351" i="7" s="1"/>
  <c r="W368" i="7"/>
  <c r="W369" i="7" s="1"/>
  <c r="AE368" i="7"/>
  <c r="AE369" i="7" s="1"/>
  <c r="AM368" i="7"/>
  <c r="AM369" i="7"/>
  <c r="AU368" i="7"/>
  <c r="AU369" i="7" s="1"/>
  <c r="BC368" i="7"/>
  <c r="BC369" i="7" s="1"/>
  <c r="BS368" i="7"/>
  <c r="BS369" i="7" s="1"/>
  <c r="CB387" i="7"/>
  <c r="BH392" i="7"/>
  <c r="BP392" i="7"/>
  <c r="BX392" i="7"/>
  <c r="BY429" i="7"/>
  <c r="AR429" i="7"/>
  <c r="AR474" i="7" s="1"/>
  <c r="AR475" i="7" s="1"/>
  <c r="X261" i="7"/>
  <c r="AN261" i="7"/>
  <c r="BD261" i="7"/>
  <c r="BT261" i="7"/>
  <c r="S305" i="7"/>
  <c r="S306" i="7" s="1"/>
  <c r="AA305" i="7"/>
  <c r="AA306" i="7" s="1"/>
  <c r="AQ305" i="7"/>
  <c r="AQ306" i="7"/>
  <c r="BG305" i="7"/>
  <c r="BG306" i="7" s="1"/>
  <c r="BP305" i="7"/>
  <c r="BP306" i="7" s="1"/>
  <c r="BX305" i="7"/>
  <c r="BX306" i="7" s="1"/>
  <c r="V305" i="7"/>
  <c r="V306" i="7"/>
  <c r="AD305" i="7"/>
  <c r="AD306" i="7" s="1"/>
  <c r="AL305" i="7"/>
  <c r="AL306" i="7" s="1"/>
  <c r="AT305" i="7"/>
  <c r="AT306" i="7" s="1"/>
  <c r="BB305" i="7"/>
  <c r="BB306" i="7"/>
  <c r="BJ305" i="7"/>
  <c r="BJ306" i="7" s="1"/>
  <c r="BR305" i="7"/>
  <c r="BR306" i="7" s="1"/>
  <c r="CB337" i="7"/>
  <c r="CA390" i="7"/>
  <c r="CA391" i="7" s="1"/>
  <c r="BQ392" i="7"/>
  <c r="BY392" i="7"/>
  <c r="S429" i="7"/>
  <c r="AA429" i="7"/>
  <c r="BP429" i="7"/>
  <c r="BX429" i="7"/>
  <c r="U429" i="7"/>
  <c r="AC429" i="7"/>
  <c r="AK429" i="7"/>
  <c r="AS429" i="7"/>
  <c r="BQ429" i="7"/>
  <c r="BR467" i="7"/>
  <c r="BE467" i="7"/>
  <c r="BK489" i="7"/>
  <c r="AY506" i="7"/>
  <c r="AY629" i="7"/>
  <c r="BO629" i="7"/>
  <c r="BN234" i="7"/>
  <c r="BV234" i="7"/>
  <c r="BV235" i="7" s="1"/>
  <c r="BV236" i="7" s="1"/>
  <c r="V261" i="7"/>
  <c r="V277" i="7" s="1"/>
  <c r="V278" i="7" s="1"/>
  <c r="AD261" i="7"/>
  <c r="AL261" i="7"/>
  <c r="AT261" i="7"/>
  <c r="BB261" i="7"/>
  <c r="BB277" i="7"/>
  <c r="BB278" i="7" s="1"/>
  <c r="BJ261" i="7"/>
  <c r="BR261" i="7"/>
  <c r="T305" i="7"/>
  <c r="T306" i="7" s="1"/>
  <c r="AJ305" i="7"/>
  <c r="AJ306" i="7" s="1"/>
  <c r="AR305" i="7"/>
  <c r="AR306" i="7" s="1"/>
  <c r="W305" i="7"/>
  <c r="W306" i="7"/>
  <c r="AE305" i="7"/>
  <c r="AE306" i="7" s="1"/>
  <c r="AM305" i="7"/>
  <c r="AM306" i="7" s="1"/>
  <c r="AU305" i="7"/>
  <c r="AU306" i="7" s="1"/>
  <c r="BS305" i="7"/>
  <c r="BS306" i="7"/>
  <c r="BQ338" i="7"/>
  <c r="BQ339" i="7" s="1"/>
  <c r="BY338" i="7"/>
  <c r="BY339" i="7" s="1"/>
  <c r="CA387" i="7"/>
  <c r="R392" i="7"/>
  <c r="Z392" i="7"/>
  <c r="AB429" i="7"/>
  <c r="AD447" i="7"/>
  <c r="R223" i="7"/>
  <c r="W223" i="7"/>
  <c r="AE223" i="7"/>
  <c r="AE235" i="7"/>
  <c r="AE236" i="7" s="1"/>
  <c r="AM223" i="7"/>
  <c r="AU223" i="7"/>
  <c r="AU235" i="7" s="1"/>
  <c r="AU236" i="7" s="1"/>
  <c r="BC223" i="7"/>
  <c r="BS223" i="7"/>
  <c r="R234" i="7"/>
  <c r="Z234" i="7"/>
  <c r="AH234" i="7"/>
  <c r="AH235" i="7" s="1"/>
  <c r="AH236" i="7" s="1"/>
  <c r="AP234" i="7"/>
  <c r="AX234" i="7"/>
  <c r="BF234" i="7"/>
  <c r="BF235" i="7"/>
  <c r="BF236" i="7" s="1"/>
  <c r="BO234" i="7"/>
  <c r="BK254" i="7"/>
  <c r="BT276" i="7"/>
  <c r="BO338" i="7"/>
  <c r="BO339" i="7" s="1"/>
  <c r="BN338" i="7"/>
  <c r="BN339" i="7" s="1"/>
  <c r="BV338" i="7"/>
  <c r="BV339" i="7" s="1"/>
  <c r="U338" i="7"/>
  <c r="U339" i="7" s="1"/>
  <c r="AC338" i="7"/>
  <c r="AC339" i="7" s="1"/>
  <c r="AK338" i="7"/>
  <c r="AK339" i="7" s="1"/>
  <c r="AS338" i="7"/>
  <c r="AS339" i="7" s="1"/>
  <c r="BA338" i="7"/>
  <c r="BA339" i="7" s="1"/>
  <c r="BI338" i="7"/>
  <c r="BI339" i="7" s="1"/>
  <c r="AA368" i="7"/>
  <c r="AA369" i="7"/>
  <c r="AQ368" i="7"/>
  <c r="AQ369" i="7" s="1"/>
  <c r="BG368" i="7"/>
  <c r="BG369" i="7" s="1"/>
  <c r="Y392" i="7"/>
  <c r="AG392" i="7"/>
  <c r="S392" i="7"/>
  <c r="AA392" i="7"/>
  <c r="AI392" i="7"/>
  <c r="AQ392" i="7"/>
  <c r="CA424" i="7"/>
  <c r="BA429" i="7"/>
  <c r="W429" i="7"/>
  <c r="AE429" i="7"/>
  <c r="AM429" i="7"/>
  <c r="AU429" i="7"/>
  <c r="BC429" i="7"/>
  <c r="BS429" i="7"/>
  <c r="BP447" i="7"/>
  <c r="BX447" i="7"/>
  <c r="BD447" i="7"/>
  <c r="BU447" i="7"/>
  <c r="AQ629" i="7"/>
  <c r="BT447" i="7"/>
  <c r="X467" i="7"/>
  <c r="BB467" i="7"/>
  <c r="W467" i="7"/>
  <c r="W392" i="7"/>
  <c r="AE467" i="7"/>
  <c r="AM467" i="7"/>
  <c r="AU467" i="7"/>
  <c r="BC467" i="7"/>
  <c r="BS467" i="7"/>
  <c r="BK495" i="7"/>
  <c r="AT506" i="7"/>
  <c r="BB506" i="7"/>
  <c r="BB540" i="7"/>
  <c r="BB541" i="7" s="1"/>
  <c r="CB622" i="7"/>
  <c r="S643" i="7"/>
  <c r="AA643" i="7"/>
  <c r="AI643" i="7"/>
  <c r="AQ643" i="7"/>
  <c r="CA660" i="7"/>
  <c r="Y671" i="7"/>
  <c r="W671" i="7"/>
  <c r="BK671" i="7"/>
  <c r="AA671" i="7"/>
  <c r="AY671" i="7"/>
  <c r="BG671" i="7"/>
  <c r="BG629" i="7"/>
  <c r="X705" i="7"/>
  <c r="AJ705" i="7"/>
  <c r="AJ724" i="7" s="1"/>
  <c r="AJ725" i="7" s="1"/>
  <c r="AJ754" i="7" s="1"/>
  <c r="AG717" i="7"/>
  <c r="BK717" i="7"/>
  <c r="BK739" i="7"/>
  <c r="BK740" i="7"/>
  <c r="BK741" i="7" s="1"/>
  <c r="AM622" i="7"/>
  <c r="AM628" i="7"/>
  <c r="Y629" i="7"/>
  <c r="AG629" i="7"/>
  <c r="BA643" i="7"/>
  <c r="BI643" i="7"/>
  <c r="BQ643" i="7"/>
  <c r="BY671" i="7"/>
  <c r="BY629" i="7"/>
  <c r="CA665" i="7"/>
  <c r="X671" i="7"/>
  <c r="AF671" i="7"/>
  <c r="AS705" i="7"/>
  <c r="U506" i="7"/>
  <c r="AC506" i="7"/>
  <c r="AK506" i="7"/>
  <c r="BR506" i="7"/>
  <c r="AV506" i="7"/>
  <c r="BD506" i="7"/>
  <c r="AC530" i="7"/>
  <c r="AH530" i="7"/>
  <c r="BW530" i="7"/>
  <c r="BO530" i="7"/>
  <c r="BO506" i="7"/>
  <c r="CB586" i="7"/>
  <c r="R629" i="7"/>
  <c r="Z629" i="7"/>
  <c r="AH629" i="7"/>
  <c r="CA670" i="7"/>
  <c r="BR671" i="7"/>
  <c r="CB690" i="7"/>
  <c r="AS717" i="7"/>
  <c r="BQ717" i="7"/>
  <c r="BT739" i="7"/>
  <c r="BT740" i="7" s="1"/>
  <c r="BT741" i="7" s="1"/>
  <c r="CB750" i="7"/>
  <c r="CB751" i="7" s="1"/>
  <c r="CB752" i="7" s="1"/>
  <c r="CB753" i="7" s="1"/>
  <c r="AG447" i="7"/>
  <c r="AO447" i="7"/>
  <c r="AW447" i="7"/>
  <c r="BO447" i="7"/>
  <c r="BW447" i="7"/>
  <c r="BT467" i="7"/>
  <c r="AG467" i="7"/>
  <c r="R467" i="7"/>
  <c r="Z467" i="7"/>
  <c r="AP467" i="7"/>
  <c r="AP474" i="7"/>
  <c r="AP475" i="7" s="1"/>
  <c r="AX467" i="7"/>
  <c r="BF467" i="7"/>
  <c r="BN467" i="7"/>
  <c r="BN474" i="7" s="1"/>
  <c r="BN475" i="7" s="1"/>
  <c r="V506" i="7"/>
  <c r="AD506" i="7"/>
  <c r="AL506" i="7"/>
  <c r="AW506" i="7"/>
  <c r="AW530" i="7"/>
  <c r="AW540" i="7" s="1"/>
  <c r="AW541" i="7" s="1"/>
  <c r="Y530" i="7"/>
  <c r="AG530" i="7"/>
  <c r="AO530" i="7"/>
  <c r="BE530" i="7"/>
  <c r="BE540" i="7" s="1"/>
  <c r="BE541" i="7" s="1"/>
  <c r="BU530" i="7"/>
  <c r="AU643" i="7"/>
  <c r="BC643" i="7"/>
  <c r="BK643" i="7"/>
  <c r="BS643" i="7"/>
  <c r="CB670" i="7"/>
  <c r="AG705" i="7"/>
  <c r="AG724" i="7" s="1"/>
  <c r="AG725" i="7" s="1"/>
  <c r="AG754" i="7" s="1"/>
  <c r="BT705" i="7"/>
  <c r="AD717" i="7"/>
  <c r="BH717" i="7"/>
  <c r="Y467" i="7"/>
  <c r="AO467" i="7"/>
  <c r="AW467" i="7"/>
  <c r="BM467" i="7"/>
  <c r="BU467" i="7"/>
  <c r="BK483" i="7"/>
  <c r="BK484" i="7" s="1"/>
  <c r="BY530" i="7"/>
  <c r="R530" i="7"/>
  <c r="Z530" i="7"/>
  <c r="AP530" i="7"/>
  <c r="AX530" i="7"/>
  <c r="BF530" i="7"/>
  <c r="BF540" i="7" s="1"/>
  <c r="BF541" i="7" s="1"/>
  <c r="BF506" i="7"/>
  <c r="BN530" i="7"/>
  <c r="S629" i="7"/>
  <c r="AA629" i="7"/>
  <c r="AI629" i="7"/>
  <c r="BW629" i="7"/>
  <c r="W643" i="7"/>
  <c r="AE643" i="7"/>
  <c r="AM643" i="7"/>
  <c r="AI671" i="7"/>
  <c r="BO671" i="7"/>
  <c r="R705" i="7"/>
  <c r="AV705" i="7"/>
  <c r="BW705" i="7"/>
  <c r="BU506" i="7"/>
  <c r="S506" i="7"/>
  <c r="S540" i="7" s="1"/>
  <c r="S541" i="7" s="1"/>
  <c r="AA506" i="7"/>
  <c r="AI506" i="7"/>
  <c r="BG506" i="7"/>
  <c r="AQ506" i="7"/>
  <c r="AQ540" i="7" s="1"/>
  <c r="AQ541" i="7"/>
  <c r="BW506" i="7"/>
  <c r="BR530" i="7"/>
  <c r="BQ530" i="7"/>
  <c r="AN671" i="7"/>
  <c r="BU671" i="7"/>
  <c r="U705" i="7"/>
  <c r="U724" i="7" s="1"/>
  <c r="U725" i="7" s="1"/>
  <c r="U754" i="7" s="1"/>
  <c r="AY705" i="7"/>
  <c r="AY724" i="7"/>
  <c r="AY725" i="7" s="1"/>
  <c r="AY754" i="7" s="1"/>
  <c r="AA705" i="7"/>
  <c r="BE705" i="7"/>
  <c r="BE724" i="7" s="1"/>
  <c r="BE725" i="7" s="1"/>
  <c r="BE754" i="7" s="1"/>
  <c r="T530" i="7"/>
  <c r="AB530" i="7"/>
  <c r="AJ530" i="7"/>
  <c r="AR530" i="7"/>
  <c r="AZ530" i="7"/>
  <c r="BH530" i="7"/>
  <c r="AW629" i="7"/>
  <c r="BE629" i="7"/>
  <c r="BM629" i="7"/>
  <c r="BU629" i="7"/>
  <c r="Y643" i="7"/>
  <c r="AG643" i="7"/>
  <c r="AG671" i="7"/>
  <c r="AO643" i="7"/>
  <c r="AX643" i="7"/>
  <c r="BF643" i="7"/>
  <c r="BN643" i="7"/>
  <c r="BV643" i="7"/>
  <c r="AO671" i="7"/>
  <c r="AW671" i="7"/>
  <c r="BE671" i="7"/>
  <c r="BN671" i="7"/>
  <c r="BH705" i="7"/>
  <c r="CA86" i="7"/>
  <c r="BA391" i="7"/>
  <c r="BA392" i="7" s="1"/>
  <c r="Y114" i="7"/>
  <c r="Y115" i="7" s="1"/>
  <c r="Y116" i="7" s="1"/>
  <c r="AJ447" i="7"/>
  <c r="BR125" i="7"/>
  <c r="AB125" i="7"/>
  <c r="AJ125" i="7"/>
  <c r="AZ125" i="7"/>
  <c r="BH125" i="7"/>
  <c r="V181" i="7"/>
  <c r="BB181" i="7"/>
  <c r="BJ181" i="7"/>
  <c r="AD102" i="7"/>
  <c r="AD103" i="7" s="1"/>
  <c r="AD125" i="7" s="1"/>
  <c r="AL102" i="7"/>
  <c r="AL103" i="7" s="1"/>
  <c r="AL125" i="7" s="1"/>
  <c r="AT102" i="7"/>
  <c r="AT103" i="7" s="1"/>
  <c r="AT125" i="7" s="1"/>
  <c r="BB102" i="7"/>
  <c r="BB103" i="7"/>
  <c r="BB125" i="7" s="1"/>
  <c r="BJ102" i="7"/>
  <c r="BJ103" i="7"/>
  <c r="BJ125" i="7" s="1"/>
  <c r="BY125" i="7"/>
  <c r="BK102" i="7"/>
  <c r="BK103" i="7" s="1"/>
  <c r="BK125" i="7" s="1"/>
  <c r="Z181" i="7"/>
  <c r="BK63" i="7"/>
  <c r="BK64" i="7" s="1"/>
  <c r="BK65" i="7" s="1"/>
  <c r="BK66" i="7" s="1"/>
  <c r="BK77" i="7"/>
  <c r="BK78" i="7" s="1"/>
  <c r="BK79" i="7" s="1"/>
  <c r="BK80" i="7" s="1"/>
  <c r="V102" i="7"/>
  <c r="V103" i="7" s="1"/>
  <c r="V125" i="7" s="1"/>
  <c r="R125" i="7"/>
  <c r="BX65" i="7"/>
  <c r="BX66" i="7" s="1"/>
  <c r="AF125" i="7"/>
  <c r="AV125" i="7"/>
  <c r="BT125" i="7"/>
  <c r="U125" i="7"/>
  <c r="AP125" i="7"/>
  <c r="AK181" i="7"/>
  <c r="AK204" i="7" s="1"/>
  <c r="X114" i="7"/>
  <c r="X115" i="7" s="1"/>
  <c r="X116" i="7" s="1"/>
  <c r="X125" i="7" s="1"/>
  <c r="AO125" i="7"/>
  <c r="AW125" i="7"/>
  <c r="BE125" i="7"/>
  <c r="AS125" i="7"/>
  <c r="BN125" i="7"/>
  <c r="AO181" i="7"/>
  <c r="CA96" i="7"/>
  <c r="BL101" i="7"/>
  <c r="BQ125" i="7"/>
  <c r="AA143" i="7"/>
  <c r="X165" i="7"/>
  <c r="AF165" i="7"/>
  <c r="AF181" i="7"/>
  <c r="AN165" i="7"/>
  <c r="AV165" i="7"/>
  <c r="AV181" i="7" s="1"/>
  <c r="BD165" i="7"/>
  <c r="BD181" i="7"/>
  <c r="CB174" i="7"/>
  <c r="W180" i="7"/>
  <c r="W181" i="7" s="1"/>
  <c r="AE180" i="7"/>
  <c r="AE181" i="7" s="1"/>
  <c r="AE204" i="7" s="1"/>
  <c r="AM181" i="7"/>
  <c r="BC181" i="7"/>
  <c r="BB203" i="7"/>
  <c r="BP181" i="7"/>
  <c r="AP144" i="7"/>
  <c r="AX144" i="7"/>
  <c r="AX181" i="7" s="1"/>
  <c r="AX204" i="7" s="1"/>
  <c r="BF144" i="7"/>
  <c r="BF181" i="7"/>
  <c r="BN144" i="7"/>
  <c r="BN181" i="7" s="1"/>
  <c r="BV144" i="7"/>
  <c r="BO165" i="7"/>
  <c r="BW165" i="7"/>
  <c r="BW181" i="7" s="1"/>
  <c r="BK187" i="7"/>
  <c r="BK188" i="7"/>
  <c r="T203" i="7"/>
  <c r="AB203" i="7"/>
  <c r="AJ203" i="7"/>
  <c r="AR203" i="7"/>
  <c r="AZ203" i="7"/>
  <c r="BH203" i="7"/>
  <c r="BF203" i="7"/>
  <c r="Y235" i="7"/>
  <c r="Y236" i="7" s="1"/>
  <c r="AG235" i="7"/>
  <c r="AG236" i="7" s="1"/>
  <c r="BE235" i="7"/>
  <c r="BE236" i="7" s="1"/>
  <c r="BN235" i="7"/>
  <c r="BN236" i="7"/>
  <c r="BK153" i="7"/>
  <c r="BK165" i="7" s="1"/>
  <c r="AY165" i="7"/>
  <c r="BG165" i="7"/>
  <c r="R203" i="7"/>
  <c r="BJ203" i="7"/>
  <c r="BK223" i="7"/>
  <c r="AP235" i="7"/>
  <c r="AP236" i="7" s="1"/>
  <c r="AX235" i="7"/>
  <c r="AX236" i="7" s="1"/>
  <c r="AI181" i="7"/>
  <c r="AI204" i="7" s="1"/>
  <c r="V203" i="7"/>
  <c r="AP203" i="7"/>
  <c r="BN203" i="7"/>
  <c r="AM235" i="7"/>
  <c r="AM236" i="7" s="1"/>
  <c r="BS235" i="7"/>
  <c r="BS236" i="7" s="1"/>
  <c r="CB153" i="7"/>
  <c r="BR165" i="7"/>
  <c r="BR181" i="7" s="1"/>
  <c r="BK174" i="7"/>
  <c r="BK180" i="7" s="1"/>
  <c r="BK202" i="7"/>
  <c r="BT202" i="7"/>
  <c r="BT203" i="7" s="1"/>
  <c r="AT203" i="7"/>
  <c r="BQ234" i="7"/>
  <c r="BQ235" i="7" s="1"/>
  <c r="BQ236" i="7" s="1"/>
  <c r="BY234" i="7"/>
  <c r="BY235" i="7" s="1"/>
  <c r="BY236" i="7" s="1"/>
  <c r="BT235" i="7"/>
  <c r="BT236" i="7" s="1"/>
  <c r="BS165" i="7"/>
  <c r="BS181" i="7" s="1"/>
  <c r="BS204" i="7" s="1"/>
  <c r="X202" i="7"/>
  <c r="X203" i="7" s="1"/>
  <c r="AF202" i="7"/>
  <c r="AF203" i="7" s="1"/>
  <c r="AF204" i="7" s="1"/>
  <c r="AN202" i="7"/>
  <c r="AN203" i="7"/>
  <c r="AV202" i="7"/>
  <c r="AV203" i="7" s="1"/>
  <c r="BD202" i="7"/>
  <c r="BD203" i="7" s="1"/>
  <c r="BK228" i="7"/>
  <c r="BK233" i="7"/>
  <c r="CB254" i="7"/>
  <c r="X276" i="7"/>
  <c r="X277" i="7"/>
  <c r="X278" i="7" s="1"/>
  <c r="AF276" i="7"/>
  <c r="AN276" i="7"/>
  <c r="AN277" i="7" s="1"/>
  <c r="AN278" i="7" s="1"/>
  <c r="AV276" i="7"/>
  <c r="AV277" i="7" s="1"/>
  <c r="AV278" i="7"/>
  <c r="BD276" i="7"/>
  <c r="BD277" i="7" s="1"/>
  <c r="BD278" i="7" s="1"/>
  <c r="AF305" i="7"/>
  <c r="AF306" i="7" s="1"/>
  <c r="AF352" i="7" s="1"/>
  <c r="AN305" i="7"/>
  <c r="AN306" i="7"/>
  <c r="AN352" i="7" s="1"/>
  <c r="BO276" i="7"/>
  <c r="BO277" i="7"/>
  <c r="BO278" i="7" s="1"/>
  <c r="BW276" i="7"/>
  <c r="BK290" i="7"/>
  <c r="BK305" i="7"/>
  <c r="BK306" i="7" s="1"/>
  <c r="AI235" i="7"/>
  <c r="AI236" i="7" s="1"/>
  <c r="AQ235" i="7"/>
  <c r="AQ236" i="7"/>
  <c r="AY235" i="7"/>
  <c r="AY236" i="7" s="1"/>
  <c r="BG235" i="7"/>
  <c r="BG236" i="7" s="1"/>
  <c r="BP235" i="7"/>
  <c r="BP236" i="7" s="1"/>
  <c r="S276" i="7"/>
  <c r="S277" i="7"/>
  <c r="S278" i="7" s="1"/>
  <c r="AA276" i="7"/>
  <c r="AA277" i="7"/>
  <c r="AA278" i="7" s="1"/>
  <c r="AI276" i="7"/>
  <c r="AI277" i="7" s="1"/>
  <c r="AI278" i="7" s="1"/>
  <c r="AQ276" i="7"/>
  <c r="AQ277" i="7" s="1"/>
  <c r="AQ278" i="7" s="1"/>
  <c r="AY276" i="7"/>
  <c r="AY277" i="7" s="1"/>
  <c r="AY278" i="7" s="1"/>
  <c r="BG276" i="7"/>
  <c r="AG277" i="7"/>
  <c r="AG278" i="7"/>
  <c r="BK247" i="7"/>
  <c r="AD277" i="7"/>
  <c r="AD278" i="7" s="1"/>
  <c r="AT277" i="7"/>
  <c r="AT278" i="7" s="1"/>
  <c r="BE277" i="7"/>
  <c r="BE278" i="7"/>
  <c r="W276" i="7"/>
  <c r="AE276" i="7"/>
  <c r="AE277" i="7"/>
  <c r="AE278" i="7" s="1"/>
  <c r="AM276" i="7"/>
  <c r="AM277" i="7"/>
  <c r="AM278" i="7" s="1"/>
  <c r="AU276" i="7"/>
  <c r="AU277" i="7" s="1"/>
  <c r="AU278" i="7" s="1"/>
  <c r="BC276" i="7"/>
  <c r="BC277" i="7" s="1"/>
  <c r="BC278" i="7" s="1"/>
  <c r="BS276" i="7"/>
  <c r="BS277" i="7" s="1"/>
  <c r="BS278" i="7" s="1"/>
  <c r="X305" i="7"/>
  <c r="X306" i="7" s="1"/>
  <c r="X352" i="7" s="1"/>
  <c r="AV305" i="7"/>
  <c r="AV306" i="7" s="1"/>
  <c r="AV352" i="7" s="1"/>
  <c r="BD305" i="7"/>
  <c r="BD306" i="7" s="1"/>
  <c r="BD352" i="7" s="1"/>
  <c r="BK276" i="7"/>
  <c r="AO277" i="7"/>
  <c r="AO278" i="7" s="1"/>
  <c r="BH277" i="7"/>
  <c r="BH278" i="7"/>
  <c r="BK315" i="7"/>
  <c r="AJ338" i="7"/>
  <c r="AJ339" i="7" s="1"/>
  <c r="AJ352" i="7" s="1"/>
  <c r="Y368" i="7"/>
  <c r="Y369" i="7" s="1"/>
  <c r="AG368" i="7"/>
  <c r="AG369" i="7" s="1"/>
  <c r="AO368" i="7"/>
  <c r="AO369" i="7" s="1"/>
  <c r="AW368" i="7"/>
  <c r="AW369" i="7"/>
  <c r="BU368" i="7"/>
  <c r="BU369" i="7" s="1"/>
  <c r="T338" i="7"/>
  <c r="T339" i="7" s="1"/>
  <c r="AB338" i="7"/>
  <c r="AB339" i="7" s="1"/>
  <c r="AB352" i="7" s="1"/>
  <c r="AR338" i="7"/>
  <c r="AR339" i="7" s="1"/>
  <c r="AR352" i="7" s="1"/>
  <c r="AZ338" i="7"/>
  <c r="AZ339" i="7" s="1"/>
  <c r="AZ352" i="7" s="1"/>
  <c r="BH338" i="7"/>
  <c r="BH339" i="7" s="1"/>
  <c r="BH352" i="7" s="1"/>
  <c r="BP338" i="7"/>
  <c r="BP339" i="7" s="1"/>
  <c r="BP352" i="7" s="1"/>
  <c r="BX338" i="7"/>
  <c r="BX339" i="7" s="1"/>
  <c r="BX352" i="7" s="1"/>
  <c r="AW352" i="7"/>
  <c r="R305" i="7"/>
  <c r="R306" i="7" s="1"/>
  <c r="R352" i="7" s="1"/>
  <c r="Z305" i="7"/>
  <c r="Z306" i="7"/>
  <c r="AH305" i="7"/>
  <c r="AH306" i="7" s="1"/>
  <c r="AH352" i="7" s="1"/>
  <c r="AP305" i="7"/>
  <c r="AP306" i="7" s="1"/>
  <c r="AP352" i="7" s="1"/>
  <c r="AX305" i="7"/>
  <c r="AX306" i="7" s="1"/>
  <c r="AX352" i="7" s="1"/>
  <c r="BF305" i="7"/>
  <c r="BF306" i="7" s="1"/>
  <c r="BF352" i="7" s="1"/>
  <c r="BN305" i="7"/>
  <c r="BN306" i="7" s="1"/>
  <c r="BN352" i="7" s="1"/>
  <c r="BV305" i="7"/>
  <c r="BV306" i="7"/>
  <c r="BV352" i="7" s="1"/>
  <c r="BK331" i="7"/>
  <c r="V338" i="7"/>
  <c r="V339" i="7"/>
  <c r="V352" i="7" s="1"/>
  <c r="AD338" i="7"/>
  <c r="AD339" i="7" s="1"/>
  <c r="AD352" i="7" s="1"/>
  <c r="AL338" i="7"/>
  <c r="AL339" i="7" s="1"/>
  <c r="AL352" i="7" s="1"/>
  <c r="AT338" i="7"/>
  <c r="AT339" i="7" s="1"/>
  <c r="BB338" i="7"/>
  <c r="BB339" i="7" s="1"/>
  <c r="BB352" i="7" s="1"/>
  <c r="BJ338" i="7"/>
  <c r="BJ339" i="7" s="1"/>
  <c r="BR338" i="7"/>
  <c r="BR339" i="7" s="1"/>
  <c r="BR352" i="7" s="1"/>
  <c r="AB368" i="7"/>
  <c r="AB369" i="7" s="1"/>
  <c r="W338" i="7"/>
  <c r="W339" i="7" s="1"/>
  <c r="W352" i="7" s="1"/>
  <c r="AE338" i="7"/>
  <c r="AE339" i="7" s="1"/>
  <c r="AM338" i="7"/>
  <c r="AM339" i="7" s="1"/>
  <c r="AM352" i="7" s="1"/>
  <c r="AU338" i="7"/>
  <c r="AU339" i="7"/>
  <c r="BC338" i="7"/>
  <c r="BC339" i="7" s="1"/>
  <c r="BC352" i="7" s="1"/>
  <c r="BK337" i="7"/>
  <c r="BS338" i="7"/>
  <c r="BS339" i="7" s="1"/>
  <c r="BS352" i="7" s="1"/>
  <c r="AJ378" i="7"/>
  <c r="AJ392" i="7" s="1"/>
  <c r="U305" i="7"/>
  <c r="U306" i="7"/>
  <c r="U352" i="7" s="1"/>
  <c r="AC305" i="7"/>
  <c r="AC306" i="7" s="1"/>
  <c r="AC352" i="7" s="1"/>
  <c r="AK305" i="7"/>
  <c r="AK306" i="7" s="1"/>
  <c r="AK352" i="7" s="1"/>
  <c r="AS305" i="7"/>
  <c r="AS306" i="7" s="1"/>
  <c r="AS352" i="7" s="1"/>
  <c r="BA305" i="7"/>
  <c r="BA306" i="7" s="1"/>
  <c r="BA352" i="7" s="1"/>
  <c r="BI305" i="7"/>
  <c r="BI306" i="7" s="1"/>
  <c r="BQ305" i="7"/>
  <c r="BQ306" i="7" s="1"/>
  <c r="BY305" i="7"/>
  <c r="BY306" i="7" s="1"/>
  <c r="BY352" i="7" s="1"/>
  <c r="S338" i="7"/>
  <c r="S339" i="7" s="1"/>
  <c r="S352" i="7" s="1"/>
  <c r="AA338" i="7"/>
  <c r="AA339" i="7" s="1"/>
  <c r="AA352" i="7" s="1"/>
  <c r="AI338" i="7"/>
  <c r="AI339" i="7"/>
  <c r="AI352" i="7" s="1"/>
  <c r="AQ338" i="7"/>
  <c r="AQ339" i="7"/>
  <c r="AQ352" i="7" s="1"/>
  <c r="AY338" i="7"/>
  <c r="AY339" i="7" s="1"/>
  <c r="BG338" i="7"/>
  <c r="BG339" i="7" s="1"/>
  <c r="BU338" i="7"/>
  <c r="BU339" i="7" s="1"/>
  <c r="BU352" i="7" s="1"/>
  <c r="BT352" i="7"/>
  <c r="BO352" i="7"/>
  <c r="BK368" i="7"/>
  <c r="BK369" i="7" s="1"/>
  <c r="BK392" i="7"/>
  <c r="BS392" i="7"/>
  <c r="AR368" i="7"/>
  <c r="AR369" i="7" s="1"/>
  <c r="AZ368" i="7"/>
  <c r="AZ369" i="7" s="1"/>
  <c r="BH368" i="7"/>
  <c r="BH369" i="7"/>
  <c r="BP368" i="7"/>
  <c r="BP369" i="7" s="1"/>
  <c r="BX368" i="7"/>
  <c r="BX369" i="7" s="1"/>
  <c r="Z368" i="7"/>
  <c r="Z369" i="7" s="1"/>
  <c r="AP368" i="7"/>
  <c r="AP369" i="7"/>
  <c r="BF368" i="7"/>
  <c r="BF369" i="7" s="1"/>
  <c r="BV368" i="7"/>
  <c r="BV369" i="7" s="1"/>
  <c r="AE392" i="7"/>
  <c r="AE474" i="7" s="1"/>
  <c r="AE475" i="7" s="1"/>
  <c r="AM392" i="7"/>
  <c r="AU392" i="7"/>
  <c r="BK453" i="7"/>
  <c r="X474" i="7"/>
  <c r="X475" i="7" s="1"/>
  <c r="U368" i="7"/>
  <c r="U369" i="7"/>
  <c r="AC368" i="7"/>
  <c r="AC369" i="7" s="1"/>
  <c r="AK368" i="7"/>
  <c r="AK369" i="7" s="1"/>
  <c r="AS368" i="7"/>
  <c r="AS369" i="7" s="1"/>
  <c r="BA368" i="7"/>
  <c r="BA369" i="7"/>
  <c r="BI368" i="7"/>
  <c r="BI369" i="7" s="1"/>
  <c r="BQ368" i="7"/>
  <c r="BQ369" i="7" s="1"/>
  <c r="BY368" i="7"/>
  <c r="BY369" i="7" s="1"/>
  <c r="AG429" i="7"/>
  <c r="AO429" i="7"/>
  <c r="BE429" i="7"/>
  <c r="V368" i="7"/>
  <c r="V369" i="7" s="1"/>
  <c r="AD368" i="7"/>
  <c r="AD369" i="7" s="1"/>
  <c r="AL368" i="7"/>
  <c r="AL369" i="7"/>
  <c r="AT368" i="7"/>
  <c r="AT369" i="7" s="1"/>
  <c r="BB368" i="7"/>
  <c r="BB369" i="7" s="1"/>
  <c r="BJ368" i="7"/>
  <c r="BJ369" i="7" s="1"/>
  <c r="BR368" i="7"/>
  <c r="BR369" i="7"/>
  <c r="BK446" i="7"/>
  <c r="BX540" i="7"/>
  <c r="BX541" i="7" s="1"/>
  <c r="R368" i="7"/>
  <c r="R369" i="7"/>
  <c r="AH368" i="7"/>
  <c r="AH369" i="7" s="1"/>
  <c r="AX368" i="7"/>
  <c r="AX369" i="7" s="1"/>
  <c r="BN368" i="7"/>
  <c r="BN369" i="7" s="1"/>
  <c r="BK417" i="7"/>
  <c r="AF429" i="7"/>
  <c r="AF474" i="7" s="1"/>
  <c r="AF475" i="7" s="1"/>
  <c r="AN429" i="7"/>
  <c r="AV429" i="7"/>
  <c r="BD429" i="7"/>
  <c r="BT429" i="7"/>
  <c r="BK438" i="7"/>
  <c r="CA453" i="7"/>
  <c r="AA467" i="7"/>
  <c r="R506" i="7"/>
  <c r="R540" i="7"/>
  <c r="R541" i="7" s="1"/>
  <c r="Z506" i="7"/>
  <c r="AH506" i="7"/>
  <c r="AH540" i="7" s="1"/>
  <c r="AH541" i="7" s="1"/>
  <c r="U530" i="7"/>
  <c r="AK530" i="7"/>
  <c r="AK540" i="7"/>
  <c r="AK541" i="7" s="1"/>
  <c r="AS530" i="7"/>
  <c r="BA530" i="7"/>
  <c r="BI530" i="7"/>
  <c r="BR540" i="7"/>
  <c r="BR541" i="7" s="1"/>
  <c r="AY446" i="7"/>
  <c r="AY447" i="7"/>
  <c r="BQ447" i="7"/>
  <c r="BQ474" i="7" s="1"/>
  <c r="BQ475" i="7" s="1"/>
  <c r="BY447" i="7"/>
  <c r="BY474" i="7" s="1"/>
  <c r="BY475" i="7" s="1"/>
  <c r="BK501" i="7"/>
  <c r="BK506" i="7"/>
  <c r="AD540" i="7"/>
  <c r="AD541" i="7" s="1"/>
  <c r="AL540" i="7"/>
  <c r="AL541" i="7" s="1"/>
  <c r="BA447" i="7"/>
  <c r="BI447" i="7"/>
  <c r="AW474" i="7"/>
  <c r="AW475" i="7" s="1"/>
  <c r="BF474" i="7"/>
  <c r="BF475" i="7" s="1"/>
  <c r="T506" i="7"/>
  <c r="AB506" i="7"/>
  <c r="AB540" i="7" s="1"/>
  <c r="AB541" i="7" s="1"/>
  <c r="AJ506" i="7"/>
  <c r="AJ540" i="7" s="1"/>
  <c r="AJ541" i="7" s="1"/>
  <c r="AR506" i="7"/>
  <c r="AZ506" i="7"/>
  <c r="AZ540" i="7" s="1"/>
  <c r="AZ541" i="7" s="1"/>
  <c r="BH506" i="7"/>
  <c r="BE378" i="7"/>
  <c r="BE392" i="7" s="1"/>
  <c r="BE474" i="7" s="1"/>
  <c r="BE475" i="7" s="1"/>
  <c r="AI429" i="7"/>
  <c r="AQ429" i="7"/>
  <c r="AY429" i="7"/>
  <c r="BG429" i="7"/>
  <c r="BO429" i="7"/>
  <c r="BW429" i="7"/>
  <c r="U447" i="7"/>
  <c r="U474" i="7" s="1"/>
  <c r="U475" i="7" s="1"/>
  <c r="AC447" i="7"/>
  <c r="AS447" i="7"/>
  <c r="CA438" i="7"/>
  <c r="CB438" i="7"/>
  <c r="S467" i="7"/>
  <c r="S474" i="7" s="1"/>
  <c r="S475" i="7" s="1"/>
  <c r="AI467" i="7"/>
  <c r="AQ467" i="7"/>
  <c r="AY467" i="7"/>
  <c r="BG467" i="7"/>
  <c r="BO467" i="7"/>
  <c r="BW467" i="7"/>
  <c r="BX474" i="7"/>
  <c r="BX475" i="7"/>
  <c r="W506" i="7"/>
  <c r="AE506" i="7"/>
  <c r="AM506" i="7"/>
  <c r="AM530" i="7"/>
  <c r="AM540" i="7" s="1"/>
  <c r="AM541" i="7" s="1"/>
  <c r="AU506" i="7"/>
  <c r="BC506" i="7"/>
  <c r="BS506" i="7"/>
  <c r="V429" i="7"/>
  <c r="V474" i="7" s="1"/>
  <c r="V475" i="7" s="1"/>
  <c r="AD429" i="7"/>
  <c r="AL429" i="7"/>
  <c r="AT429" i="7"/>
  <c r="BB429" i="7"/>
  <c r="BJ429" i="7"/>
  <c r="BJ474" i="7" s="1"/>
  <c r="BJ475" i="7" s="1"/>
  <c r="BR429" i="7"/>
  <c r="BR474" i="7"/>
  <c r="BR475" i="7" s="1"/>
  <c r="BK538" i="7"/>
  <c r="BK539" i="7"/>
  <c r="Y540" i="7"/>
  <c r="Y541" i="7" s="1"/>
  <c r="AG540" i="7"/>
  <c r="AG541" i="7" s="1"/>
  <c r="AA540" i="7"/>
  <c r="AA541" i="7" s="1"/>
  <c r="AI540" i="7"/>
  <c r="AI541" i="7"/>
  <c r="AY540" i="7"/>
  <c r="AY541" i="7" s="1"/>
  <c r="BG540" i="7"/>
  <c r="BG541" i="7" s="1"/>
  <c r="BK512" i="7"/>
  <c r="BK517" i="7"/>
  <c r="X530" i="7"/>
  <c r="X540" i="7" s="1"/>
  <c r="X541" i="7" s="1"/>
  <c r="AF530" i="7"/>
  <c r="AF540" i="7" s="1"/>
  <c r="AF541" i="7" s="1"/>
  <c r="AN530" i="7"/>
  <c r="AV530" i="7"/>
  <c r="BD530" i="7"/>
  <c r="BD540" i="7"/>
  <c r="BD541" i="7" s="1"/>
  <c r="BT530" i="7"/>
  <c r="U538" i="7"/>
  <c r="U539" i="7" s="1"/>
  <c r="U540" i="7" s="1"/>
  <c r="U541" i="7" s="1"/>
  <c r="AP506" i="7"/>
  <c r="AP540" i="7" s="1"/>
  <c r="AP541" i="7" s="1"/>
  <c r="AX506" i="7"/>
  <c r="AX540" i="7" s="1"/>
  <c r="AX541" i="7" s="1"/>
  <c r="BN506" i="7"/>
  <c r="BN540" i="7" s="1"/>
  <c r="BN541" i="7" s="1"/>
  <c r="BV506" i="7"/>
  <c r="BV540" i="7" s="1"/>
  <c r="BV541" i="7" s="1"/>
  <c r="W530" i="7"/>
  <c r="AE530" i="7"/>
  <c r="AU530" i="7"/>
  <c r="AU540" i="7"/>
  <c r="AU541" i="7" s="1"/>
  <c r="BC530" i="7"/>
  <c r="BS530" i="7"/>
  <c r="BS540" i="7" s="1"/>
  <c r="BS541" i="7" s="1"/>
  <c r="T540" i="7"/>
  <c r="T541" i="7" s="1"/>
  <c r="AS506" i="7"/>
  <c r="BA506" i="7"/>
  <c r="BI506" i="7"/>
  <c r="BQ506" i="7"/>
  <c r="BY506" i="7"/>
  <c r="BY540" i="7"/>
  <c r="BY541" i="7" s="1"/>
  <c r="BU540" i="7"/>
  <c r="BU541" i="7" s="1"/>
  <c r="X629" i="7"/>
  <c r="X680" i="7"/>
  <c r="X681" i="7" s="1"/>
  <c r="AF629" i="7"/>
  <c r="AT643" i="7"/>
  <c r="BB643" i="7"/>
  <c r="BJ643" i="7"/>
  <c r="BR643" i="7"/>
  <c r="AV671" i="7"/>
  <c r="BV680" i="7"/>
  <c r="BV681" i="7" s="1"/>
  <c r="AA680" i="7"/>
  <c r="AA681" i="7" s="1"/>
  <c r="W629" i="7"/>
  <c r="W680" i="7" s="1"/>
  <c r="W681" i="7" s="1"/>
  <c r="AE629" i="7"/>
  <c r="BC629" i="7"/>
  <c r="BK629" i="7"/>
  <c r="BS629" i="7"/>
  <c r="AR629" i="7"/>
  <c r="AZ629" i="7"/>
  <c r="BH629" i="7"/>
  <c r="BP629" i="7"/>
  <c r="BX629" i="7"/>
  <c r="V643" i="7"/>
  <c r="AD643" i="7"/>
  <c r="AL643" i="7"/>
  <c r="Z680" i="7"/>
  <c r="Z681" i="7"/>
  <c r="BF680" i="7"/>
  <c r="BF681" i="7" s="1"/>
  <c r="AS629" i="7"/>
  <c r="BA629" i="7"/>
  <c r="BI629" i="7"/>
  <c r="BQ629" i="7"/>
  <c r="AS638" i="7"/>
  <c r="AS643" i="7" s="1"/>
  <c r="AS680" i="7" s="1"/>
  <c r="AS681" i="7" s="1"/>
  <c r="V671" i="7"/>
  <c r="AD671" i="7"/>
  <c r="AL671" i="7"/>
  <c r="AT671" i="7"/>
  <c r="BB671" i="7"/>
  <c r="BJ671" i="7"/>
  <c r="AY680" i="7"/>
  <c r="AY681" i="7" s="1"/>
  <c r="CA586" i="7"/>
  <c r="BB629" i="7"/>
  <c r="BJ629" i="7"/>
  <c r="BR629" i="7"/>
  <c r="BR680" i="7" s="1"/>
  <c r="BR681" i="7" s="1"/>
  <c r="BE643" i="7"/>
  <c r="BM643" i="7"/>
  <c r="BU643" i="7"/>
  <c r="BU680" i="7" s="1"/>
  <c r="BU681" i="7" s="1"/>
  <c r="BW671" i="7"/>
  <c r="BW680" i="7"/>
  <c r="BW681" i="7" s="1"/>
  <c r="T629" i="7"/>
  <c r="AB629" i="7"/>
  <c r="AJ629" i="7"/>
  <c r="AP650" i="7"/>
  <c r="AP671" i="7" s="1"/>
  <c r="AP680" i="7" s="1"/>
  <c r="AP681" i="7" s="1"/>
  <c r="U629" i="7"/>
  <c r="U680" i="7" s="1"/>
  <c r="U681" i="7" s="1"/>
  <c r="AC629" i="7"/>
  <c r="AK629" i="7"/>
  <c r="AV629" i="7"/>
  <c r="BD629" i="7"/>
  <c r="BL629" i="7"/>
  <c r="BT629" i="7"/>
  <c r="V629" i="7"/>
  <c r="AD629" i="7"/>
  <c r="AL629" i="7"/>
  <c r="BN704" i="7"/>
  <c r="R680" i="7"/>
  <c r="R681" i="7" s="1"/>
  <c r="AH680" i="7"/>
  <c r="AH681" i="7" s="1"/>
  <c r="BK705" i="7"/>
  <c r="T671" i="7"/>
  <c r="AB671" i="7"/>
  <c r="AB680" i="7" s="1"/>
  <c r="AB681" i="7" s="1"/>
  <c r="AJ671" i="7"/>
  <c r="AZ671" i="7"/>
  <c r="BH671" i="7"/>
  <c r="BP671" i="7"/>
  <c r="BX671" i="7"/>
  <c r="AS724" i="7"/>
  <c r="AS725" i="7" s="1"/>
  <c r="AS754" i="7" s="1"/>
  <c r="U671" i="7"/>
  <c r="AC671" i="7"/>
  <c r="AK671" i="7"/>
  <c r="AS671" i="7"/>
  <c r="BA671" i="7"/>
  <c r="BI671" i="7"/>
  <c r="BQ671" i="7"/>
  <c r="AD724" i="7"/>
  <c r="AD725" i="7" s="1"/>
  <c r="AD754" i="7" s="1"/>
  <c r="R717" i="7"/>
  <c r="R724" i="7"/>
  <c r="R725" i="7" s="1"/>
  <c r="R754" i="7" s="1"/>
  <c r="AV717" i="7"/>
  <c r="BT717" i="7"/>
  <c r="CA678" i="7"/>
  <c r="CA679" i="7" s="1"/>
  <c r="X724" i="7"/>
  <c r="X725" i="7" s="1"/>
  <c r="AE671" i="7"/>
  <c r="AM671" i="7"/>
  <c r="AU671" i="7"/>
  <c r="BC671" i="7"/>
  <c r="BS671" i="7"/>
  <c r="BS680" i="7" s="1"/>
  <c r="BS681" i="7" s="1"/>
  <c r="AA724" i="7"/>
  <c r="AA725" i="7" s="1"/>
  <c r="AA754" i="7" s="1"/>
  <c r="BD671" i="7"/>
  <c r="BD680" i="7" s="1"/>
  <c r="BD681" i="7" s="1"/>
  <c r="BT671" i="7"/>
  <c r="CB625" i="7"/>
  <c r="BW712" i="7"/>
  <c r="BW717" i="7"/>
  <c r="BW724" i="7" s="1"/>
  <c r="BW725" i="7" s="1"/>
  <c r="D136" i="8"/>
  <c r="K16" i="6"/>
  <c r="O14" i="6"/>
  <c r="J14" i="6"/>
  <c r="H14" i="6"/>
  <c r="M14" i="6"/>
  <c r="N14" i="6" s="1"/>
  <c r="F14" i="6"/>
  <c r="E16" i="6"/>
  <c r="E21" i="6"/>
  <c r="AT474" i="7"/>
  <c r="AT475" i="7" s="1"/>
  <c r="BG277" i="7"/>
  <c r="BG278" i="7" s="1"/>
  <c r="AF277" i="7"/>
  <c r="AF278" i="7" s="1"/>
  <c r="AQ181" i="7"/>
  <c r="BH181" i="7"/>
  <c r="V680" i="7"/>
  <c r="V681" i="7" s="1"/>
  <c r="AN540" i="7"/>
  <c r="AN541" i="7" s="1"/>
  <c r="BR204" i="7"/>
  <c r="AN181" i="7"/>
  <c r="BH474" i="7"/>
  <c r="BH475" i="7" s="1"/>
  <c r="BJ277" i="7"/>
  <c r="BJ278" i="7" s="1"/>
  <c r="X235" i="7"/>
  <c r="X236" i="7" s="1"/>
  <c r="BW474" i="7"/>
  <c r="BW475" i="7" s="1"/>
  <c r="X181" i="7"/>
  <c r="X204" i="7"/>
  <c r="Y181" i="7"/>
  <c r="Y204" i="7"/>
  <c r="BB724" i="7"/>
  <c r="BB725" i="7"/>
  <c r="BB754" i="7" s="1"/>
  <c r="BA181" i="7"/>
  <c r="BA204" i="7" s="1"/>
  <c r="AW277" i="7"/>
  <c r="AW278" i="7" s="1"/>
  <c r="AT540" i="7"/>
  <c r="AT541" i="7" s="1"/>
  <c r="AH204" i="7"/>
  <c r="AO540" i="7"/>
  <c r="AO541" i="7"/>
  <c r="BR235" i="7"/>
  <c r="BR236" i="7"/>
  <c r="AR181" i="7"/>
  <c r="BT181" i="7"/>
  <c r="AD181" i="7"/>
  <c r="AD204" i="7"/>
  <c r="BI680" i="7"/>
  <c r="BI681" i="7"/>
  <c r="BT540" i="7"/>
  <c r="BT541" i="7"/>
  <c r="BG181" i="7"/>
  <c r="BG204" i="7"/>
  <c r="BC235" i="7"/>
  <c r="BC236" i="7"/>
  <c r="W235" i="7"/>
  <c r="W236" i="7" s="1"/>
  <c r="BA235" i="7"/>
  <c r="BA236" i="7" s="1"/>
  <c r="AZ680" i="7"/>
  <c r="AZ681" i="7" s="1"/>
  <c r="AN474" i="7"/>
  <c r="AN475" i="7"/>
  <c r="Z352" i="7"/>
  <c r="AO204" i="7"/>
  <c r="R277" i="7"/>
  <c r="R278" i="7" s="1"/>
  <c r="BI181" i="7"/>
  <c r="BU277" i="7"/>
  <c r="BU278" i="7" s="1"/>
  <c r="BQ204" i="7"/>
  <c r="W204" i="7"/>
  <c r="BT277" i="7"/>
  <c r="BT278" i="7" s="1"/>
  <c r="BY277" i="7"/>
  <c r="BY278" i="7" s="1"/>
  <c r="AS235" i="7"/>
  <c r="AS236" i="7" s="1"/>
  <c r="AJ680" i="7"/>
  <c r="AJ681" i="7" s="1"/>
  <c r="AP181" i="7"/>
  <c r="AA144" i="7"/>
  <c r="AA181" i="7" s="1"/>
  <c r="AA204" i="7" s="1"/>
  <c r="AA474" i="7"/>
  <c r="AA475" i="7" s="1"/>
  <c r="AI680" i="7"/>
  <c r="AI681" i="7"/>
  <c r="Z540" i="7"/>
  <c r="Z541" i="7" s="1"/>
  <c r="AO474" i="7"/>
  <c r="AO475" i="7" s="1"/>
  <c r="AC540" i="7"/>
  <c r="AC541" i="7" s="1"/>
  <c r="AB474" i="7"/>
  <c r="AB475" i="7" s="1"/>
  <c r="BO235" i="7"/>
  <c r="BO236" i="7" s="1"/>
  <c r="AS181" i="7"/>
  <c r="AS204" i="7" s="1"/>
  <c r="BP204" i="7"/>
  <c r="AL277" i="7"/>
  <c r="AL278" i="7" s="1"/>
  <c r="AW181" i="7"/>
  <c r="AW204" i="7" s="1"/>
  <c r="BD235" i="7"/>
  <c r="BD236" i="7" s="1"/>
  <c r="AR540" i="7"/>
  <c r="AR541" i="7" s="1"/>
  <c r="BW204" i="7"/>
  <c r="BI474" i="7"/>
  <c r="BI475" i="7" s="1"/>
  <c r="AF680" i="7"/>
  <c r="AF681" i="7" s="1"/>
  <c r="Y680" i="7"/>
  <c r="Y681" i="7" s="1"/>
  <c r="AQ474" i="7"/>
  <c r="AQ475" i="7" s="1"/>
  <c r="AQ204" i="7"/>
  <c r="R235" i="7"/>
  <c r="R236" i="7" s="1"/>
  <c r="AV724" i="7"/>
  <c r="AV725" i="7" s="1"/>
  <c r="AV754" i="7" s="1"/>
  <c r="AY181" i="7"/>
  <c r="AY204" i="7"/>
  <c r="BO181" i="7"/>
  <c r="BC204" i="7"/>
  <c r="BH540" i="7"/>
  <c r="BH541" i="7"/>
  <c r="U181" i="7"/>
  <c r="BB474" i="7"/>
  <c r="BB475" i="7" s="1"/>
  <c r="AC474" i="7"/>
  <c r="AC475" i="7" s="1"/>
  <c r="BJ204" i="7"/>
  <c r="BV181" i="7"/>
  <c r="BV204" i="7" s="1"/>
  <c r="AH277" i="7"/>
  <c r="AH278" i="7" s="1"/>
  <c r="Z235" i="7"/>
  <c r="Z236" i="7" s="1"/>
  <c r="BJ680" i="7"/>
  <c r="BJ681" i="7" s="1"/>
  <c r="BB680" i="7"/>
  <c r="BB681" i="7" s="1"/>
  <c r="AD474" i="7"/>
  <c r="AD475" i="7" s="1"/>
  <c r="V204" i="7"/>
  <c r="BI277" i="7"/>
  <c r="BI278" i="7"/>
  <c r="T277" i="7"/>
  <c r="T278" i="7"/>
  <c r="AC235" i="7"/>
  <c r="AC236" i="7"/>
  <c r="AU204" i="7"/>
  <c r="S680" i="7"/>
  <c r="S681" i="7" s="1"/>
  <c r="BH235" i="7"/>
  <c r="BH236" i="7" s="1"/>
  <c r="BA540" i="7"/>
  <c r="BA541" i="7" s="1"/>
  <c r="AV540" i="7"/>
  <c r="AV541" i="7" s="1"/>
  <c r="AM204" i="7"/>
  <c r="AG181" i="7"/>
  <c r="AG204" i="7"/>
  <c r="BA680" i="7"/>
  <c r="BA681" i="7"/>
  <c r="BO204" i="7"/>
  <c r="AX474" i="7"/>
  <c r="AX475" i="7" s="1"/>
  <c r="BE680" i="7"/>
  <c r="BE681" i="7" s="1"/>
  <c r="AV474" i="7"/>
  <c r="AV475" i="7" s="1"/>
  <c r="BO680" i="7"/>
  <c r="BO681" i="7" s="1"/>
  <c r="Z474" i="7"/>
  <c r="Z475" i="7" s="1"/>
  <c r="BP474" i="7"/>
  <c r="BP475" i="7" s="1"/>
  <c r="Y474" i="7"/>
  <c r="Y475" i="7" s="1"/>
  <c r="BK261" i="7"/>
  <c r="BH724" i="7"/>
  <c r="BH725" i="7" s="1"/>
  <c r="BH754" i="7" s="1"/>
  <c r="BN680" i="7"/>
  <c r="BN681" i="7" s="1"/>
  <c r="R474" i="7"/>
  <c r="R475" i="7" s="1"/>
  <c r="AG474" i="7"/>
  <c r="AG475" i="7" s="1"/>
  <c r="BK680" i="7"/>
  <c r="BK681" i="7" s="1"/>
  <c r="BS474" i="7"/>
  <c r="BS475" i="7" s="1"/>
  <c r="AB235" i="7"/>
  <c r="AB236" i="7" s="1"/>
  <c r="AC680" i="7"/>
  <c r="AC681" i="7" s="1"/>
  <c r="BH680" i="7"/>
  <c r="BH681" i="7" s="1"/>
  <c r="AS540" i="7"/>
  <c r="AS541" i="7" s="1"/>
  <c r="BK203" i="7"/>
  <c r="U204" i="7"/>
  <c r="AD680" i="7"/>
  <c r="AD681" i="7" s="1"/>
  <c r="BC540" i="7"/>
  <c r="BC541" i="7" s="1"/>
  <c r="R204" i="7"/>
  <c r="BN277" i="7"/>
  <c r="BN278" i="7"/>
  <c r="AZ235" i="7"/>
  <c r="AZ236" i="7"/>
  <c r="AL680" i="7"/>
  <c r="AL681" i="7"/>
  <c r="BQ680" i="7"/>
  <c r="BQ681" i="7"/>
  <c r="AI474" i="7"/>
  <c r="AI475" i="7" s="1"/>
  <c r="W277" i="7"/>
  <c r="W278" i="7" s="1"/>
  <c r="BF277" i="7"/>
  <c r="BF278" i="7"/>
  <c r="AR235" i="7"/>
  <c r="AR236" i="7" s="1"/>
  <c r="AE680" i="7"/>
  <c r="AE681" i="7" s="1"/>
  <c r="AX277" i="7"/>
  <c r="AX278" i="7" s="1"/>
  <c r="AJ235" i="7"/>
  <c r="AJ236" i="7" s="1"/>
  <c r="AK680" i="7"/>
  <c r="AK681" i="7" s="1"/>
  <c r="AE540" i="7"/>
  <c r="AE541" i="7" s="1"/>
  <c r="BO474" i="7"/>
  <c r="BO475" i="7" s="1"/>
  <c r="BT474" i="7"/>
  <c r="BT475" i="7" s="1"/>
  <c r="BT680" i="7"/>
  <c r="BT681" i="7" s="1"/>
  <c r="BX680" i="7"/>
  <c r="BX681" i="7" s="1"/>
  <c r="BN705" i="7"/>
  <c r="AP204" i="7"/>
  <c r="AR204" i="7"/>
  <c r="Z277" i="7"/>
  <c r="Z278" i="7" s="1"/>
  <c r="T235" i="7"/>
  <c r="T236" i="7" s="1"/>
  <c r="BP680" i="7"/>
  <c r="BP681" i="7" s="1"/>
  <c r="BQ540" i="7"/>
  <c r="BQ541" i="7" s="1"/>
  <c r="AY474" i="7"/>
  <c r="AY475" i="7" s="1"/>
  <c r="BW277" i="7"/>
  <c r="BW278" i="7" s="1"/>
  <c r="BK234" i="7"/>
  <c r="BK235" i="7" s="1"/>
  <c r="BK236" i="7" s="1"/>
  <c r="AV680" i="7"/>
  <c r="AV681" i="7" s="1"/>
  <c r="U235" i="7"/>
  <c r="U236" i="7" s="1"/>
  <c r="BC680" i="7"/>
  <c r="BC681" i="7" s="1"/>
  <c r="BI540" i="7"/>
  <c r="BI541" i="7" s="1"/>
  <c r="BK447" i="7"/>
  <c r="BK338" i="7"/>
  <c r="BK339" i="7" s="1"/>
  <c r="BH204" i="7"/>
  <c r="AZ204" i="7"/>
  <c r="BK277" i="7"/>
  <c r="BK278" i="7" s="1"/>
  <c r="BF204" i="7"/>
  <c r="BD204" i="7"/>
  <c r="BY204" i="7"/>
  <c r="BX204" i="7"/>
  <c r="AN204" i="7"/>
  <c r="BK530" i="7" l="1"/>
  <c r="BK540" i="7" s="1"/>
  <c r="BK541" i="7" s="1"/>
  <c r="BT204" i="7"/>
  <c r="Z204" i="7"/>
  <c r="T680" i="7"/>
  <c r="T681" i="7" s="1"/>
  <c r="AV204" i="7"/>
  <c r="BB204" i="7"/>
  <c r="BB682" i="7" s="1"/>
  <c r="BB755" i="7" s="1"/>
  <c r="BW540" i="7"/>
  <c r="BW541" i="7" s="1"/>
  <c r="BU474" i="7"/>
  <c r="BU475" i="7" s="1"/>
  <c r="BG680" i="7"/>
  <c r="BG681" i="7" s="1"/>
  <c r="BQ352" i="7"/>
  <c r="BQ682" i="7" s="1"/>
  <c r="AZ65" i="7"/>
  <c r="AZ66" i="7" s="1"/>
  <c r="Y35" i="7"/>
  <c r="Y65" i="7" s="1"/>
  <c r="Y66" i="7" s="1"/>
  <c r="AN35" i="7"/>
  <c r="AN65" i="7" s="1"/>
  <c r="AN66" i="7" s="1"/>
  <c r="AA65" i="7"/>
  <c r="AA66" i="7" s="1"/>
  <c r="BH65" i="7"/>
  <c r="BH66" i="7" s="1"/>
  <c r="BT65" i="7"/>
  <c r="BT66" i="7" s="1"/>
  <c r="BO65" i="7"/>
  <c r="BO66" i="7" s="1"/>
  <c r="Y352" i="7"/>
  <c r="BW352" i="7"/>
  <c r="BI204" i="7"/>
  <c r="AV65" i="7"/>
  <c r="AV66" i="7" s="1"/>
  <c r="BG65" i="7"/>
  <c r="BG66" i="7" s="1"/>
  <c r="BY65" i="7"/>
  <c r="BY66" i="7" s="1"/>
  <c r="BN204" i="7"/>
  <c r="AG680" i="7"/>
  <c r="AG681" i="7" s="1"/>
  <c r="I20" i="6"/>
  <c r="K20" i="6"/>
  <c r="K21" i="6" s="1"/>
  <c r="BO540" i="7"/>
  <c r="BO541" i="7" s="1"/>
  <c r="AE352" i="7"/>
  <c r="BE204" i="7"/>
  <c r="AT235" i="7"/>
  <c r="AT236" i="7" s="1"/>
  <c r="AL181" i="7"/>
  <c r="AL204" i="7" s="1"/>
  <c r="AP65" i="7"/>
  <c r="AP66" i="7" s="1"/>
  <c r="AP682" i="7" s="1"/>
  <c r="AP755" i="7" s="1"/>
  <c r="Z65" i="7"/>
  <c r="Z66" i="7" s="1"/>
  <c r="T181" i="7"/>
  <c r="T204" i="7" s="1"/>
  <c r="T474" i="7"/>
  <c r="T475" i="7" s="1"/>
  <c r="S35" i="7"/>
  <c r="S65" i="7" s="1"/>
  <c r="S66" i="7" s="1"/>
  <c r="AD65" i="7"/>
  <c r="AD66" i="7" s="1"/>
  <c r="AD682" i="7" s="1"/>
  <c r="AD755" i="7" s="1"/>
  <c r="AQ65" i="7"/>
  <c r="AQ66" i="7" s="1"/>
  <c r="BJ65" i="7"/>
  <c r="BJ66" i="7" s="1"/>
  <c r="BQ65" i="7"/>
  <c r="BQ66" i="7" s="1"/>
  <c r="W474" i="7"/>
  <c r="W475" i="7" s="1"/>
  <c r="AU352" i="7"/>
  <c r="AT352" i="7"/>
  <c r="T65" i="7"/>
  <c r="T66" i="7" s="1"/>
  <c r="AI35" i="7"/>
  <c r="BL35" i="7"/>
  <c r="BP65" i="7"/>
  <c r="BP66" i="7" s="1"/>
  <c r="BZ295" i="7"/>
  <c r="D64" i="8"/>
  <c r="D82" i="8"/>
  <c r="BZ428" i="7"/>
  <c r="D85" i="8"/>
  <c r="BZ483" i="7"/>
  <c r="BZ484" i="7" s="1"/>
  <c r="D95" i="8"/>
  <c r="BZ521" i="7"/>
  <c r="D104" i="8"/>
  <c r="BZ622" i="7"/>
  <c r="D123" i="8"/>
  <c r="D20" i="8"/>
  <c r="BZ201" i="7"/>
  <c r="D45" i="8"/>
  <c r="BZ460" i="7"/>
  <c r="BK461" i="7"/>
  <c r="BK467" i="7" s="1"/>
  <c r="BK474" i="7" s="1"/>
  <c r="BK475" i="7" s="1"/>
  <c r="BK682" i="7" s="1"/>
  <c r="BK755" i="7" s="1"/>
  <c r="BZ391" i="7"/>
  <c r="D81" i="8"/>
  <c r="BZ650" i="7"/>
  <c r="D127" i="8"/>
  <c r="BZ143" i="7"/>
  <c r="D38" i="8"/>
  <c r="BZ420" i="7"/>
  <c r="D84" i="8" s="1"/>
  <c r="BK424" i="7"/>
  <c r="BK429" i="7" s="1"/>
  <c r="BZ164" i="7"/>
  <c r="D41" i="8"/>
  <c r="AK35" i="7"/>
  <c r="AK65" i="7" s="1"/>
  <c r="AK66" i="7" s="1"/>
  <c r="AO65" i="7"/>
  <c r="AO66" i="7" s="1"/>
  <c r="AW65" i="7"/>
  <c r="AW66" i="7" s="1"/>
  <c r="BN65" i="7"/>
  <c r="BN66" i="7" s="1"/>
  <c r="BI65" i="7"/>
  <c r="BI66" i="7" s="1"/>
  <c r="BM338" i="7"/>
  <c r="BM339" i="7" s="1"/>
  <c r="AU447" i="7"/>
  <c r="AU474" i="7" s="1"/>
  <c r="AU475" i="7" s="1"/>
  <c r="AU102" i="7"/>
  <c r="AU103" i="7" s="1"/>
  <c r="AU125" i="7" s="1"/>
  <c r="AJ165" i="7"/>
  <c r="AJ181" i="7" s="1"/>
  <c r="AJ204" i="7" s="1"/>
  <c r="BL202" i="7"/>
  <c r="BM234" i="7"/>
  <c r="CB315" i="7"/>
  <c r="BE368" i="7"/>
  <c r="BE369" i="7" s="1"/>
  <c r="BE682" i="7" s="1"/>
  <c r="BE755" i="7" s="1"/>
  <c r="AK392" i="7"/>
  <c r="AS392" i="7"/>
  <c r="AS474" i="7" s="1"/>
  <c r="AS475" i="7" s="1"/>
  <c r="AS682" i="7" s="1"/>
  <c r="AS755" i="7" s="1"/>
  <c r="AZ447" i="7"/>
  <c r="AR671" i="7"/>
  <c r="CB660" i="7"/>
  <c r="BW739" i="7"/>
  <c r="BW740" i="7" s="1"/>
  <c r="BW741" i="7" s="1"/>
  <c r="BW754" i="7" s="1"/>
  <c r="D53" i="8"/>
  <c r="D66" i="8"/>
  <c r="BZ466" i="7"/>
  <c r="D91" i="8"/>
  <c r="BZ489" i="7"/>
  <c r="D96" i="8"/>
  <c r="BZ501" i="7"/>
  <c r="D98" i="8"/>
  <c r="BZ567" i="7"/>
  <c r="D112" i="8"/>
  <c r="BZ604" i="7"/>
  <c r="BZ179" i="7"/>
  <c r="D43" i="8"/>
  <c r="CA495" i="7"/>
  <c r="CA622" i="7"/>
  <c r="BZ505" i="7"/>
  <c r="D99" i="8"/>
  <c r="BZ30" i="7"/>
  <c r="D13" i="8"/>
  <c r="CB404" i="7"/>
  <c r="AM447" i="7"/>
  <c r="AM474" i="7" s="1"/>
  <c r="AM475" i="7" s="1"/>
  <c r="CA466" i="7"/>
  <c r="BJ506" i="7"/>
  <c r="BJ540" i="7" s="1"/>
  <c r="BJ541" i="7" s="1"/>
  <c r="AQ671" i="7"/>
  <c r="D12" i="8"/>
  <c r="BZ324" i="7"/>
  <c r="D26" i="8"/>
  <c r="D39" i="8"/>
  <c r="BZ424" i="7"/>
  <c r="BZ716" i="7"/>
  <c r="BZ213" i="7"/>
  <c r="D63" i="8"/>
  <c r="BZ304" i="7"/>
  <c r="BZ315" i="7"/>
  <c r="D122" i="8"/>
  <c r="BZ63" i="7"/>
  <c r="BZ64" i="7" s="1"/>
  <c r="D144" i="8"/>
  <c r="D143" i="8" s="1"/>
  <c r="C20" i="6"/>
  <c r="D49" i="8"/>
  <c r="BZ233" i="7"/>
  <c r="BZ387" i="7"/>
  <c r="D83" i="8"/>
  <c r="BZ628" i="7"/>
  <c r="D24" i="8"/>
  <c r="D37" i="8"/>
  <c r="D11" i="8"/>
  <c r="D56" i="8"/>
  <c r="BZ267" i="7"/>
  <c r="BZ331" i="7"/>
  <c r="D70" i="8"/>
  <c r="BZ375" i="7"/>
  <c r="BZ586" i="7"/>
  <c r="D125" i="8"/>
  <c r="BZ660" i="7"/>
  <c r="BZ670" i="7"/>
  <c r="D23" i="8"/>
  <c r="BZ108" i="7"/>
  <c r="BZ197" i="7"/>
  <c r="L14" i="6"/>
  <c r="K23" i="6"/>
  <c r="E23" i="6"/>
  <c r="U682" i="7"/>
  <c r="U755" i="7" s="1"/>
  <c r="BH682" i="7"/>
  <c r="BH755" i="7" s="1"/>
  <c r="BN682" i="7"/>
  <c r="BP682" i="7"/>
  <c r="BP755" i="7" s="1"/>
  <c r="BJ352" i="7"/>
  <c r="T352" i="7"/>
  <c r="BI352" i="7"/>
  <c r="AV682" i="7"/>
  <c r="AV755" i="7" s="1"/>
  <c r="R682" i="7"/>
  <c r="R755" i="7" s="1"/>
  <c r="BG352" i="7"/>
  <c r="BT682" i="7"/>
  <c r="X682" i="7"/>
  <c r="BJ682" i="7"/>
  <c r="BJ755" i="7" s="1"/>
  <c r="AY352" i="7"/>
  <c r="BO682" i="7"/>
  <c r="BO755" i="7" s="1"/>
  <c r="BK352" i="7"/>
  <c r="BF682" i="7"/>
  <c r="BF755" i="7" s="1"/>
  <c r="BT724" i="7"/>
  <c r="BT725" i="7" s="1"/>
  <c r="BT754" i="7" s="1"/>
  <c r="BT755" i="7" s="1"/>
  <c r="BG474" i="7"/>
  <c r="BG475" i="7" s="1"/>
  <c r="BG682" i="7" s="1"/>
  <c r="BG755" i="7" s="1"/>
  <c r="AC204" i="7"/>
  <c r="AC682" i="7" s="1"/>
  <c r="AC755" i="7" s="1"/>
  <c r="BV474" i="7"/>
  <c r="BV475" i="7" s="1"/>
  <c r="AM65" i="7"/>
  <c r="AM66" i="7" s="1"/>
  <c r="AG65" i="7"/>
  <c r="AG66" i="7" s="1"/>
  <c r="AG682" i="7" s="1"/>
  <c r="AG755" i="7" s="1"/>
  <c r="AY65" i="7"/>
  <c r="AY66" i="7" s="1"/>
  <c r="T682" i="7"/>
  <c r="T755" i="7" s="1"/>
  <c r="AA682" i="7"/>
  <c r="AA755" i="7" s="1"/>
  <c r="BS682" i="7"/>
  <c r="BS755" i="7" s="1"/>
  <c r="S682" i="7"/>
  <c r="S755" i="7" s="1"/>
  <c r="AT181" i="7"/>
  <c r="AT204" i="7" s="1"/>
  <c r="AE65" i="7"/>
  <c r="AE66" i="7" s="1"/>
  <c r="AI65" i="7"/>
  <c r="AI66" i="7" s="1"/>
  <c r="BW65" i="7"/>
  <c r="BW66" i="7" s="1"/>
  <c r="BW682" i="7" s="1"/>
  <c r="BX682" i="7"/>
  <c r="BX755" i="7" s="1"/>
  <c r="BK181" i="7"/>
  <c r="BK204" i="7" s="1"/>
  <c r="BK724" i="7"/>
  <c r="BK725" i="7" s="1"/>
  <c r="BK754" i="7" s="1"/>
  <c r="BC65" i="7"/>
  <c r="BC66" i="7" s="1"/>
  <c r="AL474" i="7"/>
  <c r="AL475" i="7" s="1"/>
  <c r="AL682" i="7" s="1"/>
  <c r="AL755" i="7" s="1"/>
  <c r="BR277" i="7"/>
  <c r="BR278" i="7" s="1"/>
  <c r="BR682" i="7" s="1"/>
  <c r="BR755" i="7" s="1"/>
  <c r="CB35" i="7"/>
  <c r="AE682" i="7"/>
  <c r="AE755" i="7" s="1"/>
  <c r="CB77" i="7"/>
  <c r="CB78" i="7" s="1"/>
  <c r="CB79" i="7" s="1"/>
  <c r="CB80" i="7" s="1"/>
  <c r="I5" i="6" s="1"/>
  <c r="Y102" i="7"/>
  <c r="Y103" i="7" s="1"/>
  <c r="BI125" i="7"/>
  <c r="BI682" i="7" s="1"/>
  <c r="BI755" i="7" s="1"/>
  <c r="BL223" i="7"/>
  <c r="BD392" i="7"/>
  <c r="BD474" i="7" s="1"/>
  <c r="BD475" i="7" s="1"/>
  <c r="BD682" i="7" s="1"/>
  <c r="BD755" i="7" s="1"/>
  <c r="BU102" i="7"/>
  <c r="BU103" i="7" s="1"/>
  <c r="BU125" i="7" s="1"/>
  <c r="BU682" i="7" s="1"/>
  <c r="BU755" i="7" s="1"/>
  <c r="BM144" i="7"/>
  <c r="BL180" i="7"/>
  <c r="BM202" i="7"/>
  <c r="CB295" i="7"/>
  <c r="CA337" i="7"/>
  <c r="AF682" i="7"/>
  <c r="AF755" i="7" s="1"/>
  <c r="AH102" i="7"/>
  <c r="AH103" i="7" s="1"/>
  <c r="AH125" i="7" s="1"/>
  <c r="AH682" i="7" s="1"/>
  <c r="AH755" i="7" s="1"/>
  <c r="BV102" i="7"/>
  <c r="BV103" i="7" s="1"/>
  <c r="BV125" i="7" s="1"/>
  <c r="BV682" i="7" s="1"/>
  <c r="BV755" i="7" s="1"/>
  <c r="CB114" i="7"/>
  <c r="CB115" i="7" s="1"/>
  <c r="CB116" i="7" s="1"/>
  <c r="BM165" i="7"/>
  <c r="BM235" i="7"/>
  <c r="BM236" i="7" s="1"/>
  <c r="BL234" i="7"/>
  <c r="BL305" i="7"/>
  <c r="BL306" i="7" s="1"/>
  <c r="AJ429" i="7"/>
  <c r="AJ474" i="7" s="1"/>
  <c r="AJ475" i="7" s="1"/>
  <c r="AJ682" i="7" s="1"/>
  <c r="AJ755" i="7" s="1"/>
  <c r="CA404" i="7"/>
  <c r="BM429" i="7"/>
  <c r="CA446" i="7"/>
  <c r="CA447" i="7" s="1"/>
  <c r="BL467" i="7"/>
  <c r="AK447" i="7"/>
  <c r="BL447" i="7"/>
  <c r="CA483" i="7"/>
  <c r="CA484" i="7" s="1"/>
  <c r="CA512" i="7"/>
  <c r="V540" i="7"/>
  <c r="V541" i="7" s="1"/>
  <c r="V682" i="7" s="1"/>
  <c r="V755" i="7" s="1"/>
  <c r="BC392" i="7"/>
  <c r="BC474" i="7" s="1"/>
  <c r="BC475" i="7" s="1"/>
  <c r="BC682" i="7" s="1"/>
  <c r="BC755" i="7" s="1"/>
  <c r="AZ467" i="7"/>
  <c r="CB495" i="7"/>
  <c r="CA501" i="7"/>
  <c r="CB512" i="7"/>
  <c r="CA517" i="7"/>
  <c r="W540" i="7"/>
  <c r="W541" i="7" s="1"/>
  <c r="W682" i="7" s="1"/>
  <c r="W755" i="7" s="1"/>
  <c r="AM629" i="7"/>
  <c r="AM680" i="7" s="1"/>
  <c r="AM681" i="7" s="1"/>
  <c r="AM682" i="7" s="1"/>
  <c r="AM755" i="7" s="1"/>
  <c r="AW643" i="7"/>
  <c r="BY643" i="7"/>
  <c r="CA704" i="7"/>
  <c r="D138" i="8"/>
  <c r="BZ271" i="7"/>
  <c r="D60" i="8"/>
  <c r="BZ290" i="7"/>
  <c r="BZ349" i="7"/>
  <c r="BZ350" i="7" s="1"/>
  <c r="BZ351" i="7" s="1"/>
  <c r="BZ438" i="7"/>
  <c r="BZ446" i="7"/>
  <c r="D87" i="8"/>
  <c r="BZ512" i="7"/>
  <c r="D107" i="8"/>
  <c r="BZ538" i="7"/>
  <c r="BZ539" i="7" s="1"/>
  <c r="BZ580" i="7"/>
  <c r="D114" i="8"/>
  <c r="BZ594" i="7"/>
  <c r="BZ77" i="7"/>
  <c r="BZ78" i="7" s="1"/>
  <c r="BZ79" i="7" s="1"/>
  <c r="BZ80" i="7" s="1"/>
  <c r="C5" i="6" s="1"/>
  <c r="D27" i="8"/>
  <c r="BZ101" i="7"/>
  <c r="AR680" i="7"/>
  <c r="AR681" i="7" s="1"/>
  <c r="AR682" i="7" s="1"/>
  <c r="AR755" i="7" s="1"/>
  <c r="BZ247" i="7"/>
  <c r="D55" i="8"/>
  <c r="BZ254" i="7"/>
  <c r="D57" i="8"/>
  <c r="BZ276" i="7"/>
  <c r="D121" i="8"/>
  <c r="BZ610" i="7"/>
  <c r="D40" i="8"/>
  <c r="BZ159" i="7"/>
  <c r="BZ20" i="7"/>
  <c r="BZ21" i="7" s="1"/>
  <c r="BZ22" i="7" s="1"/>
  <c r="BZ23" i="7" s="1"/>
  <c r="C3" i="6" s="1"/>
  <c r="D7" i="8"/>
  <c r="D6" i="8" s="1"/>
  <c r="CB678" i="7"/>
  <c r="CB679" i="7" s="1"/>
  <c r="D67" i="8"/>
  <c r="BZ214" i="7"/>
  <c r="BZ222" i="7"/>
  <c r="D51" i="8"/>
  <c r="BZ366" i="7"/>
  <c r="BZ367" i="7" s="1"/>
  <c r="BZ368" i="7" s="1"/>
  <c r="BZ369" i="7" s="1"/>
  <c r="C11" i="6" s="1"/>
  <c r="D75" i="8"/>
  <c r="D74" i="8" s="1"/>
  <c r="BZ417" i="7"/>
  <c r="BZ429" i="7" s="1"/>
  <c r="D117" i="8"/>
  <c r="BZ617" i="7"/>
  <c r="BZ678" i="7"/>
  <c r="BZ679" i="7" s="1"/>
  <c r="D133" i="8"/>
  <c r="CA567" i="7"/>
  <c r="CB617" i="7"/>
  <c r="AQ680" i="7"/>
  <c r="AQ681" i="7" s="1"/>
  <c r="AQ682" i="7" s="1"/>
  <c r="AQ755" i="7" s="1"/>
  <c r="BL671" i="7"/>
  <c r="BN724" i="7"/>
  <c r="BN725" i="7" s="1"/>
  <c r="BN754" i="7" s="1"/>
  <c r="BN755" i="7" s="1"/>
  <c r="X754" i="7"/>
  <c r="X755" i="7" s="1"/>
  <c r="BZ704" i="7"/>
  <c r="D137" i="8"/>
  <c r="D52" i="8"/>
  <c r="BZ228" i="7"/>
  <c r="BZ234" i="7" s="1"/>
  <c r="BZ305" i="7"/>
  <c r="BZ306" i="7" s="1"/>
  <c r="BZ337" i="7"/>
  <c r="BZ338" i="7" s="1"/>
  <c r="BZ339" i="7" s="1"/>
  <c r="D69" i="8"/>
  <c r="BZ378" i="7"/>
  <c r="BZ392" i="7" s="1"/>
  <c r="D79" i="8"/>
  <c r="D86" i="8"/>
  <c r="BZ495" i="7"/>
  <c r="BZ506" i="7" s="1"/>
  <c r="D97" i="8"/>
  <c r="BZ517" i="7"/>
  <c r="D105" i="8"/>
  <c r="BZ525" i="7"/>
  <c r="D111" i="8"/>
  <c r="BZ560" i="7"/>
  <c r="BZ561" i="7" s="1"/>
  <c r="BZ671" i="7"/>
  <c r="BZ35" i="7"/>
  <c r="BZ65" i="7" s="1"/>
  <c r="BZ66" i="7" s="1"/>
  <c r="C4" i="6" s="1"/>
  <c r="D22" i="8"/>
  <c r="BZ114" i="7"/>
  <c r="BZ115" i="7" s="1"/>
  <c r="BZ116" i="7" s="1"/>
  <c r="D28" i="8"/>
  <c r="D25" i="8" s="1"/>
  <c r="BZ174" i="7"/>
  <c r="BZ180" i="7" s="1"/>
  <c r="D42" i="8"/>
  <c r="D126" i="8"/>
  <c r="BZ688" i="7"/>
  <c r="BZ153" i="7"/>
  <c r="BZ165" i="7" s="1"/>
  <c r="BZ89" i="7"/>
  <c r="BZ102" i="7" s="1"/>
  <c r="BZ103" i="7" s="1"/>
  <c r="BZ136" i="7"/>
  <c r="BZ144" i="7" s="1"/>
  <c r="CB738" i="7"/>
  <c r="CB739" i="7" s="1"/>
  <c r="CB740" i="7" s="1"/>
  <c r="CB741" i="7" s="1"/>
  <c r="I19" i="6" s="1"/>
  <c r="BZ738" i="7"/>
  <c r="BZ739" i="7" s="1"/>
  <c r="BZ740" i="7" s="1"/>
  <c r="BZ741" i="7" s="1"/>
  <c r="CA738" i="7"/>
  <c r="CA739" i="7" s="1"/>
  <c r="CA740" i="7" s="1"/>
  <c r="CA741" i="7" s="1"/>
  <c r="G19" i="6" s="1"/>
  <c r="CB267" i="7"/>
  <c r="BL276" i="7"/>
  <c r="CA254" i="7"/>
  <c r="BM261" i="7"/>
  <c r="BM277" i="7" s="1"/>
  <c r="BM278" i="7" s="1"/>
  <c r="CB247" i="7"/>
  <c r="CB261" i="7" s="1"/>
  <c r="CA247" i="7"/>
  <c r="AW680" i="7"/>
  <c r="AW681" i="7" s="1"/>
  <c r="AW682" i="7" s="1"/>
  <c r="AW755" i="7" s="1"/>
  <c r="BZ638" i="7"/>
  <c r="BZ643" i="7" s="1"/>
  <c r="AU629" i="7"/>
  <c r="AU680" i="7" s="1"/>
  <c r="AU681" i="7" s="1"/>
  <c r="AU682" i="7" s="1"/>
  <c r="AU755" i="7" s="1"/>
  <c r="BY680" i="7"/>
  <c r="BY681" i="7" s="1"/>
  <c r="BY682" i="7" s="1"/>
  <c r="BY755" i="7" s="1"/>
  <c r="CB643" i="7"/>
  <c r="CA643" i="7"/>
  <c r="CB628" i="7"/>
  <c r="CA617" i="7"/>
  <c r="CB610" i="7"/>
  <c r="CB604" i="7"/>
  <c r="CA604" i="7"/>
  <c r="CB594" i="7"/>
  <c r="AT629" i="7"/>
  <c r="AT680" i="7" s="1"/>
  <c r="AT681" i="7" s="1"/>
  <c r="AT682" i="7" s="1"/>
  <c r="AT755" i="7" s="1"/>
  <c r="CA580" i="7"/>
  <c r="CB574" i="7"/>
  <c r="CA574" i="7"/>
  <c r="CB567" i="7"/>
  <c r="CA560" i="7"/>
  <c r="CA561" i="7" s="1"/>
  <c r="Z125" i="7"/>
  <c r="Z682" i="7" s="1"/>
  <c r="Z755" i="7" s="1"/>
  <c r="BM102" i="7"/>
  <c r="BM103" i="7" s="1"/>
  <c r="BM125" i="7" s="1"/>
  <c r="CA89" i="7"/>
  <c r="BL102" i="7"/>
  <c r="BL103" i="7" s="1"/>
  <c r="BL125" i="7" s="1"/>
  <c r="CB89" i="7"/>
  <c r="CA349" i="7"/>
  <c r="CA350" i="7" s="1"/>
  <c r="CA351" i="7" s="1"/>
  <c r="CB349" i="7"/>
  <c r="CB350" i="7" s="1"/>
  <c r="CB351" i="7" s="1"/>
  <c r="CA331" i="7"/>
  <c r="CA324" i="7"/>
  <c r="BL338" i="7"/>
  <c r="BL339" i="7" s="1"/>
  <c r="BL352" i="7" s="1"/>
  <c r="CB324" i="7"/>
  <c r="CB338" i="7" s="1"/>
  <c r="CB339" i="7" s="1"/>
  <c r="CA315" i="7"/>
  <c r="CA338" i="7" s="1"/>
  <c r="CA339" i="7" s="1"/>
  <c r="CA304" i="7"/>
  <c r="BM305" i="7"/>
  <c r="BM306" i="7" s="1"/>
  <c r="BM352" i="7" s="1"/>
  <c r="CB290" i="7"/>
  <c r="CA290" i="7"/>
  <c r="BZ574" i="7"/>
  <c r="BZ629" i="7" s="1"/>
  <c r="BZ680" i="7" s="1"/>
  <c r="BZ681" i="7" s="1"/>
  <c r="C15" i="6" s="1"/>
  <c r="D113" i="8"/>
  <c r="AK474" i="7"/>
  <c r="AK475" i="7" s="1"/>
  <c r="AK682" i="7" s="1"/>
  <c r="AK755" i="7" s="1"/>
  <c r="CB447" i="7"/>
  <c r="CB417" i="7"/>
  <c r="CB429" i="7" s="1"/>
  <c r="CA417" i="7"/>
  <c r="CA429" i="7" s="1"/>
  <c r="BL429" i="7"/>
  <c r="BL474" i="7" s="1"/>
  <c r="BL475" i="7" s="1"/>
  <c r="CA378" i="7"/>
  <c r="CA392" i="7" s="1"/>
  <c r="CB378" i="7"/>
  <c r="CB92" i="7"/>
  <c r="CB101" i="7" s="1"/>
  <c r="CB538" i="7"/>
  <c r="CB539" i="7" s="1"/>
  <c r="CA538" i="7"/>
  <c r="CA539" i="7" s="1"/>
  <c r="BM530" i="7"/>
  <c r="BM506" i="7"/>
  <c r="BL506" i="7"/>
  <c r="Y125" i="7"/>
  <c r="Y682" i="7" s="1"/>
  <c r="Y755" i="7" s="1"/>
  <c r="CA92" i="7"/>
  <c r="CA101" i="7" s="1"/>
  <c r="CA102" i="7" s="1"/>
  <c r="CA103" i="7" s="1"/>
  <c r="CA197" i="7"/>
  <c r="CA202" i="7" s="1"/>
  <c r="CA203" i="7" s="1"/>
  <c r="CB197" i="7"/>
  <c r="CB202" i="7" s="1"/>
  <c r="CB203" i="7" s="1"/>
  <c r="CA179" i="7"/>
  <c r="CA174" i="7"/>
  <c r="CB180" i="7"/>
  <c r="CB159" i="7"/>
  <c r="CB165" i="7" s="1"/>
  <c r="CA153" i="7"/>
  <c r="CA165" i="7" s="1"/>
  <c r="D36" i="8"/>
  <c r="BL165" i="7"/>
  <c r="BL181" i="7" s="1"/>
  <c r="CB143" i="7"/>
  <c r="CB144" i="7" s="1"/>
  <c r="CA143" i="7"/>
  <c r="CA144" i="7" s="1"/>
  <c r="AB144" i="7"/>
  <c r="AB181" i="7" s="1"/>
  <c r="AB204" i="7" s="1"/>
  <c r="AB682" i="7" s="1"/>
  <c r="AB755" i="7" s="1"/>
  <c r="BL235" i="7"/>
  <c r="BL236" i="7" s="1"/>
  <c r="CA214" i="7"/>
  <c r="CA223" i="7" s="1"/>
  <c r="CB214" i="7"/>
  <c r="CB223" i="7" s="1"/>
  <c r="CA594" i="7"/>
  <c r="BM671" i="7"/>
  <c r="BM680" i="7" s="1"/>
  <c r="BM681" i="7" s="1"/>
  <c r="CB671" i="7"/>
  <c r="BL680" i="7"/>
  <c r="BL681" i="7" s="1"/>
  <c r="AX680" i="7"/>
  <c r="AX681" i="7" s="1"/>
  <c r="AX682" i="7" s="1"/>
  <c r="AX755" i="7" s="1"/>
  <c r="CA610" i="7"/>
  <c r="CA628" i="7"/>
  <c r="AO629" i="7"/>
  <c r="AO680" i="7" s="1"/>
  <c r="AO681" i="7" s="1"/>
  <c r="AO682" i="7" s="1"/>
  <c r="AO755" i="7" s="1"/>
  <c r="CA530" i="7"/>
  <c r="CB530" i="7"/>
  <c r="BL530" i="7"/>
  <c r="CA506" i="7"/>
  <c r="CB506" i="7"/>
  <c r="BM474" i="7"/>
  <c r="BM475" i="7" s="1"/>
  <c r="CB467" i="7"/>
  <c r="CA467" i="7"/>
  <c r="BA474" i="7"/>
  <c r="BA475" i="7" s="1"/>
  <c r="BA682" i="7" s="1"/>
  <c r="BA755" i="7" s="1"/>
  <c r="AZ392" i="7"/>
  <c r="AZ474" i="7" s="1"/>
  <c r="AZ475" i="7" s="1"/>
  <c r="AZ682" i="7" s="1"/>
  <c r="AZ755" i="7" s="1"/>
  <c r="CB305" i="7"/>
  <c r="CB306" i="7" s="1"/>
  <c r="CA276" i="7"/>
  <c r="CB276" i="7"/>
  <c r="CB277" i="7" s="1"/>
  <c r="CB278" i="7" s="1"/>
  <c r="I9" i="6" s="1"/>
  <c r="BL261" i="7"/>
  <c r="BL277" i="7" s="1"/>
  <c r="BL278" i="7" s="1"/>
  <c r="CA234" i="7"/>
  <c r="CB234" i="7"/>
  <c r="BL203" i="7"/>
  <c r="BM203" i="7"/>
  <c r="BM181" i="7"/>
  <c r="BM368" i="7"/>
  <c r="BM369" i="7" s="1"/>
  <c r="CA360" i="7"/>
  <c r="CA361" i="7" s="1"/>
  <c r="CA368" i="7" s="1"/>
  <c r="CA369" i="7" s="1"/>
  <c r="G11" i="6" s="1"/>
  <c r="CB368" i="7"/>
  <c r="CB369" i="7" s="1"/>
  <c r="I11" i="6" s="1"/>
  <c r="BL368" i="7"/>
  <c r="BL369" i="7" s="1"/>
  <c r="CA77" i="7"/>
  <c r="CA78" i="7" s="1"/>
  <c r="CA79" i="7" s="1"/>
  <c r="CA80" i="7" s="1"/>
  <c r="G5" i="6" s="1"/>
  <c r="CA114" i="7"/>
  <c r="CA115" i="7" s="1"/>
  <c r="CA116" i="7" s="1"/>
  <c r="BZ712" i="7"/>
  <c r="BZ717" i="7" s="1"/>
  <c r="CB712" i="7"/>
  <c r="CB717" i="7" s="1"/>
  <c r="CA712" i="7"/>
  <c r="CA717" i="7" s="1"/>
  <c r="CB704" i="7"/>
  <c r="CB705" i="7" s="1"/>
  <c r="BQ724" i="7"/>
  <c r="BQ725" i="7" s="1"/>
  <c r="BQ754" i="7" s="1"/>
  <c r="CA690" i="7"/>
  <c r="CA705" i="7" s="1"/>
  <c r="AI89" i="7"/>
  <c r="AI102" i="7" s="1"/>
  <c r="AI103" i="7" s="1"/>
  <c r="AI125" i="7" s="1"/>
  <c r="AI682" i="7" s="1"/>
  <c r="AI755" i="7" s="1"/>
  <c r="AN628" i="7"/>
  <c r="AN629" i="7" s="1"/>
  <c r="AN680" i="7" s="1"/>
  <c r="AN681" i="7" s="1"/>
  <c r="AN682" i="7" s="1"/>
  <c r="AN755" i="7" s="1"/>
  <c r="CA648" i="7"/>
  <c r="CA650" i="7" s="1"/>
  <c r="CA671" i="7" s="1"/>
  <c r="CA257" i="7"/>
  <c r="CA260" i="7" s="1"/>
  <c r="CB390" i="7"/>
  <c r="CB391" i="7" s="1"/>
  <c r="CB20" i="7"/>
  <c r="CB21" i="7" s="1"/>
  <c r="CB22" i="7" s="1"/>
  <c r="CB23" i="7" s="1"/>
  <c r="I3" i="6" s="1"/>
  <c r="J3" i="6" s="1"/>
  <c r="CA20" i="7"/>
  <c r="CA21" i="7" s="1"/>
  <c r="CA22" i="7" s="1"/>
  <c r="CA23" i="7" s="1"/>
  <c r="G3" i="6" s="1"/>
  <c r="BM35" i="7"/>
  <c r="CA35" i="7"/>
  <c r="CA63" i="7"/>
  <c r="CA64" i="7" s="1"/>
  <c r="CB63" i="7"/>
  <c r="CB64" i="7" s="1"/>
  <c r="CB65" i="7" s="1"/>
  <c r="CB66" i="7" s="1"/>
  <c r="I4" i="6" s="1"/>
  <c r="BM65" i="7"/>
  <c r="BM66" i="7" s="1"/>
  <c r="BL65" i="7"/>
  <c r="BL66" i="7" s="1"/>
  <c r="L5" i="6" l="1"/>
  <c r="H5" i="6"/>
  <c r="O5" i="6"/>
  <c r="M15" i="6"/>
  <c r="N15" i="6" s="1"/>
  <c r="F15" i="6"/>
  <c r="J5" i="6"/>
  <c r="M5" i="6"/>
  <c r="N5" i="6" s="1"/>
  <c r="F5" i="6"/>
  <c r="BW755" i="7"/>
  <c r="H20" i="6"/>
  <c r="O20" i="6"/>
  <c r="F20" i="6"/>
  <c r="M20" i="6"/>
  <c r="N20" i="6" s="1"/>
  <c r="BZ461" i="7"/>
  <c r="BZ467" i="7" s="1"/>
  <c r="D90" i="8"/>
  <c r="H3" i="6"/>
  <c r="L3" i="6"/>
  <c r="O3" i="6"/>
  <c r="BQ755" i="7"/>
  <c r="J11" i="6"/>
  <c r="H19" i="6"/>
  <c r="BZ125" i="7"/>
  <c r="C6" i="6" s="1"/>
  <c r="M11" i="6"/>
  <c r="N11" i="6" s="1"/>
  <c r="F11" i="6"/>
  <c r="M3" i="6"/>
  <c r="F3" i="6"/>
  <c r="BZ261" i="7"/>
  <c r="L11" i="6"/>
  <c r="H11" i="6"/>
  <c r="O11" i="6"/>
  <c r="D142" i="8"/>
  <c r="D141" i="8" s="1"/>
  <c r="C19" i="6"/>
  <c r="BZ181" i="7"/>
  <c r="BZ204" i="7" s="1"/>
  <c r="C7" i="6" s="1"/>
  <c r="F4" i="6"/>
  <c r="M4" i="6"/>
  <c r="N4" i="6" s="1"/>
  <c r="BZ530" i="7"/>
  <c r="AY682" i="7"/>
  <c r="AY755" i="7" s="1"/>
  <c r="BZ202" i="7"/>
  <c r="BZ203" i="7" s="1"/>
  <c r="D47" i="8"/>
  <c r="D110" i="8"/>
  <c r="D62" i="8"/>
  <c r="D135" i="8"/>
  <c r="D134" i="8" s="1"/>
  <c r="BZ690" i="7"/>
  <c r="BZ540" i="7"/>
  <c r="BZ541" i="7" s="1"/>
  <c r="C13" i="6" s="1"/>
  <c r="BZ352" i="7"/>
  <c r="C10" i="6" s="1"/>
  <c r="CA65" i="7"/>
  <c r="CA66" i="7" s="1"/>
  <c r="G4" i="6" s="1"/>
  <c r="CA180" i="7"/>
  <c r="CA181" i="7" s="1"/>
  <c r="CA204" i="7" s="1"/>
  <c r="G7" i="6" s="1"/>
  <c r="CB102" i="7"/>
  <c r="CB103" i="7" s="1"/>
  <c r="CB125" i="7" s="1"/>
  <c r="I6" i="6" s="1"/>
  <c r="D54" i="8"/>
  <c r="BZ447" i="7"/>
  <c r="D94" i="8"/>
  <c r="D78" i="8"/>
  <c r="BZ705" i="7"/>
  <c r="BZ724" i="7" s="1"/>
  <c r="BZ725" i="7" s="1"/>
  <c r="BZ223" i="7"/>
  <c r="BZ235" i="7" s="1"/>
  <c r="BZ236" i="7" s="1"/>
  <c r="C8" i="6" s="1"/>
  <c r="BZ277" i="7"/>
  <c r="BZ278" i="7" s="1"/>
  <c r="C9" i="6" s="1"/>
  <c r="CA261" i="7"/>
  <c r="CA277" i="7" s="1"/>
  <c r="CA278" i="7" s="1"/>
  <c r="G9" i="6" s="1"/>
  <c r="J9" i="6" s="1"/>
  <c r="CB629" i="7"/>
  <c r="CB680" i="7" s="1"/>
  <c r="CB681" i="7" s="1"/>
  <c r="I15" i="6" s="1"/>
  <c r="CA629" i="7"/>
  <c r="CA680" i="7" s="1"/>
  <c r="CA681" i="7" s="1"/>
  <c r="G15" i="6" s="1"/>
  <c r="CB352" i="7"/>
  <c r="I10" i="6" s="1"/>
  <c r="CA305" i="7"/>
  <c r="CA306" i="7" s="1"/>
  <c r="CA352" i="7" s="1"/>
  <c r="G10" i="6" s="1"/>
  <c r="CB392" i="7"/>
  <c r="CB474" i="7" s="1"/>
  <c r="CB475" i="7" s="1"/>
  <c r="I12" i="6" s="1"/>
  <c r="BM540" i="7"/>
  <c r="BM541" i="7" s="1"/>
  <c r="CB540" i="7"/>
  <c r="CB541" i="7" s="1"/>
  <c r="I13" i="6" s="1"/>
  <c r="J13" i="6" s="1"/>
  <c r="BL540" i="7"/>
  <c r="BL541" i="7" s="1"/>
  <c r="BM204" i="7"/>
  <c r="BM682" i="7" s="1"/>
  <c r="BM755" i="7" s="1"/>
  <c r="BL204" i="7"/>
  <c r="CB181" i="7"/>
  <c r="CB204" i="7" s="1"/>
  <c r="I7" i="6" s="1"/>
  <c r="I16" i="6" s="1"/>
  <c r="CA235" i="7"/>
  <c r="CA236" i="7" s="1"/>
  <c r="G8" i="6" s="1"/>
  <c r="CA540" i="7"/>
  <c r="CA541" i="7" s="1"/>
  <c r="G13" i="6" s="1"/>
  <c r="CA474" i="7"/>
  <c r="CA475" i="7" s="1"/>
  <c r="G12" i="6" s="1"/>
  <c r="L12" i="6" s="1"/>
  <c r="CB235" i="7"/>
  <c r="CB236" i="7" s="1"/>
  <c r="I8" i="6" s="1"/>
  <c r="CA125" i="7"/>
  <c r="G6" i="6" s="1"/>
  <c r="CA724" i="7"/>
  <c r="CA725" i="7" s="1"/>
  <c r="CB724" i="7"/>
  <c r="CB725" i="7" s="1"/>
  <c r="J12" i="6"/>
  <c r="BZ754" i="7" l="1"/>
  <c r="C18" i="6"/>
  <c r="L8" i="6"/>
  <c r="O8" i="6"/>
  <c r="H8" i="6"/>
  <c r="F10" i="6"/>
  <c r="M10" i="6"/>
  <c r="N10" i="6" s="1"/>
  <c r="J8" i="6"/>
  <c r="F13" i="6"/>
  <c r="M13" i="6"/>
  <c r="N13" i="6" s="1"/>
  <c r="F19" i="6"/>
  <c r="M19" i="6"/>
  <c r="N19" i="6" s="1"/>
  <c r="N3" i="6"/>
  <c r="O19" i="6"/>
  <c r="CB754" i="7"/>
  <c r="I18" i="6"/>
  <c r="I21" i="6" s="1"/>
  <c r="J7" i="6"/>
  <c r="M9" i="6"/>
  <c r="N9" i="6" s="1"/>
  <c r="F9" i="6"/>
  <c r="CA754" i="7"/>
  <c r="G18" i="6"/>
  <c r="O13" i="6"/>
  <c r="H13" i="6"/>
  <c r="L13" i="6"/>
  <c r="J15" i="6"/>
  <c r="M8" i="6"/>
  <c r="N8" i="6" s="1"/>
  <c r="F8" i="6"/>
  <c r="BZ474" i="7"/>
  <c r="BZ475" i="7" s="1"/>
  <c r="C12" i="6" s="1"/>
  <c r="H4" i="6"/>
  <c r="L4" i="6"/>
  <c r="O4" i="6"/>
  <c r="M7" i="6"/>
  <c r="N7" i="6" s="1"/>
  <c r="F7" i="6"/>
  <c r="F6" i="6"/>
  <c r="M6" i="6"/>
  <c r="N6" i="6" s="1"/>
  <c r="J4" i="6"/>
  <c r="L15" i="6"/>
  <c r="O15" i="6"/>
  <c r="L7" i="6"/>
  <c r="O7" i="6"/>
  <c r="H7" i="6"/>
  <c r="L10" i="6"/>
  <c r="O10" i="6"/>
  <c r="J10" i="6"/>
  <c r="H10" i="6"/>
  <c r="O9" i="6"/>
  <c r="H9" i="6"/>
  <c r="L9" i="6"/>
  <c r="H15" i="6"/>
  <c r="D145" i="8"/>
  <c r="G16" i="6"/>
  <c r="BL682" i="7"/>
  <c r="BL755" i="7" s="1"/>
  <c r="CB682" i="7"/>
  <c r="CB755" i="7" s="1"/>
  <c r="CA682" i="7"/>
  <c r="CA755" i="7" s="1"/>
  <c r="O6" i="6"/>
  <c r="H6" i="6"/>
  <c r="L6" i="6"/>
  <c r="J6" i="6"/>
  <c r="I23" i="6"/>
  <c r="O18" i="6" l="1"/>
  <c r="H18" i="6"/>
  <c r="G21" i="6"/>
  <c r="J21" i="6" s="1"/>
  <c r="M12" i="6"/>
  <c r="N12" i="6" s="1"/>
  <c r="F12" i="6"/>
  <c r="H12" i="6"/>
  <c r="C16" i="6"/>
  <c r="BZ682" i="7"/>
  <c r="BZ755" i="7" s="1"/>
  <c r="C21" i="6"/>
  <c r="F21" i="6" s="1"/>
  <c r="F18" i="6"/>
  <c r="M18" i="6"/>
  <c r="O12" i="6"/>
  <c r="J16" i="6"/>
  <c r="L16" i="6"/>
  <c r="C23" i="6" l="1"/>
  <c r="F23" i="6" s="1"/>
  <c r="F16" i="6"/>
  <c r="O16" i="6"/>
  <c r="M16" i="6"/>
  <c r="N16" i="6" s="1"/>
  <c r="H16" i="6"/>
  <c r="L21" i="6"/>
  <c r="O21" i="6"/>
  <c r="H21" i="6"/>
  <c r="N18" i="6"/>
  <c r="M21" i="6"/>
  <c r="G23" i="6"/>
  <c r="O23" i="6" l="1"/>
  <c r="H23" i="6"/>
  <c r="L23" i="6"/>
  <c r="J23" i="6"/>
  <c r="N21" i="6"/>
  <c r="M23" i="6"/>
  <c r="N23" i="6" s="1"/>
</calcChain>
</file>

<file path=xl/sharedStrings.xml><?xml version="1.0" encoding="utf-8"?>
<sst xmlns="http://schemas.openxmlformats.org/spreadsheetml/2006/main" count="2158" uniqueCount="1102">
  <si>
    <t>SEGUIMIENTO PLAN OPERATIVO ANUAL DE INVERSIONES</t>
  </si>
  <si>
    <t xml:space="preserve">CODIGO:  </t>
  </si>
  <si>
    <t>F-PLA-43</t>
  </si>
  <si>
    <t xml:space="preserve">VERSIÓN: </t>
  </si>
  <si>
    <t xml:space="preserve">FECHA: </t>
  </si>
  <si>
    <t>Agosto 1 de 2016</t>
  </si>
  <si>
    <t>PÁGINA:</t>
  </si>
  <si>
    <t>1 de 1</t>
  </si>
  <si>
    <t>ESTRATEGIA</t>
  </si>
  <si>
    <t>PROGRAMA</t>
  </si>
  <si>
    <t>META DE RESULTADO</t>
  </si>
  <si>
    <t>LINEA BASE 2015</t>
  </si>
  <si>
    <t>LINEA ESPERADA 2019</t>
  </si>
  <si>
    <t>SUB PROGRAMA</t>
  </si>
  <si>
    <t>META PRODUCTO</t>
  </si>
  <si>
    <t>LINEA ESPERADA 2018</t>
  </si>
  <si>
    <t>CÓDIGO WEB</t>
  </si>
  <si>
    <t xml:space="preserve">CÓDIGO SECTOR </t>
  </si>
  <si>
    <t>CÓDIGO</t>
  </si>
  <si>
    <t xml:space="preserve">NOMBRE DEL PROYECTO </t>
  </si>
  <si>
    <t>TIPO DE META</t>
  </si>
  <si>
    <t>ESTAMPILLA PRO - CULTURA</t>
  </si>
  <si>
    <t>ESTAMPILLA PRO - ADULTO MAYOR</t>
  </si>
  <si>
    <t>ESTAMPILLA PRO - DESARROLLO</t>
  </si>
  <si>
    <t>CONVENIO ANTICONTRABANDO</t>
  </si>
  <si>
    <t>SGP APORTES PATRONALES -EDUCACION  - CANCELACIÓN DE PRESTACIONES SOCIALES -EDUCACIÓN</t>
  </si>
  <si>
    <t xml:space="preserve">FONDO DE EDUCACION,  PAE, CONVENIO MEN  </t>
  </si>
  <si>
    <t>SGP AGUA POTABLE SSF</t>
  </si>
  <si>
    <t xml:space="preserve">RECURSO ORDINARIO </t>
  </si>
  <si>
    <t xml:space="preserve">LEY 1816 (3% MONOPOLIO LICORES) (DEPORTES) </t>
  </si>
  <si>
    <t>TOTAL 2018</t>
  </si>
  <si>
    <t xml:space="preserve">P </t>
  </si>
  <si>
    <t>E</t>
  </si>
  <si>
    <t>PRESUPUESTADO</t>
  </si>
  <si>
    <t>E (COMPROMISOS)</t>
  </si>
  <si>
    <t>E (OBLIGACIONES)</t>
  </si>
  <si>
    <t>304 -Secretaría Administrativa</t>
  </si>
  <si>
    <t>BUEN GOBIERNO</t>
  </si>
  <si>
    <t>Gestión Territorial</t>
  </si>
  <si>
    <t>Modernización tecnológica y Administrativa</t>
  </si>
  <si>
    <t>37
38</t>
  </si>
  <si>
    <t xml:space="preserve">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</si>
  <si>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</si>
  <si>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</si>
  <si>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</si>
  <si>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</si>
  <si>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</si>
  <si>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</si>
  <si>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</si>
  <si>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</si>
  <si>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</si>
  <si>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</si>
  <si>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</si>
  <si>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</si>
  <si>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</si>
  <si>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</si>
  <si>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</si>
  <si>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</si>
  <si>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</si>
  <si>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</si>
  <si>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</si>
  <si>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</si>
  <si>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</si>
  <si>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</si>
  <si>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</si>
  <si>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</si>
  <si>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Adquirir  un (1) bien inmueble para adelantar acciones de cara al servicio de la comunidad</t>
  </si>
  <si>
    <t>I</t>
  </si>
  <si>
    <t>305 Secretaría de Planeación</t>
  </si>
  <si>
    <t xml:space="preserve"> </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</si>
  <si>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</si>
  <si>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</si>
  <si>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</si>
  <si>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</si>
  <si>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</si>
  <si>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</si>
  <si>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</si>
  <si>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</si>
  <si>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</si>
  <si>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</si>
  <si>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</si>
  <si>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</si>
  <si>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</si>
  <si>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</si>
  <si>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</si>
  <si>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</si>
  <si>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</si>
  <si>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</si>
  <si>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</si>
  <si>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</si>
  <si>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</si>
  <si>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</si>
  <si>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</si>
  <si>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</si>
  <si>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</si>
  <si>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</si>
  <si>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</si>
  <si>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</si>
  <si>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</si>
  <si>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</si>
  <si>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</si>
  <si>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</si>
  <si>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</si>
  <si>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</si>
  <si>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</si>
  <si>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</si>
  <si>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</si>
  <si>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</si>
  <si>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201663000-0014</t>
  </si>
  <si>
    <t>Asistencia  técnica, seguimiento y evaluación  de la gestión  territorial en los  munipicios del Departamento del  Quindío.</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</si>
  <si>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</si>
  <si>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</si>
  <si>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</si>
  <si>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</si>
  <si>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</si>
  <si>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</si>
  <si>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</si>
  <si>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</si>
  <si>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</si>
  <si>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</si>
  <si>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</si>
  <si>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</si>
  <si>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</si>
  <si>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</si>
  <si>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</si>
  <si>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</si>
  <si>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</si>
  <si>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</si>
  <si>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</si>
  <si>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</si>
  <si>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</si>
  <si>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</si>
  <si>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</si>
  <si>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</si>
  <si>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</si>
  <si>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</si>
  <si>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</si>
  <si>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</si>
  <si>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</si>
  <si>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</si>
  <si>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</si>
  <si>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</si>
  <si>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</si>
  <si>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</si>
  <si>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</si>
  <si>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</si>
  <si>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</si>
  <si>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</si>
  <si>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</si>
  <si>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</si>
  <si>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</si>
  <si>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</si>
  <si>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</si>
  <si>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</si>
  <si>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Apoyar la construcción, mejoramiento y/o  rehabilitación de la infraestructura de doce (12) escenarios deportivos y/o recreativos en el departamento del Quindío</t>
  </si>
  <si>
    <t>0.50</t>
  </si>
  <si>
    <t>2018003630- 002</t>
  </si>
  <si>
    <t>Construcion Cancha Sintetica y Adecuacion del Polideportivo en el Sector de Naranjal, Quimbaya Quindio</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</si>
  <si>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</si>
  <si>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</si>
  <si>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</si>
  <si>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</si>
  <si>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</si>
  <si>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</si>
  <si>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</si>
  <si>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</si>
  <si>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</si>
  <si>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</si>
  <si>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</si>
  <si>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</si>
  <si>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 xml:space="preserve">Dsiminuir la presión por cargas contaminantes medida por el indice de alteración potencial de la calidad del agua (IACAL), a categoria moderada </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</si>
  <si>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</si>
  <si>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</si>
  <si>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</si>
  <si>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</si>
  <si>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</si>
  <si>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</si>
  <si>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</si>
  <si>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</si>
  <si>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</si>
  <si>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</si>
  <si>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</si>
  <si>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</si>
  <si>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SEGURIDAD HUMANA</t>
  </si>
  <si>
    <t>Seguridad humana como dinamizador de la vida, dignidad y libertad en el Quindío </t>
  </si>
  <si>
    <t>FORTALECIMIENTO DE LA SEGURIDAD VIAL DEPARTAMENTAL</t>
  </si>
  <si>
    <t>Implementar un programa para disminuir la accidentalidad en las vías del departamento</t>
  </si>
  <si>
    <t>2018003630-001</t>
  </si>
  <si>
    <t>Implementacion Plataforma Tecnologica para la Recoleccion Actualizada y Analisis de Datos de Siniestralidad Vial, Mapa de Siniestralidad e Insumos linea Base Plan Seguridad Vial Quindio</t>
  </si>
  <si>
    <t>309 Secretaría del Interior</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</si>
  <si>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</si>
  <si>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</si>
  <si>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</si>
  <si>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</si>
  <si>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</si>
  <si>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</si>
  <si>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</si>
  <si>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</si>
  <si>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</si>
  <si>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</si>
  <si>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</si>
  <si>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</si>
  <si>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</si>
  <si>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</si>
  <si>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</si>
  <si>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</si>
  <si>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</si>
  <si>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</si>
  <si>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</si>
  <si>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</si>
  <si>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</si>
  <si>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</si>
  <si>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</si>
  <si>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</si>
  <si>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</si>
  <si>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</si>
  <si>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</si>
  <si>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</si>
  <si>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</si>
  <si>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</si>
  <si>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</si>
  <si>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</si>
  <si>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</si>
  <si>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</si>
  <si>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</si>
  <si>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</si>
  <si>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</si>
  <si>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</si>
  <si>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</si>
  <si>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</si>
  <si>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</si>
  <si>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</si>
  <si>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</si>
  <si>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</si>
  <si>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</si>
  <si>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</si>
  <si>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</si>
  <si>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</si>
  <si>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</si>
  <si>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</si>
  <si>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</si>
  <si>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</si>
  <si>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</si>
  <si>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</si>
  <si>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</si>
  <si>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</si>
  <si>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</si>
  <si>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</si>
  <si>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</si>
  <si>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</si>
  <si>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</si>
  <si>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</si>
  <si>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</si>
  <si>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</si>
  <si>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</si>
  <si>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</si>
  <si>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</si>
  <si>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</si>
  <si>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</si>
  <si>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</si>
  <si>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</si>
  <si>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</si>
  <si>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</si>
  <si>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</si>
  <si>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</si>
  <si>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</si>
  <si>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</si>
  <si>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</si>
  <si>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</si>
  <si>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</si>
  <si>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</si>
  <si>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</si>
  <si>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</si>
  <si>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</si>
  <si>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</si>
  <si>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</si>
  <si>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</si>
  <si>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</si>
  <si>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</si>
  <si>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</si>
  <si>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</si>
  <si>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</si>
  <si>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</si>
  <si>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8,06% EBS 5,77% EM    
 174,7*100.000
30.7%
24,9%
6 de cada 10</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</si>
  <si>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</si>
  <si>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</si>
  <si>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</si>
  <si>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</si>
  <si>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</si>
  <si>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</si>
  <si>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</si>
  <si>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</si>
  <si>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</si>
  <si>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</si>
  <si>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</si>
  <si>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</si>
  <si>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</si>
  <si>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</si>
  <si>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</si>
  <si>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</si>
  <si>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</si>
  <si>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</si>
  <si>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</si>
  <si>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</si>
  <si>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</si>
  <si>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</si>
  <si>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</si>
  <si>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</si>
  <si>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</si>
  <si>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</si>
  <si>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</si>
  <si>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</si>
  <si>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</si>
  <si>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</si>
  <si>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</si>
  <si>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</si>
  <si>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</si>
  <si>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</si>
  <si>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</si>
  <si>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</si>
  <si>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</si>
  <si>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</si>
  <si>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</si>
  <si>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</si>
  <si>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</si>
  <si>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</si>
  <si>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</si>
  <si>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</si>
  <si>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</si>
  <si>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</si>
  <si>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</si>
  <si>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</si>
  <si>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</si>
  <si>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</si>
  <si>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</si>
  <si>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</si>
  <si>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</si>
  <si>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</si>
  <si>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</si>
  <si>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</si>
  <si>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</si>
  <si>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</si>
  <si>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</si>
  <si>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</si>
  <si>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</si>
  <si>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</si>
  <si>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</si>
  <si>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</si>
  <si>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</si>
  <si>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</si>
  <si>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</si>
  <si>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</si>
  <si>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</si>
  <si>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</si>
  <si>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</si>
  <si>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</si>
  <si>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</si>
  <si>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</si>
  <si>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</si>
  <si>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</si>
  <si>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</si>
  <si>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</si>
  <si>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</si>
  <si>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</si>
  <si>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</si>
  <si>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</si>
  <si>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</si>
  <si>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</si>
  <si>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</si>
  <si>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</si>
  <si>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</si>
  <si>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</si>
  <si>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</si>
  <si>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</si>
  <si>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</si>
  <si>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</si>
  <si>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</si>
  <si>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</si>
  <si>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</si>
  <si>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</si>
  <si>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</si>
  <si>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</si>
  <si>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</si>
  <si>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</si>
  <si>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</si>
  <si>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</si>
  <si>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</si>
  <si>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</si>
  <si>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</si>
  <si>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</si>
  <si>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</si>
  <si>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</si>
  <si>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</si>
  <si>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</si>
  <si>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</si>
  <si>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</si>
  <si>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</si>
  <si>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</si>
  <si>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</si>
  <si>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2
4</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</si>
  <si>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</si>
  <si>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43,29 m3/s
2.730 Hectareas</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</si>
  <si>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</si>
  <si>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</si>
  <si>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</si>
  <si>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</si>
  <si>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</si>
  <si>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</si>
  <si>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</si>
  <si>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</si>
  <si>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</si>
  <si>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</si>
  <si>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</si>
  <si>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</si>
  <si>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</si>
  <si>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</si>
  <si>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</si>
  <si>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12.9
3.4
31.70</t>
  </si>
  <si>
    <t>8.9
4.6
27</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</si>
  <si>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</si>
  <si>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</si>
  <si>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</si>
  <si>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</si>
  <si>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</si>
  <si>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</si>
  <si>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</si>
  <si>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</si>
  <si>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</si>
  <si>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</si>
  <si>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</si>
  <si>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</si>
  <si>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</si>
  <si>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</si>
  <si>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</si>
  <si>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</si>
  <si>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</si>
  <si>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</si>
  <si>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</si>
  <si>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</si>
  <si>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</si>
  <si>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</si>
  <si>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</si>
  <si>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</si>
  <si>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</si>
  <si>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</si>
  <si>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</si>
  <si>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</si>
  <si>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</si>
  <si>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</si>
  <si>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</si>
  <si>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</si>
  <si>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</si>
  <si>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</si>
  <si>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</si>
  <si>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</si>
  <si>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</si>
  <si>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</si>
  <si>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</si>
  <si>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</si>
  <si>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</si>
  <si>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</si>
  <si>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</si>
  <si>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</si>
  <si>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</si>
  <si>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</si>
  <si>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</si>
  <si>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</si>
  <si>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</si>
  <si>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</si>
  <si>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</si>
  <si>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</si>
  <si>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</si>
  <si>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</si>
  <si>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</si>
  <si>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</si>
  <si>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</si>
  <si>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</si>
  <si>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</si>
  <si>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</si>
  <si>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</si>
  <si>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</si>
  <si>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</si>
  <si>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</si>
  <si>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</si>
  <si>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</si>
  <si>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</si>
  <si>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</si>
  <si>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</si>
  <si>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</si>
  <si>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8.06  EBS
5.77 EM </t>
  </si>
  <si>
    <t>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</si>
  <si>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</si>
  <si>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</si>
  <si>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</si>
  <si>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</si>
  <si>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</si>
  <si>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</si>
  <si>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</si>
  <si>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</si>
  <si>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8.06 EBS
5.77 EM </t>
  </si>
  <si>
    <t>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</si>
  <si>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</si>
  <si>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</si>
  <si>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</si>
  <si>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</si>
  <si>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</si>
  <si>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</si>
  <si>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</si>
  <si>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</si>
  <si>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</si>
  <si>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</si>
  <si>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</si>
  <si>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</si>
  <si>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</si>
  <si>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</si>
  <si>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</si>
  <si>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</si>
  <si>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</si>
  <si>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</si>
  <si>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</si>
  <si>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</si>
  <si>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</si>
  <si>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</si>
  <si>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</si>
  <si>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</si>
  <si>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</si>
  <si>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</si>
  <si>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</si>
  <si>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</si>
  <si>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</si>
  <si>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</si>
  <si>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</si>
  <si>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</si>
  <si>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</si>
  <si>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</si>
  <si>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8.06   EBS
5.77 EM </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</si>
  <si>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</si>
  <si>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</si>
  <si>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</si>
  <si>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</si>
  <si>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</si>
  <si>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</si>
  <si>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</si>
  <si>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</si>
  <si>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</si>
  <si>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</si>
  <si>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</si>
  <si>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</si>
  <si>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</si>
  <si>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</si>
  <si>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3
78
5 EBS
 4 EM </t>
  </si>
  <si>
    <t>Contar con cincuenta y dos (52) instituciones educativas con  mayor eficiencia en la gestión de sus procesos y proyectos  ante la entidad  territorial y la Secretaria de Educación Departamental</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</si>
  <si>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</si>
  <si>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</si>
  <si>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</si>
  <si>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</si>
  <si>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</si>
  <si>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</si>
  <si>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</si>
  <si>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</si>
  <si>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</si>
  <si>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</si>
  <si>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</si>
  <si>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</si>
  <si>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</si>
  <si>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</si>
  <si>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</si>
  <si>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</si>
  <si>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</si>
  <si>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</si>
  <si>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</si>
  <si>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</si>
  <si>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</si>
  <si>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</si>
  <si>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</si>
  <si>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</si>
  <si>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</si>
  <si>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</si>
  <si>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</si>
  <si>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</si>
  <si>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</si>
  <si>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14
15
19 </t>
  </si>
  <si>
    <t>6.20
73.23
8.06 EBS
5.77 EM         </t>
  </si>
  <si>
    <t>3
78
5 EBS
4 EM </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</si>
  <si>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</si>
  <si>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</si>
  <si>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</si>
  <si>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</si>
  <si>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</si>
  <si>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</si>
  <si>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</si>
  <si>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</si>
  <si>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</si>
  <si>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</si>
  <si>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</si>
  <si>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</si>
  <si>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</si>
  <si>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6.20
73.23
8.06 EBS
5.77 EM</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</si>
  <si>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</si>
  <si>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</si>
  <si>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</si>
  <si>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</si>
  <si>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</si>
  <si>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</si>
  <si>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</si>
  <si>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</si>
  <si>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</si>
  <si>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</si>
  <si>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</si>
  <si>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</si>
  <si>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2.1/100
13/100.000
8.8/1000
11.34/1000
0</t>
  </si>
  <si>
    <t>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</si>
  <si>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</si>
  <si>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</si>
  <si>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</si>
  <si>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</si>
  <si>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</si>
  <si>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24                                                 25                                                 29                                    30                                         33</t>
  </si>
  <si>
    <t xml:space="preserve">2.1/100                    13/100.000                                    8.8/1000                 11.34/1000                 0                      </t>
  </si>
  <si>
    <t xml:space="preserve"> 2.1/100                                         10/100.000                           8.8/1000                               11.34/1000                                 0</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</si>
  <si>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</si>
  <si>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</si>
  <si>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</si>
  <si>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</si>
  <si>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</si>
  <si>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</si>
  <si>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</si>
  <si>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</si>
  <si>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</si>
  <si>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</si>
  <si>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</si>
  <si>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</si>
  <si>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</si>
  <si>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</si>
  <si>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</si>
  <si>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</si>
  <si>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</si>
  <si>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</si>
  <si>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</si>
  <si>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</si>
  <si>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</si>
  <si>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</si>
  <si>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</si>
  <si>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</si>
  <si>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</si>
  <si>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</si>
  <si>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</si>
  <si>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</si>
  <si>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</si>
  <si>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</si>
  <si>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</si>
  <si>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</si>
  <si>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r>
      <t xml:space="preserve"> </t>
    </r>
    <r>
      <rPr>
        <sz val="12"/>
        <color theme="1"/>
        <rFont val="Arial"/>
        <family val="2"/>
      </rPr>
      <t xml:space="preserve"> Reducir la proporción de jóvenes en el sistema de responsabilidad penal con riesgo alto de reincidencia en las conductas delictivas</t>
    </r>
  </si>
  <si>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</si>
  <si>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</si>
  <si>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</si>
  <si>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</si>
  <si>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</si>
  <si>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</si>
  <si>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</si>
  <si>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</si>
  <si>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</si>
  <si>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</si>
  <si>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</si>
  <si>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</si>
  <si>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Diseño e implementación  de una estrategia para la atención de la  población  en vulnerabiliadad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</si>
  <si>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</si>
  <si>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</si>
  <si>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</si>
  <si>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</si>
  <si>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</si>
  <si>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</si>
  <si>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</si>
  <si>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</si>
  <si>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</si>
  <si>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</si>
  <si>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</si>
  <si>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</si>
  <si>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</si>
  <si>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</si>
  <si>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</si>
  <si>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</si>
  <si>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</si>
  <si>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r>
      <t xml:space="preserve"> </t>
    </r>
    <r>
      <rPr>
        <sz val="12"/>
        <color theme="1"/>
        <rFont val="Arial"/>
        <family val="2"/>
      </rPr>
      <t xml:space="preserve"> Disminuir el porcentaje de mujeres amenazadas por sus compañeros sentimentales                                                                                             Disminuir incidencia de violencia intrafamiliar</t>
    </r>
  </si>
  <si>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</si>
  <si>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</si>
  <si>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</si>
  <si>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</si>
  <si>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</si>
  <si>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</si>
  <si>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r>
      <t xml:space="preserve"> </t>
    </r>
    <r>
      <rPr>
        <sz val="12"/>
        <color theme="1"/>
        <rFont val="Arial"/>
        <family val="2"/>
      </rPr>
      <t xml:space="preserve"> Disminuir el porcentaje de mujeres amenazadas por sus compañeros sentimentales</t>
    </r>
  </si>
  <si>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</si>
  <si>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</si>
  <si>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</si>
  <si>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</si>
  <si>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</si>
  <si>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</si>
  <si>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</si>
  <si>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</si>
  <si>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</si>
  <si>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</si>
  <si>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</si>
  <si>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</si>
  <si>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</si>
  <si>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</si>
  <si>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</si>
  <si>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</si>
  <si>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</si>
  <si>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</si>
  <si>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</si>
  <si>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</si>
  <si>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</si>
  <si>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</si>
  <si>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</si>
  <si>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</si>
  <si>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</si>
  <si>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</si>
  <si>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</si>
  <si>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</si>
  <si>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</si>
  <si>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</si>
  <si>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</si>
  <si>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</si>
  <si>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</si>
  <si>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</si>
  <si>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</si>
  <si>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</si>
  <si>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</si>
  <si>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</si>
  <si>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</si>
  <si>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</si>
  <si>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</si>
  <si>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r>
      <rPr>
        <sz val="12"/>
        <color theme="1"/>
        <rFont val="Arial"/>
        <family val="2"/>
      </rPr>
      <t xml:space="preserve"> Disminuir la incidencia de embarazo en adolescentes</t>
    </r>
  </si>
  <si>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</si>
  <si>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</si>
  <si>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</si>
  <si>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</si>
  <si>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</si>
  <si>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</si>
  <si>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</si>
  <si>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</si>
  <si>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</si>
  <si>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</si>
  <si>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</si>
  <si>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</si>
  <si>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</si>
  <si>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</si>
  <si>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</si>
  <si>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</si>
  <si>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</si>
  <si>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</si>
  <si>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</si>
  <si>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</si>
  <si>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</si>
  <si>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</si>
  <si>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</si>
  <si>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</si>
  <si>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</si>
  <si>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</si>
  <si>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</si>
  <si>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</si>
  <si>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</si>
  <si>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</si>
  <si>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</si>
  <si>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</si>
  <si>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</si>
  <si>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</si>
  <si>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</si>
  <si>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</si>
  <si>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</si>
  <si>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</si>
  <si>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</si>
  <si>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</si>
  <si>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</si>
  <si>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</si>
  <si>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r>
      <rPr>
        <sz val="12"/>
        <color theme="1"/>
        <rFont val="Arial"/>
        <family val="2"/>
      </rPr>
      <t xml:space="preserve"> Incrementar el % IPS con seguimiento por parte del departamento</t>
    </r>
  </si>
  <si>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</si>
  <si>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</si>
  <si>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</si>
  <si>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</si>
  <si>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</si>
  <si>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</si>
  <si>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</si>
  <si>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</si>
  <si>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</si>
  <si>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</si>
  <si>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</si>
  <si>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</si>
  <si>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</si>
  <si>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</si>
  <si>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</si>
  <si>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</si>
  <si>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</si>
  <si>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</si>
  <si>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</si>
  <si>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</si>
  <si>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</si>
  <si>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</si>
  <si>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</si>
  <si>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</si>
  <si>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</si>
  <si>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r>
      <rPr>
        <sz val="12"/>
        <color theme="1"/>
        <rFont val="Arial"/>
        <family val="2"/>
      </rPr>
      <t xml:space="preserve"> Aumentar el porcentaje de cumplimiento de la Ley 1448 del 2011 de atención a víctimas</t>
    </r>
  </si>
  <si>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</si>
  <si>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</si>
  <si>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</si>
  <si>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</si>
  <si>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</si>
  <si>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</si>
  <si>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r>
      <rPr>
        <sz val="12"/>
        <color theme="1"/>
        <rFont val="Arial"/>
        <family val="2"/>
      </rPr>
      <t>  Aumentar el % de personas discapacitadas atendidas</t>
    </r>
  </si>
  <si>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</si>
  <si>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</si>
  <si>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</si>
  <si>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</si>
  <si>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</si>
  <si>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</si>
  <si>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</si>
  <si>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</si>
  <si>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</si>
  <si>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</si>
  <si>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</si>
  <si>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</si>
  <si>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</si>
  <si>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</si>
  <si>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</si>
  <si>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</si>
  <si>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</si>
  <si>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</si>
  <si>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</si>
  <si>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</si>
  <si>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</si>
  <si>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</si>
  <si>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</si>
  <si>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</si>
  <si>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</si>
  <si>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</si>
  <si>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</si>
  <si>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</si>
  <si>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</si>
  <si>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</si>
  <si>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</si>
  <si>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</si>
  <si>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</si>
  <si>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</si>
  <si>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</si>
  <si>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</si>
  <si>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</si>
  <si>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</si>
  <si>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</si>
  <si>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</si>
  <si>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</si>
  <si>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</si>
  <si>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</si>
  <si>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</si>
  <si>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</si>
  <si>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</si>
  <si>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</si>
  <si>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</si>
  <si>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</si>
  <si>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</si>
  <si>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</si>
  <si>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</si>
  <si>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</si>
  <si>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</si>
  <si>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</si>
  <si>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</si>
  <si>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</si>
  <si>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</si>
  <si>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</si>
  <si>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</si>
  <si>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</si>
  <si>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</si>
  <si>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</si>
  <si>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</si>
  <si>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</si>
  <si>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</si>
  <si>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</si>
  <si>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</si>
  <si>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</si>
  <si>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</si>
  <si>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</si>
  <si>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Mejorar el % de ejecución presupuestal</t>
  </si>
  <si>
    <t>Seguimiento trimestral a la ejecución presupuestal de los recursos del Sector Salud</t>
  </si>
  <si>
    <t>TOTAL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</si>
  <si>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</si>
  <si>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</si>
  <si>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</si>
  <si>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</si>
  <si>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</si>
  <si>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</si>
  <si>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</si>
  <si>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</si>
  <si>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</si>
  <si>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</si>
  <si>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</si>
  <si>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</si>
  <si>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</si>
  <si>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</si>
  <si>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</si>
  <si>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</si>
  <si>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</si>
  <si>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</si>
  <si>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</si>
  <si>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</si>
  <si>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</si>
  <si>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</si>
  <si>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</si>
  <si>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</si>
  <si>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</si>
  <si>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</si>
  <si>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</si>
  <si>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</si>
  <si>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</si>
  <si>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</si>
  <si>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</si>
  <si>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</si>
  <si>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</si>
  <si>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</si>
  <si>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</si>
  <si>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</si>
  <si>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</si>
  <si>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</si>
  <si>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</si>
  <si>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</si>
  <si>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</si>
  <si>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</si>
  <si>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</si>
  <si>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</si>
  <si>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</si>
  <si>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</si>
  <si>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</si>
  <si>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</si>
  <si>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</si>
  <si>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</si>
  <si>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</si>
  <si>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</si>
  <si>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</si>
  <si>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</si>
  <si>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  CONTRIBUCION ESPECIAL           (FONDO DE SEGURIDAD 5%)  (92) (42)</t>
  </si>
  <si>
    <t> SOBRETASA AL ACPM  (23)(89)</t>
  </si>
  <si>
    <t> MONOPOLIO EDUCACIÓN  51% DESTINACION ESPECIFICA   (91)</t>
  </si>
  <si>
    <t> SGP PRESTACION DE SERVCIOS  (59)</t>
  </si>
  <si>
    <t>    FONDO LOCAL DE SALUD  - RENTAS CEDIDAS   
(58)(71)(72)(96)(155)   </t>
  </si>
  <si>
    <t> FONDO LOCAL DE SALUD  - ESTUPEFACIENTES -  LEY 1393  -LOTERIAS-RIFAS-PREMIOS 
(100)</t>
  </si>
  <si>
    <t>   SGP PRESTACIÓN DE SERVICIOS - EDUCACIÓN  - CONECTIVIDAD (09)(25)(21)  </t>
  </si>
  <si>
    <t>   OTROS (IVA TELEFONIA MÓVIL  - REGISTRO- MATERIAL RIO)
(152)    </t>
  </si>
  <si>
    <t>   RECURSOS DEL CREDITO 
(46)</t>
  </si>
  <si>
    <t>       NACIÓN  - COFINANCIACIÓN 
(65)(110)(111)(145)(149)(148)(151)    </t>
  </si>
  <si>
    <t xml:space="preserve">  </t>
  </si>
  <si>
    <t>Implementación de un programa  de  modernización de la gestión administrativa en el Departamento del Quindio</t>
  </si>
  <si>
    <t>0,98</t>
  </si>
  <si>
    <t>Realización procesos de capacitación,  asistencia técnica, seguimiento  y evaluación en la aplicabilidad de los componentes   del Índice de Transparencia en el Departamento del Quindio</t>
  </si>
  <si>
    <t>Realización procesos de Rendición Publica de Cuentas Departamentales enlos  entes territoriales municipales del Departamento del Quindio </t>
  </si>
  <si>
    <t> Diseño e implementación instrumentos de  planificación para el  ordenamiento  territorial, social y económico del  Departamento del Quindio </t>
  </si>
  <si>
    <t>Diseño    e implementación del Observatorio  de Desarrollo Humano en el Departamento del Quindio </t>
  </si>
  <si>
    <t>Diseño  e implementación del Tablero de Control  para el seguimiento y evalución del Plan de Desarrollo y las Políticas Públicas del  Departamento del Quindio</t>
  </si>
  <si>
    <t> Implementación Sistema de Cooperación Internacional y  de Gestión de proyectos  del Depratamento del Quindío - " Fabrica de Proyectos</t>
  </si>
  <si>
    <t>Actualizar y/o  ajustar el Sistema Integrado de Gestión Administrativa SIGA del Departamento del Quindío </t>
  </si>
  <si>
    <t>Implementar el Comité  de Planificación  Departamental   </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</si>
  <si>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</si>
  <si>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</si>
  <si>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Mejoramiento de la sostenibilidad de los procesos de fiscalización liquidación control y cobranza de los tributos en el Departamento del Quindío</t>
  </si>
  <si>
    <t>Implementación de un programa de gestión fianciera para la optimización de los procesos en el area de tesorería, presupuesto y contabilidad en el Departamento del Quindio </t>
  </si>
  <si>
    <t>Actualización e implementación del  Plan Ambiental para el sector de agua potable y saneamiento básico en el Departamento del Quindio</t>
  </si>
  <si>
    <t>Construcción integral de la seguridad humana en el Departamento de Quindio.  </t>
  </si>
  <si>
    <t>Apoyo a la convivencia, justicia y cultura de paz en el Departamento del  Quindio.</t>
  </si>
  <si>
    <t>Implementación del Plan Integral de prevención de vulneraciones de los Derechos Humanos DDHH e infracciones  al Derecho Internacional Humanitario DIH en el departamento del Quindio</t>
  </si>
  <si>
    <t>Administración del  riesgo mediante el conocimiento, la reducción y el manejo del desastre  en el Departamento del Quindio. </t>
  </si>
  <si>
    <t>Apoyo institucional en la gestión del riesgo  en el Departamento del Quindio</t>
  </si>
  <si>
    <t>Fortalecimiento de las veedurias ciudadanas en el Departamento del Quindio </t>
  </si>
  <si>
    <t>Desarrollo de los Organismos Comunales en el Departamento del Quindio </t>
  </si>
  <si>
    <t>Apoyo a seguridad social del creador y gestor cultural del Departamento del Quindio </t>
  </si>
  <si>
    <t>Fortalecimiento y promoción del  emprendimiento cultural y las industrias creativas en el Departamento </t>
  </si>
  <si>
    <t> Fortalecimiento al  Plan Departamental  de lectura, escritura y bibliotecas en el Departamento del Quindio .</t>
  </si>
  <si>
    <t>Apoyo al mejoramiento de la competitividad a iniciativas  productivas en el  Departamento del Quindío</t>
  </si>
  <si>
    <t> Fortalecimiento de  la   competitividad  a través de la  gestión de la innovación  y la tecnocología en el Departamento del Quindio</t>
  </si>
  <si>
    <t> Apoyo al emprendimiento, empresarismo, asociatividad y generación de empleo en el departamento del Quindío.</t>
  </si>
  <si>
    <t>Fortalecimiento del sector empresarial  hacia mercados globales en el Departamento del Quindio .   </t>
  </si>
  <si>
    <t>Apoyo a la competitividad  como destino turístico en el Departamento del Quindío.</t>
  </si>
  <si>
    <t>Apoyo a la promoción nacional e internacional como destino  turísmo del Departamento del Quindío.</t>
  </si>
  <si>
    <t>Fortalecimiento  y potencialización de los servicios ecosistemicos en el Departamento del Quindío</t>
  </si>
  <si>
    <t>Fortalecimiento e innovación empresarial  de la caficultura en el Departamento del Quindio</t>
  </si>
  <si>
    <t>Creacion e implementacion de los centros agroindustriales para  la paz CAPAZ en el Deparamento del Quindio</t>
  </si>
  <si>
    <t>Fomento al emprendimiento y  al empleo rural en el Departamento del Quindío  </t>
  </si>
  <si>
    <t>Fomento a la agricultura familiar , urbana y  mercados campesinos para la soberanía y  Seguridad alimentaria en el Departamento del Quindio.</t>
  </si>
  <si>
    <t>Desarrollar y fortalecer la cultura de la transparencia, participación, buen gobierno  y valores éticos y morales en el Departamento del Quindio</t>
  </si>
  <si>
    <t>Implementación de  la estrategia de comunicaciones para  la divulgación de  los programas, proyectos,  actividades y servicios del Departamento del Quindío </t>
  </si>
  <si>
    <t> Fortalecimiento de las estrategias para el acceso,  permanencia y seguridad  de los niños, niñas y jóvenes en el  sistema  educativo del Departamento del Quindio. </t>
  </si>
  <si>
    <t>Implementación de estrategias de inclusión para garantizar la atención educativa a población vulnerable en el  Departamento del  Quindío.</t>
  </si>
  <si>
    <t xml:space="preserve">
Implementación de  estrategias para el mejoramiento continuo del indice sintetico de calidad educativa en los niveles de básica primaria, básica secundaria y nivel de media en el Departamento del Quindio 
</t>
  </si>
  <si>
    <t>Mejoramiento de ambientes escolares y  fortalecimiento de modelos educativos articuladores de la ciencia, los lenguajes, las artes y el deporte en el Departamento del Quindio</t>
  </si>
  <si>
    <t>Implementación de  estrategias educativas en  lectura y escritura en las instituciones educativas en el Departamento del Quindío.</t>
  </si>
  <si>
    <t>Fortalecimiento de los niveles de educación  básica y media para la articulación con la educación terciaria en el Departamento del Quindio </t>
  </si>
  <si>
    <t>Fortalecimiento de los niveles de eficiencia administrativa en la Secretaría de Educación Departamental del Quindío </t>
  </si>
  <si>
    <t>Fortalecimiento de las herramientas tecnológicas en las Instituciones Educativas del Departamento del Quindío </t>
  </si>
  <si>
    <t>Funcionamiento y Prestación de Servicios del Sector Educativo del nivel Central  en el Departamento del Quindio</t>
  </si>
  <si>
    <t>Mejoramiento  de la gestión admnistrativa y docente para la eficiencia del bienestar laboral   del Departamento del Quindio</t>
  </si>
  <si>
    <t>Implementación del modelo de atención integral de la educación inicial en el Departamento del  Quindio. </t>
  </si>
  <si>
    <t>Formulación e implementación de  la politica pública  de la familia en el departamento del Quindio</t>
  </si>
  <si>
    <t>Implementación de la  política de primera infancia, infancia y adolescencia en el Departamento del Quindio</t>
  </si>
  <si>
    <t>Desarrollo de acciones encaminadas a la atención integral  de los adolescentes y jóvenes del Departamento del Quindio</t>
  </si>
  <si>
    <t>Actualización e implementación  de   la política pública departamental de discapacidad  "Capacidad sin limites" en el Quindio.</t>
  </si>
  <si>
    <t>Implementación del programa  para la atención y acompañamiento  del ciudadano migrante  y de repatración en el Departamento del Quindio.</t>
  </si>
  <si>
    <t>Fortalecimiento resguardo  indígena DACHI AGORE DRUA del municipio de Calarcá del Departamento del Quindío.</t>
  </si>
  <si>
    <t>Implementación de un  programa de atención integral a la población  afrodescendiente en el Departamento del Quindio </t>
  </si>
  <si>
    <t>Fomulación e implementación de la politca pública  de diversidad sexual en el Departamento del Quindio</t>
  </si>
  <si>
    <t>Apoyo y bienestar integral a las personas mayores del Departamento del Quindio </t>
  </si>
  <si>
    <t>Aprovechamiento biológico y consumo de  alimentos idóneos  en el Departamento del Quindio</t>
  </si>
  <si>
    <t>Fortalecimiento de acciones de intervención inherentes a los derechos sexuales y reproductivos  en el Departamento del Quindio.</t>
  </si>
  <si>
    <t>Control y vigilancia en las acciones de condiciones no transmisibles y promoción de estilos de vida saludable en el Quindio  </t>
  </si>
  <si>
    <t>Fortalecimiento de estrategia de gestión integral, vectores, cambio climático y zoonosis en el Departamento  del Quindio </t>
  </si>
  <si>
    <t>Fortalecimiento de la inclusión social para la disminución de riesgos de contraer enfermedades transmisibles  en el Departamento del Quindio </t>
  </si>
  <si>
    <t>Prevención en emergencias y desastres de eventos relacionados con la salud pública en el Departamento del  Quindio</t>
  </si>
  <si>
    <t> Prevención vigilancia y control de eventos de origen laboral en el Departamento del Quindío.</t>
  </si>
  <si>
    <t>Fortalecimiento de la autoridad sanitaria en el Departamento del Quindio </t>
  </si>
  <si>
    <t>Implementación de programas de promoción social en poblaciones  especiales en el Departamento del Quindío.</t>
  </si>
  <si>
    <t>Asistencia atención a las personas y prioridades en salud pública en el  Departamento del Quindío- Plan de Intervenciones Colectivas PIC. </t>
  </si>
  <si>
    <t>Fortalecimiento de las actividades de vigilancia y control del laboratorio de salud pública en el Departamento del Quindio </t>
  </si>
  <si>
    <t>Prestación de Servicios a la Población no Afiliada al Sistema General de Seguridad Social en Salud  y en los no POS  a la Población Afiliada al Régimen Subsidiado.</t>
  </si>
  <si>
    <t>Asistencia técnica para el fortalecimiento de la gestión de las entidades territoriales del Departamento del Quindio </t>
  </si>
  <si>
    <t>Fortalecimiento de la red de urgencias y emergencias en el Departamento del Quindio </t>
  </si>
  <si>
    <t>Fortalecimiento de la red de prestación de servicios pública  del Departamento del Quindío</t>
  </si>
  <si>
    <t>apoyar y gestionar  3 procesos administrativos y misionales por parte de la Dirección estratégica.</t>
  </si>
  <si>
    <t>UNIDAD EJECUTORA</t>
  </si>
  <si>
    <t>APROPIACION DEFINITIVA</t>
  </si>
  <si>
    <t>%</t>
  </si>
  <si>
    <t>DISPONIBILIDADES  ACUMULADOS</t>
  </si>
  <si>
    <t>% CDP</t>
  </si>
  <si>
    <t>COMPROMISOS ACUMULADOS</t>
  </si>
  <si>
    <t>% RP</t>
  </si>
  <si>
    <t>OBLIGACIONES ACUMULADAS</t>
  </si>
  <si>
    <t>% OBLIG</t>
  </si>
  <si>
    <t>PAGOS ACUMULADOS</t>
  </si>
  <si>
    <t>% PAGOS</t>
  </si>
  <si>
    <t>SALDO DISPONIBLE</t>
  </si>
  <si>
    <t>% SALDO DISP.</t>
  </si>
  <si>
    <t>SEMAFORO (COMPROMISO)
Verde Oscuro  (80%  - 100%)
Verde Claro (70% y 79%)
Amarillo (60% y 69%)
Naranja (40% y 59%)
Rojo ( 0%-39%)</t>
  </si>
  <si>
    <t>ADMINISTRATIVA</t>
  </si>
  <si>
    <t>PLANEACION</t>
  </si>
  <si>
    <t>HACIENDA</t>
  </si>
  <si>
    <t>AGUAS E INFRAESTRUCTURA</t>
  </si>
  <si>
    <t>INTERIOR</t>
  </si>
  <si>
    <t>CULTURA</t>
  </si>
  <si>
    <t>TURISMO INDUSTRIA Y COMERCIO</t>
  </si>
  <si>
    <t>AGRICULTURA, DESARROLLO RURAL Y MEDIO AMBIENTE</t>
  </si>
  <si>
    <t>OFICINA PRIVADA</t>
  </si>
  <si>
    <t>EDUCACION</t>
  </si>
  <si>
    <t>FAMILIA</t>
  </si>
  <si>
    <t>REPRESENTACION JUDICIAL</t>
  </si>
  <si>
    <t>SALUD</t>
  </si>
  <si>
    <t>SUBTOTAL</t>
  </si>
  <si>
    <t>INDEPORTES</t>
  </si>
  <si>
    <t>PROMOTORA</t>
  </si>
  <si>
    <t>IDTQ</t>
  </si>
  <si>
    <t>GOBERNACIÓN DEL QUINDÍO</t>
  </si>
  <si>
    <t>SECRETARIA DE PLANEACÍON</t>
  </si>
  <si>
    <t xml:space="preserve"> PROYECTOS VIGENCIA 2018</t>
  </si>
  <si>
    <t>No.</t>
  </si>
  <si>
    <t>Identificación Proyecto</t>
  </si>
  <si>
    <t>Nombre proyecto</t>
  </si>
  <si>
    <t>Valor Proyecto</t>
  </si>
  <si>
    <t>SECRETARIA ADMINISTRATIVA</t>
  </si>
  <si>
    <t>SECRETARIA DE PLANEACIÓN</t>
  </si>
  <si>
    <t>SECRETARIA DE HACIENDA</t>
  </si>
  <si>
    <t>SECRETARIA DE AGUAS E INFRAESTRUCTURA</t>
  </si>
  <si>
    <t>2018003630-002</t>
  </si>
  <si>
    <t>Construcción Cancha Sintetica y Adecuacion del Polideportivo en el Sector de Naranjal, Quimbaya Quindio</t>
  </si>
  <si>
    <t>SECRETARIA DEL INTERIOR</t>
  </si>
  <si>
    <t>SECRETARIA DE CULTURA</t>
  </si>
  <si>
    <t>Fortalecimiento de la comunicación, la ciudadanía  y el sistema departamental de cultura  en el Quindio.</t>
  </si>
  <si>
    <t>SECRETARIA DE INDUSTRIA, COMERCIO Y TURISMO</t>
  </si>
  <si>
    <t>SECRETARIA DE AGRICULTURA, DESARROLLO RURAL Y MEDIO AMBIENTE</t>
  </si>
  <si>
    <t>Creacion e implementacion de los centros agroindustriales para  la paz CARPAZ en el Deparamento del Quindio</t>
  </si>
  <si>
    <t xml:space="preserve">SECRETARIA DE EDUCACIÓN </t>
  </si>
  <si>
    <t xml:space="preserve">Implementación de  estrategias para el mejoramiento continuo del indice sintetico de calidad educativa en los niveles de básica primaria, básica secundaria y nivel de media en el Departamento del Quindio </t>
  </si>
  <si>
    <t>SECRETARIA DE FAMILIA</t>
  </si>
  <si>
    <t xml:space="preserve">Diseño e implementación  de una estrategia para la atención de la  población  en vulnerabilidad extrema  en el Departamento del Quindio  </t>
  </si>
  <si>
    <t>OFICINA DE REPRESENTACIÓN JUDICIAL</t>
  </si>
  <si>
    <t>SECRETARIA DE SALUD</t>
  </si>
  <si>
    <t>Aprovechamiento biológico y consumo de  alimentos idoneos en el Departamento del Quindio</t>
  </si>
  <si>
    <t>Apoyo a la Recreación,  para el Bien Común en el Departamento del Quindío</t>
  </si>
  <si>
    <t>Apoyo a la actividad fisica, salud y productividad en el Departamento del Quindio</t>
  </si>
  <si>
    <t>PROMOTORA DE VIVIENDA</t>
  </si>
  <si>
    <t>I.D.T.Q.</t>
  </si>
  <si>
    <t>TOTAL:</t>
  </si>
  <si>
    <t> SGP SALÚD PUBLICA  </t>
  </si>
  <si>
    <t>DEPARTAMENTO DEL QUINDIO
EJECUCION GASTOS DE INVERSION POR SECRETARIAS
III TRIMESTRE 2018</t>
  </si>
  <si>
    <t>III TRIMESTRE 2018</t>
  </si>
  <si>
    <t xml:space="preserve"> Igualar la tasa de desempleo del Departamento al promedio nacional para el 2019
Aumentar el 20%, en pesos constantes, el valor de “hoteles, restaurantes, bares y similares” en el PIB.  </t>
  </si>
  <si>
    <t xml:space="preserve">Igualar la tasa de desempleo del departamento al promedio nacional para el 2019
Equiparar el crecimiento del PIB del departamento  del Quindio al PIB Nacional
Disminuir el Procentajes de personas en situción de pobreza                                                                                                                                                       </t>
  </si>
  <si>
    <t>5
6
7</t>
  </si>
  <si>
    <t xml:space="preserve">Declarar al Departamento  libre de analfabetismo
Aumentar la cobertura neta en la educación secundaria en el departamento del Quindio.
Disminuir la proporción de niños que desertan en educación básica secundaria y media.                                                                                                      </t>
  </si>
  <si>
    <t xml:space="preserve">14
15
19 </t>
  </si>
  <si>
    <t>Declarar al Departamento  libre de analfabetismo
Aumentar la cobertura neta en la educación secundaria en el departamento del Quindio.
 Disminuir la proporción de niños que desertan en educación básica secundaria y media.</t>
  </si>
  <si>
    <t>14
15
19 </t>
  </si>
  <si>
    <t>24
25
26
29
30
     PTS</t>
  </si>
  <si>
    <t xml:space="preserve">COMPROMISOS  </t>
  </si>
  <si>
    <t xml:space="preserve">OBLIGACIONES  </t>
  </si>
  <si>
    <t xml:space="preserve">PAGOS </t>
  </si>
  <si>
    <t xml:space="preserve">SALDO  </t>
  </si>
  <si>
    <t>A . DEFINITIVA</t>
  </si>
  <si>
    <t xml:space="preserve">DISPONIBILIDADES   </t>
  </si>
  <si>
    <t>2.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</si>
</sst>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_(* #,##0_);_(* \(#,##0\);_(* &quot;-&quot;??_);_(@_)"/>
    <numFmt numFmtId="166" formatCode="_-* #,##0_-;\-* #,##0_-;_-* &quot;-&quot;??_-;_-@_-"/>
    <numFmt numFmtId="167" formatCode="0.0"/>
    <numFmt numFmtId="168" formatCode="#,##0.0"/>
  </numFmts>
  <fonts count="27" x14ac:knownFonts="1">
    <font>
      <sz val="11"/>
      <color theme="1"/>
      <name val="Calibri"/>
      <family val="2"/>
      <scheme val="minor"/>
    </font>
    <font>
      <sz val="11"/>
      <color theme="1"/>
      <name val="Calibri"/>
      <family val="2"/>
      <scheme val="minor"/>
    </font>
    <font>
      <b/>
      <sz val="14"/>
      <name val="Arial"/>
      <family val="2"/>
    </font>
    <font>
      <b/>
      <sz val="12"/>
      <name val="Arial"/>
      <family val="2"/>
    </font>
    <font>
      <b/>
      <sz val="11"/>
      <name val="Arial"/>
      <family val="2"/>
    </font>
    <font>
      <b/>
      <sz val="10"/>
      <name val="Arial"/>
      <family val="2"/>
    </font>
    <font>
      <sz val="11"/>
      <color indexed="8"/>
      <name val="Calibri"/>
      <family val="2"/>
    </font>
    <font>
      <b/>
      <sz val="10"/>
      <color theme="1"/>
      <name val="Arial"/>
      <family val="2"/>
    </font>
    <font>
      <b/>
      <sz val="16"/>
      <name val="Arial"/>
      <family val="2"/>
    </font>
    <font>
      <sz val="11"/>
      <name val="Arial"/>
      <family val="2"/>
    </font>
    <font>
      <sz val="11"/>
      <color theme="1"/>
      <name val="Arial"/>
      <family val="2"/>
    </font>
    <font>
      <sz val="12"/>
      <name val="Arial"/>
      <family val="2"/>
    </font>
    <font>
      <sz val="10"/>
      <name val="Arial"/>
      <family val="2"/>
    </font>
    <font>
      <sz val="12"/>
      <color theme="1"/>
      <name val="Arial"/>
      <family val="2"/>
    </font>
    <font>
      <sz val="12"/>
      <color rgb="FF000000"/>
      <name val="Arial"/>
      <family val="2"/>
    </font>
    <font>
      <b/>
      <sz val="12"/>
      <color theme="1"/>
      <name val="Arial"/>
      <family val="2"/>
    </font>
    <font>
      <b/>
      <sz val="12"/>
      <color rgb="FFFF0000"/>
      <name val="Arial"/>
      <family val="2"/>
    </font>
    <font>
      <sz val="12"/>
      <color indexed="8"/>
      <name val="Arial"/>
      <family val="2"/>
    </font>
    <font>
      <sz val="12"/>
      <color rgb="FFFF0000"/>
      <name val="Arial"/>
      <family val="2"/>
    </font>
    <font>
      <sz val="10"/>
      <color indexed="8"/>
      <name val="Arial"/>
      <family val="2"/>
    </font>
    <font>
      <sz val="10"/>
      <color theme="1"/>
      <name val="Arial"/>
      <family val="2"/>
    </font>
    <font>
      <sz val="10"/>
      <color theme="0"/>
      <name val="Arial"/>
      <family val="2"/>
    </font>
    <font>
      <b/>
      <sz val="10"/>
      <color theme="0"/>
      <name val="Calibri"/>
      <family val="2"/>
      <scheme val="minor"/>
    </font>
    <font>
      <b/>
      <sz val="11"/>
      <color theme="0"/>
      <name val="Arial"/>
      <family val="2"/>
    </font>
    <font>
      <b/>
      <sz val="10"/>
      <color rgb="FFFF0000"/>
      <name val="Arial"/>
      <family val="2"/>
    </font>
    <font>
      <sz val="12"/>
      <name val="Calibri"/>
      <family val="2"/>
      <scheme val="minor"/>
    </font>
    <font>
      <sz val="12"/>
      <color theme="0"/>
      <name val="Arial"/>
      <family val="2"/>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indexed="47"/>
        <bgColor indexed="64"/>
      </patternFill>
    </fill>
    <fill>
      <patternFill patternType="solid">
        <fgColor indexed="2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FFFF"/>
        <bgColor indexed="64"/>
      </patternFill>
    </fill>
    <fill>
      <patternFill patternType="solid">
        <fgColor rgb="FF7030A0"/>
        <bgColor indexed="64"/>
      </patternFill>
    </fill>
    <fill>
      <patternFill patternType="solid">
        <fgColor rgb="FF92D050"/>
        <bgColor indexed="64"/>
      </patternFill>
    </fill>
    <fill>
      <patternFill patternType="solid">
        <fgColor rgb="FFC00000"/>
        <bgColor indexed="64"/>
      </patternFill>
    </fill>
    <fill>
      <patternFill patternType="solid">
        <fgColor theme="3" tint="0.79998168889431442"/>
        <bgColor indexed="64"/>
      </patternFill>
    </fill>
    <fill>
      <patternFill patternType="solid">
        <fgColor theme="3" tint="0.59999389629810485"/>
        <bgColor indexed="64"/>
      </patternFill>
    </fill>
  </fills>
  <borders count="1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auto="1"/>
      </bottom>
      <diagonal/>
    </border>
    <border>
      <left style="thin">
        <color indexed="64"/>
      </left>
      <right style="thin">
        <color indexed="64"/>
      </right>
      <top/>
      <bottom style="double">
        <color indexed="64"/>
      </bottom>
      <diagonal/>
    </border>
  </borders>
  <cellStyleXfs count="5">
    <xf numFmtId="0" fontId="0" fillId="0" borderId="0"/>
    <xf numFmtId="43"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cellStyleXfs>
  <cellXfs count="976">
    <xf numFmtId="0" fontId="0" fillId="0" borderId="0" xfId="0"/>
    <xf numFmtId="0" fontId="5" fillId="0" borderId="0" xfId="0" applyFont="1" applyAlignment="1">
      <alignment horizontal="center" vertical="center"/>
    </xf>
    <xf numFmtId="0" fontId="8" fillId="0" borderId="0" xfId="0" applyFont="1" applyAlignment="1">
      <alignment vertical="center"/>
    </xf>
    <xf numFmtId="0" fontId="11" fillId="7" borderId="2" xfId="0" applyFont="1" applyFill="1" applyBorder="1" applyAlignment="1">
      <alignment horizontal="right" vertical="center" wrapText="1"/>
    </xf>
    <xf numFmtId="0" fontId="11" fillId="6" borderId="2" xfId="0" applyFont="1" applyFill="1" applyBorder="1" applyAlignment="1">
      <alignment horizontal="right" vertical="center" wrapText="1"/>
    </xf>
    <xf numFmtId="0" fontId="8" fillId="2" borderId="0" xfId="0" applyFont="1" applyFill="1" applyAlignment="1">
      <alignment vertical="center"/>
    </xf>
    <xf numFmtId="0" fontId="8" fillId="3" borderId="0" xfId="0" applyFont="1" applyFill="1" applyAlignment="1">
      <alignment vertical="center"/>
    </xf>
    <xf numFmtId="0" fontId="4" fillId="0" borderId="13" xfId="0" applyFont="1" applyBorder="1" applyAlignment="1">
      <alignment horizontal="center" vertical="center"/>
    </xf>
    <xf numFmtId="0" fontId="8" fillId="0" borderId="0" xfId="0" applyFont="1" applyAlignment="1">
      <alignment vertical="center" wrapText="1"/>
    </xf>
    <xf numFmtId="0" fontId="9" fillId="0" borderId="0" xfId="0" applyFont="1"/>
    <xf numFmtId="0" fontId="8" fillId="0" borderId="0" xfId="0" applyFont="1" applyAlignment="1">
      <alignment horizontal="right" vertical="center"/>
    </xf>
    <xf numFmtId="43" fontId="9" fillId="0" borderId="2" xfId="1" applyFont="1" applyBorder="1" applyAlignment="1">
      <alignment horizontal="center" vertical="center"/>
    </xf>
    <xf numFmtId="43" fontId="10" fillId="0" borderId="2" xfId="1" applyFont="1" applyBorder="1" applyAlignment="1">
      <alignment horizontal="center" vertical="center" wrapText="1"/>
    </xf>
    <xf numFmtId="0" fontId="9" fillId="2" borderId="0" xfId="0" applyFont="1" applyFill="1"/>
    <xf numFmtId="166" fontId="9" fillId="2" borderId="0" xfId="1" applyNumberFormat="1" applyFont="1" applyFill="1" applyAlignment="1">
      <alignment horizontal="center"/>
    </xf>
    <xf numFmtId="165" fontId="9" fillId="2" borderId="0" xfId="0" applyNumberFormat="1" applyFont="1" applyFill="1"/>
    <xf numFmtId="43" fontId="9" fillId="2" borderId="0" xfId="0" applyNumberFormat="1" applyFont="1" applyFill="1" applyAlignment="1">
      <alignment vertical="center"/>
    </xf>
    <xf numFmtId="0" fontId="9" fillId="10" borderId="0" xfId="0" applyFont="1" applyFill="1"/>
    <xf numFmtId="166" fontId="9" fillId="0" borderId="0" xfId="1" applyNumberFormat="1" applyFont="1" applyAlignment="1">
      <alignment horizontal="center"/>
    </xf>
    <xf numFmtId="0" fontId="4" fillId="0" borderId="13" xfId="0" applyFont="1" applyBorder="1" applyAlignment="1">
      <alignment vertical="center"/>
    </xf>
    <xf numFmtId="0" fontId="4" fillId="2" borderId="13" xfId="0" applyFont="1" applyFill="1" applyBorder="1" applyAlignment="1">
      <alignment vertical="center"/>
    </xf>
    <xf numFmtId="0" fontId="3" fillId="0" borderId="13"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left" vertical="center"/>
    </xf>
    <xf numFmtId="164" fontId="5" fillId="0" borderId="2" xfId="0" applyNumberFormat="1" applyFont="1" applyBorder="1" applyAlignment="1">
      <alignment horizontal="left" vertical="center"/>
    </xf>
    <xf numFmtId="17" fontId="5" fillId="0" borderId="2" xfId="0" applyNumberFormat="1" applyFont="1" applyBorder="1" applyAlignment="1">
      <alignment horizontal="left" vertical="center"/>
    </xf>
    <xf numFmtId="3" fontId="5" fillId="3" borderId="2" xfId="0" applyNumberFormat="1" applyFont="1" applyFill="1" applyBorder="1" applyAlignment="1">
      <alignment horizontal="left" vertical="center" wrapText="1"/>
    </xf>
    <xf numFmtId="0" fontId="3" fillId="0" borderId="4" xfId="0" applyFont="1" applyBorder="1" applyAlignment="1">
      <alignment horizontal="center" vertical="center" wrapText="1"/>
    </xf>
    <xf numFmtId="0" fontId="16" fillId="0" borderId="2" xfId="0" applyFont="1" applyBorder="1" applyAlignment="1">
      <alignment horizontal="center" vertical="center" wrapText="1"/>
    </xf>
    <xf numFmtId="165" fontId="3" fillId="0" borderId="2" xfId="2" applyNumberFormat="1" applyFont="1" applyBorder="1" applyAlignment="1">
      <alignment horizontal="center" vertical="center" wrapText="1"/>
    </xf>
    <xf numFmtId="165" fontId="16" fillId="0" borderId="2" xfId="2" applyNumberFormat="1" applyFont="1" applyBorder="1" applyAlignment="1">
      <alignment horizontal="center" vertical="center"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7" xfId="0" applyFont="1" applyFill="1" applyBorder="1" applyAlignment="1">
      <alignment horizontal="center" vertical="center"/>
    </xf>
    <xf numFmtId="0" fontId="3" fillId="5" borderId="7" xfId="0" applyFont="1" applyFill="1" applyBorder="1" applyAlignment="1">
      <alignment vertical="center"/>
    </xf>
    <xf numFmtId="0" fontId="3" fillId="5" borderId="7" xfId="0" applyFont="1" applyFill="1" applyBorder="1" applyAlignment="1">
      <alignment horizontal="center" vertical="center"/>
    </xf>
    <xf numFmtId="0" fontId="3" fillId="0" borderId="9" xfId="0" applyFont="1" applyBorder="1" applyAlignment="1">
      <alignment vertical="center" wrapText="1"/>
    </xf>
    <xf numFmtId="0" fontId="3" fillId="6" borderId="6" xfId="0" applyFont="1" applyFill="1" applyBorder="1" applyAlignment="1">
      <alignment horizontal="left" vertical="center"/>
    </xf>
    <xf numFmtId="0" fontId="3" fillId="6" borderId="7" xfId="0" applyFont="1" applyFill="1" applyBorder="1" applyAlignment="1">
      <alignment horizontal="left" vertical="center"/>
    </xf>
    <xf numFmtId="0" fontId="3" fillId="6" borderId="7" xfId="0" applyFont="1" applyFill="1" applyBorder="1" applyAlignment="1">
      <alignment vertical="center"/>
    </xf>
    <xf numFmtId="0" fontId="3" fillId="6" borderId="7" xfId="0" applyFont="1" applyFill="1" applyBorder="1" applyAlignment="1">
      <alignment horizontal="center" vertical="center"/>
    </xf>
    <xf numFmtId="0" fontId="3" fillId="0" borderId="7" xfId="0" applyFont="1" applyBorder="1" applyAlignment="1">
      <alignment vertical="center"/>
    </xf>
    <xf numFmtId="0" fontId="3" fillId="0" borderId="11"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horizontal="center" vertical="center"/>
    </xf>
    <xf numFmtId="1" fontId="11" fillId="0" borderId="2" xfId="0" applyNumberFormat="1" applyFont="1" applyBorder="1" applyAlignment="1">
      <alignment horizontal="center" vertical="center"/>
    </xf>
    <xf numFmtId="1" fontId="13" fillId="0" borderId="2" xfId="0" applyNumberFormat="1" applyFont="1" applyBorder="1" applyAlignment="1">
      <alignment horizontal="center" vertical="center"/>
    </xf>
    <xf numFmtId="0" fontId="11" fillId="0" borderId="2" xfId="0" applyFont="1" applyBorder="1" applyAlignment="1">
      <alignment horizontal="justify" vertical="center"/>
    </xf>
    <xf numFmtId="43" fontId="11" fillId="0" borderId="2" xfId="1" applyFont="1" applyBorder="1" applyAlignment="1">
      <alignment horizontal="right" vertical="center" wrapText="1"/>
    </xf>
    <xf numFmtId="0" fontId="11" fillId="0" borderId="11" xfId="0" applyFont="1" applyBorder="1" applyAlignment="1">
      <alignment vertical="center" wrapText="1"/>
    </xf>
    <xf numFmtId="1" fontId="11" fillId="0" borderId="4" xfId="0" applyNumberFormat="1" applyFont="1" applyBorder="1" applyAlignment="1">
      <alignment horizontal="center" vertical="center"/>
    </xf>
    <xf numFmtId="0" fontId="11" fillId="0" borderId="1" xfId="0" applyFont="1" applyBorder="1" applyAlignment="1">
      <alignment vertical="center" wrapText="1"/>
    </xf>
    <xf numFmtId="1" fontId="11" fillId="0" borderId="11" xfId="0" applyNumberFormat="1" applyFont="1" applyBorder="1" applyAlignment="1">
      <alignment horizontal="center" vertical="center"/>
    </xf>
    <xf numFmtId="0" fontId="11" fillId="0" borderId="14" xfId="0" applyFont="1" applyBorder="1" applyAlignment="1">
      <alignment vertical="center" wrapText="1"/>
    </xf>
    <xf numFmtId="1" fontId="11" fillId="0" borderId="12" xfId="0" applyNumberFormat="1" applyFont="1" applyBorder="1" applyAlignment="1">
      <alignment horizontal="center" vertical="center"/>
    </xf>
    <xf numFmtId="0" fontId="3" fillId="0" borderId="12" xfId="0" applyFont="1" applyBorder="1" applyAlignment="1">
      <alignment vertical="center" wrapText="1"/>
    </xf>
    <xf numFmtId="0" fontId="11"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1" fillId="7" borderId="2" xfId="0" applyFont="1" applyFill="1" applyBorder="1" applyAlignment="1">
      <alignment horizontal="justify" vertical="center" wrapText="1"/>
    </xf>
    <xf numFmtId="0" fontId="11" fillId="7" borderId="2" xfId="0" applyFont="1" applyFill="1" applyBorder="1" applyAlignment="1">
      <alignment horizontal="center" vertical="center" wrapText="1"/>
    </xf>
    <xf numFmtId="0" fontId="11" fillId="7" borderId="2" xfId="0" applyFont="1" applyFill="1" applyBorder="1" applyAlignment="1">
      <alignment horizontal="center" vertical="center"/>
    </xf>
    <xf numFmtId="0" fontId="3" fillId="0" borderId="13" xfId="0" applyFont="1" applyBorder="1" applyAlignment="1">
      <alignment vertical="center" wrapText="1"/>
    </xf>
    <xf numFmtId="0" fontId="11" fillId="6" borderId="2" xfId="0" applyFont="1" applyFill="1" applyBorder="1" applyAlignment="1">
      <alignment horizontal="justify" vertical="center" wrapText="1"/>
    </xf>
    <xf numFmtId="0" fontId="11" fillId="6" borderId="2" xfId="0" applyFont="1" applyFill="1" applyBorder="1" applyAlignment="1">
      <alignment horizontal="center" vertical="center" wrapText="1"/>
    </xf>
    <xf numFmtId="0" fontId="11" fillId="6" borderId="2" xfId="0" applyFont="1" applyFill="1" applyBorder="1" applyAlignment="1">
      <alignment horizontal="center" vertical="center"/>
    </xf>
    <xf numFmtId="0" fontId="11" fillId="5" borderId="2" xfId="0" applyFont="1" applyFill="1" applyBorder="1" applyAlignment="1">
      <alignment horizontal="justify" vertical="center" wrapText="1"/>
    </xf>
    <xf numFmtId="0" fontId="11" fillId="5" borderId="2"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8" borderId="2" xfId="0" applyFont="1" applyFill="1" applyBorder="1" applyAlignment="1">
      <alignment horizontal="justify" vertical="center" wrapText="1"/>
    </xf>
    <xf numFmtId="0" fontId="11" fillId="8" borderId="2" xfId="0" applyFont="1" applyFill="1" applyBorder="1" applyAlignment="1">
      <alignment horizontal="center" vertical="center" wrapText="1"/>
    </xf>
    <xf numFmtId="0" fontId="11" fillId="8" borderId="2" xfId="0" applyFont="1" applyFill="1" applyBorder="1" applyAlignment="1">
      <alignment horizontal="center" vertical="center"/>
    </xf>
    <xf numFmtId="0" fontId="11" fillId="0" borderId="6"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7" xfId="0" applyFont="1" applyBorder="1" applyAlignment="1">
      <alignment horizontal="center" vertical="center"/>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7" borderId="6" xfId="0" applyFont="1" applyFill="1" applyBorder="1" applyAlignment="1">
      <alignment horizontal="justify" vertical="center" wrapText="1"/>
    </xf>
    <xf numFmtId="0" fontId="3" fillId="7" borderId="7" xfId="0" applyFont="1" applyFill="1" applyBorder="1" applyAlignment="1">
      <alignment horizontal="left" vertical="center"/>
    </xf>
    <xf numFmtId="0" fontId="3" fillId="7" borderId="7" xfId="0" applyFont="1" applyFill="1" applyBorder="1" applyAlignment="1">
      <alignment vertical="center"/>
    </xf>
    <xf numFmtId="0" fontId="3" fillId="7" borderId="8" xfId="0" applyFont="1" applyFill="1" applyBorder="1" applyAlignment="1">
      <alignment vertical="center"/>
    </xf>
    <xf numFmtId="0" fontId="11" fillId="0" borderId="8" xfId="0" applyFont="1" applyBorder="1" applyAlignment="1">
      <alignment horizontal="justify" vertical="center" wrapText="1"/>
    </xf>
    <xf numFmtId="2" fontId="11" fillId="0" borderId="7" xfId="0" applyNumberFormat="1" applyFont="1" applyBorder="1" applyAlignment="1">
      <alignment horizontal="center" vertical="center"/>
    </xf>
    <xf numFmtId="2" fontId="11" fillId="7" borderId="2" xfId="0" applyNumberFormat="1" applyFont="1" applyFill="1" applyBorder="1" applyAlignment="1">
      <alignment horizontal="center" vertical="center"/>
    </xf>
    <xf numFmtId="0" fontId="11" fillId="6" borderId="7" xfId="0" applyFont="1" applyFill="1" applyBorder="1" applyAlignment="1">
      <alignment horizontal="justify" vertical="center" wrapText="1"/>
    </xf>
    <xf numFmtId="0" fontId="11" fillId="6" borderId="7" xfId="0" applyFont="1" applyFill="1" applyBorder="1" applyAlignment="1">
      <alignment horizontal="center" vertical="center" wrapText="1"/>
    </xf>
    <xf numFmtId="0" fontId="11" fillId="6" borderId="7" xfId="0" applyFont="1" applyFill="1" applyBorder="1" applyAlignment="1">
      <alignment horizontal="center" vertical="center"/>
    </xf>
    <xf numFmtId="2" fontId="11" fillId="6" borderId="7" xfId="0" applyNumberFormat="1" applyFont="1" applyFill="1" applyBorder="1" applyAlignment="1">
      <alignment horizontal="center" vertical="center"/>
    </xf>
    <xf numFmtId="0" fontId="11" fillId="0" borderId="7" xfId="0" applyFont="1" applyBorder="1" applyAlignment="1">
      <alignment horizontal="justify" vertical="center"/>
    </xf>
    <xf numFmtId="2" fontId="3" fillId="6" borderId="7" xfId="0" applyNumberFormat="1" applyFont="1" applyFill="1" applyBorder="1" applyAlignment="1">
      <alignment vertical="center"/>
    </xf>
    <xf numFmtId="2" fontId="3" fillId="7" borderId="7" xfId="0" applyNumberFormat="1" applyFont="1" applyFill="1" applyBorder="1" applyAlignment="1">
      <alignment vertical="center"/>
    </xf>
    <xf numFmtId="0" fontId="11" fillId="0" borderId="12" xfId="0" applyFont="1" applyBorder="1" applyAlignment="1">
      <alignment vertical="center" wrapText="1"/>
    </xf>
    <xf numFmtId="0" fontId="11" fillId="7" borderId="4" xfId="0" applyFont="1" applyFill="1" applyBorder="1" applyAlignment="1">
      <alignment horizontal="justify" vertical="center" wrapText="1"/>
    </xf>
    <xf numFmtId="0" fontId="11" fillId="7" borderId="4" xfId="0" applyFont="1" applyFill="1" applyBorder="1" applyAlignment="1">
      <alignment horizontal="center" vertical="center" wrapText="1"/>
    </xf>
    <xf numFmtId="0" fontId="11" fillId="6" borderId="8" xfId="0" applyFont="1" applyFill="1" applyBorder="1" applyAlignment="1">
      <alignment horizontal="justify" vertical="center" wrapText="1"/>
    </xf>
    <xf numFmtId="0" fontId="11" fillId="6" borderId="6"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4" xfId="0" applyFont="1" applyFill="1" applyBorder="1" applyAlignment="1">
      <alignment horizontal="justify" vertical="center" wrapText="1"/>
    </xf>
    <xf numFmtId="0" fontId="11" fillId="6" borderId="4" xfId="0" applyFont="1" applyFill="1" applyBorder="1" applyAlignment="1">
      <alignment horizontal="center" vertical="center" wrapText="1"/>
    </xf>
    <xf numFmtId="2" fontId="11" fillId="6" borderId="2" xfId="0" applyNumberFormat="1" applyFont="1" applyFill="1" applyBorder="1" applyAlignment="1">
      <alignment horizontal="center" vertical="center"/>
    </xf>
    <xf numFmtId="0" fontId="11" fillId="0" borderId="9" xfId="0" applyFont="1" applyBorder="1" applyAlignment="1">
      <alignment horizontal="justify" vertical="center" wrapText="1"/>
    </xf>
    <xf numFmtId="0" fontId="3" fillId="6" borderId="8" xfId="0" applyFont="1" applyFill="1" applyBorder="1" applyAlignment="1">
      <alignment horizontal="justify" vertical="center" wrapText="1"/>
    </xf>
    <xf numFmtId="0" fontId="3" fillId="6" borderId="6" xfId="0" applyFont="1" applyFill="1" applyBorder="1" applyAlignment="1">
      <alignment horizontal="center" vertical="center"/>
    </xf>
    <xf numFmtId="0" fontId="3" fillId="9" borderId="6" xfId="0" applyFont="1" applyFill="1" applyBorder="1" applyAlignment="1">
      <alignment horizontal="left" vertical="center"/>
    </xf>
    <xf numFmtId="0" fontId="3" fillId="9" borderId="7" xfId="0" applyFont="1" applyFill="1" applyBorder="1" applyAlignment="1">
      <alignment vertical="center"/>
    </xf>
    <xf numFmtId="2" fontId="3" fillId="9" borderId="7" xfId="0" applyNumberFormat="1" applyFont="1" applyFill="1" applyBorder="1" applyAlignment="1">
      <alignment vertical="center"/>
    </xf>
    <xf numFmtId="1" fontId="11" fillId="0" borderId="2" xfId="0" applyNumberFormat="1" applyFont="1" applyBorder="1" applyAlignment="1">
      <alignment horizontal="center" vertical="center" wrapText="1"/>
    </xf>
    <xf numFmtId="167" fontId="11" fillId="0" borderId="2" xfId="0" applyNumberFormat="1" applyFont="1" applyBorder="1" applyAlignment="1">
      <alignment horizontal="center" vertical="center" wrapText="1"/>
    </xf>
    <xf numFmtId="165" fontId="11" fillId="0" borderId="2" xfId="2" applyNumberFormat="1" applyFont="1" applyBorder="1" applyAlignment="1">
      <alignment horizontal="center" vertical="center" wrapText="1"/>
    </xf>
    <xf numFmtId="2" fontId="11" fillId="0" borderId="2" xfId="0" applyNumberFormat="1" applyFont="1" applyBorder="1" applyAlignment="1">
      <alignment horizontal="center" vertical="center"/>
    </xf>
    <xf numFmtId="2" fontId="11" fillId="0" borderId="2" xfId="0" applyNumberFormat="1" applyFont="1" applyBorder="1" applyAlignment="1">
      <alignment horizontal="center" vertical="center" wrapText="1"/>
    </xf>
    <xf numFmtId="167" fontId="11" fillId="0" borderId="2" xfId="0" applyNumberFormat="1" applyFont="1" applyBorder="1" applyAlignment="1">
      <alignment horizontal="center" vertical="center"/>
    </xf>
    <xf numFmtId="1" fontId="11" fillId="7" borderId="2" xfId="0" applyNumberFormat="1" applyFont="1" applyFill="1" applyBorder="1" applyAlignment="1">
      <alignment horizontal="center" vertical="center"/>
    </xf>
    <xf numFmtId="0" fontId="3" fillId="0" borderId="14" xfId="0" applyFont="1" applyBorder="1" applyAlignment="1">
      <alignment vertical="center" wrapText="1"/>
    </xf>
    <xf numFmtId="1" fontId="11" fillId="6" borderId="2" xfId="0" applyNumberFormat="1" applyFont="1" applyFill="1" applyBorder="1" applyAlignment="1">
      <alignment horizontal="center" vertical="center"/>
    </xf>
    <xf numFmtId="1" fontId="11" fillId="5" borderId="2" xfId="0" applyNumberFormat="1" applyFont="1" applyFill="1" applyBorder="1" applyAlignment="1">
      <alignment horizontal="center" vertical="center"/>
    </xf>
    <xf numFmtId="1" fontId="11" fillId="8" borderId="2" xfId="0" applyNumberFormat="1" applyFont="1" applyFill="1" applyBorder="1" applyAlignment="1">
      <alignment horizontal="center" vertical="center"/>
    </xf>
    <xf numFmtId="0" fontId="11" fillId="0" borderId="5" xfId="0" applyFont="1" applyBorder="1" applyAlignment="1">
      <alignment horizontal="justify" vertical="center" wrapText="1"/>
    </xf>
    <xf numFmtId="0" fontId="11" fillId="0" borderId="9" xfId="0" applyFont="1" applyBorder="1" applyAlignment="1">
      <alignment horizontal="center" vertical="center"/>
    </xf>
    <xf numFmtId="0" fontId="3" fillId="4" borderId="5" xfId="0" applyFont="1" applyFill="1" applyBorder="1" applyAlignment="1">
      <alignment horizontal="left" vertical="center"/>
    </xf>
    <xf numFmtId="0" fontId="3" fillId="4" borderId="9" xfId="0" applyFont="1" applyFill="1" applyBorder="1" applyAlignment="1">
      <alignment horizontal="left" vertical="center"/>
    </xf>
    <xf numFmtId="0" fontId="3" fillId="4" borderId="9" xfId="0" applyFont="1" applyFill="1" applyBorder="1" applyAlignment="1">
      <alignment horizontal="center" vertical="center"/>
    </xf>
    <xf numFmtId="1" fontId="3" fillId="4" borderId="9" xfId="0" applyNumberFormat="1" applyFont="1" applyFill="1" applyBorder="1" applyAlignment="1">
      <alignment horizontal="left" vertical="center"/>
    </xf>
    <xf numFmtId="1" fontId="3" fillId="5" borderId="7" xfId="0" applyNumberFormat="1" applyFont="1" applyFill="1" applyBorder="1" applyAlignment="1">
      <alignment vertical="center"/>
    </xf>
    <xf numFmtId="0" fontId="3" fillId="6" borderId="7" xfId="0" applyFont="1" applyFill="1" applyBorder="1" applyAlignment="1">
      <alignment horizontal="justify" vertical="center" wrapText="1"/>
    </xf>
    <xf numFmtId="1" fontId="3" fillId="6" borderId="7" xfId="0" applyNumberFormat="1" applyFont="1" applyFill="1" applyBorder="1" applyAlignment="1">
      <alignment vertical="center"/>
    </xf>
    <xf numFmtId="0" fontId="3" fillId="0" borderId="7" xfId="0" applyFont="1" applyBorder="1" applyAlignment="1">
      <alignment horizontal="center" vertical="center" wrapText="1"/>
    </xf>
    <xf numFmtId="1" fontId="3" fillId="7" borderId="7" xfId="0" applyNumberFormat="1" applyFont="1" applyFill="1" applyBorder="1" applyAlignment="1">
      <alignment vertical="center"/>
    </xf>
    <xf numFmtId="2" fontId="11" fillId="5" borderId="2" xfId="0" applyNumberFormat="1" applyFont="1" applyFill="1" applyBorder="1" applyAlignment="1">
      <alignment horizontal="center" vertical="center"/>
    </xf>
    <xf numFmtId="2" fontId="11" fillId="8" borderId="2" xfId="0" applyNumberFormat="1" applyFont="1" applyFill="1" applyBorder="1" applyAlignment="1">
      <alignment horizontal="center" vertical="center"/>
    </xf>
    <xf numFmtId="2" fontId="3" fillId="4" borderId="7" xfId="0" applyNumberFormat="1" applyFont="1" applyFill="1" applyBorder="1" applyAlignment="1">
      <alignment horizontal="left" vertical="center"/>
    </xf>
    <xf numFmtId="2" fontId="3" fillId="5" borderId="7" xfId="0" applyNumberFormat="1" applyFont="1" applyFill="1" applyBorder="1" applyAlignment="1">
      <alignment vertical="center"/>
    </xf>
    <xf numFmtId="0" fontId="3" fillId="6" borderId="6" xfId="0" applyFont="1" applyFill="1" applyBorder="1" applyAlignment="1">
      <alignment horizontal="justify" vertical="center" wrapText="1"/>
    </xf>
    <xf numFmtId="0" fontId="11" fillId="0" borderId="2" xfId="1" applyNumberFormat="1" applyFont="1" applyBorder="1" applyAlignment="1">
      <alignment horizontal="center" vertical="center" wrapText="1"/>
    </xf>
    <xf numFmtId="43" fontId="11" fillId="0" borderId="2" xfId="1" applyFont="1" applyBorder="1" applyAlignment="1">
      <alignment horizontal="center" vertical="center" wrapText="1"/>
    </xf>
    <xf numFmtId="1" fontId="11" fillId="7" borderId="2"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3" fillId="7" borderId="2" xfId="0" applyFont="1" applyFill="1" applyBorder="1" applyAlignment="1">
      <alignment horizontal="justify" vertical="center" wrapText="1"/>
    </xf>
    <xf numFmtId="0" fontId="3" fillId="7" borderId="6" xfId="0" applyFont="1" applyFill="1" applyBorder="1" applyAlignment="1">
      <alignment horizontal="left" vertical="center"/>
    </xf>
    <xf numFmtId="43" fontId="11" fillId="0" borderId="6" xfId="1" applyFont="1" applyBorder="1" applyAlignment="1">
      <alignment horizontal="center" vertical="center" wrapText="1"/>
    </xf>
    <xf numFmtId="0" fontId="11" fillId="0" borderId="2" xfId="0" applyFont="1" applyBorder="1"/>
    <xf numFmtId="0" fontId="11" fillId="0" borderId="2" xfId="0" applyFont="1" applyBorder="1" applyAlignment="1">
      <alignment vertical="center" wrapText="1"/>
    </xf>
    <xf numFmtId="165" fontId="11" fillId="7" borderId="2" xfId="0" applyNumberFormat="1" applyFont="1" applyFill="1" applyBorder="1" applyAlignment="1">
      <alignment horizontal="justify" vertical="center" wrapText="1"/>
    </xf>
    <xf numFmtId="165" fontId="11" fillId="7" borderId="2"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0" fontId="11" fillId="5" borderId="8" xfId="0" applyFont="1" applyFill="1" applyBorder="1" applyAlignment="1">
      <alignment horizontal="justify" vertical="center" wrapText="1"/>
    </xf>
    <xf numFmtId="1" fontId="11" fillId="5" borderId="2"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1" fontId="11" fillId="0" borderId="7" xfId="0" applyNumberFormat="1" applyFont="1" applyBorder="1" applyAlignment="1">
      <alignment horizontal="center" vertical="center" wrapText="1"/>
    </xf>
    <xf numFmtId="0" fontId="3" fillId="6" borderId="2" xfId="0" applyFont="1" applyFill="1" applyBorder="1" applyAlignment="1">
      <alignment horizontal="justify" vertical="center" wrapText="1"/>
    </xf>
    <xf numFmtId="3" fontId="3" fillId="7" borderId="7" xfId="0" applyNumberFormat="1" applyFont="1" applyFill="1" applyBorder="1" applyAlignment="1">
      <alignment vertical="center"/>
    </xf>
    <xf numFmtId="0" fontId="11" fillId="0" borderId="2" xfId="2" applyNumberFormat="1" applyFont="1" applyBorder="1" applyAlignment="1">
      <alignment horizontal="center" vertical="center" wrapText="1"/>
    </xf>
    <xf numFmtId="1" fontId="11" fillId="0" borderId="2" xfId="2" applyNumberFormat="1" applyFont="1" applyBorder="1" applyAlignment="1">
      <alignment horizontal="center" vertical="center" wrapText="1"/>
    </xf>
    <xf numFmtId="0" fontId="11" fillId="9" borderId="2" xfId="0" applyFont="1" applyFill="1" applyBorder="1" applyAlignment="1">
      <alignment horizontal="center" vertical="center" wrapText="1"/>
    </xf>
    <xf numFmtId="0" fontId="11" fillId="9" borderId="2" xfId="0" applyFont="1" applyFill="1" applyBorder="1" applyAlignment="1">
      <alignment horizontal="justify" vertical="center" wrapText="1"/>
    </xf>
    <xf numFmtId="165" fontId="11" fillId="9" borderId="2" xfId="0" applyNumberFormat="1" applyFont="1" applyFill="1" applyBorder="1" applyAlignment="1">
      <alignment horizontal="justify" vertical="center" wrapText="1"/>
    </xf>
    <xf numFmtId="0" fontId="3" fillId="0" borderId="5" xfId="0" applyFont="1" applyBorder="1" applyAlignment="1">
      <alignment vertical="center" wrapText="1"/>
    </xf>
    <xf numFmtId="0" fontId="3" fillId="7" borderId="8" xfId="0" applyFont="1" applyFill="1" applyBorder="1" applyAlignment="1">
      <alignment horizontal="justify" vertical="center" wrapText="1"/>
    </xf>
    <xf numFmtId="0" fontId="3" fillId="7" borderId="5" xfId="0" applyFont="1" applyFill="1" applyBorder="1" applyAlignment="1">
      <alignment vertical="center"/>
    </xf>
    <xf numFmtId="0" fontId="3" fillId="7" borderId="9" xfId="0" applyFont="1" applyFill="1" applyBorder="1" applyAlignment="1">
      <alignment vertical="center"/>
    </xf>
    <xf numFmtId="2" fontId="3" fillId="7" borderId="9" xfId="0" applyNumberFormat="1" applyFont="1" applyFill="1" applyBorder="1" applyAlignment="1">
      <alignment vertical="center"/>
    </xf>
    <xf numFmtId="0" fontId="3" fillId="0" borderId="17" xfId="0" applyFont="1" applyBorder="1" applyAlignment="1">
      <alignment vertical="center"/>
    </xf>
    <xf numFmtId="0" fontId="11" fillId="0" borderId="3" xfId="0" applyFont="1" applyBorder="1" applyAlignment="1">
      <alignment vertical="center" wrapText="1"/>
    </xf>
    <xf numFmtId="0" fontId="11" fillId="9" borderId="12" xfId="0" applyFont="1" applyFill="1" applyBorder="1" applyAlignment="1">
      <alignment horizontal="center" vertical="center" wrapText="1"/>
    </xf>
    <xf numFmtId="1" fontId="11" fillId="8" borderId="2" xfId="0" applyNumberFormat="1" applyFont="1" applyFill="1" applyBorder="1" applyAlignment="1">
      <alignment horizontal="justify" vertical="center" wrapText="1"/>
    </xf>
    <xf numFmtId="1" fontId="11" fillId="0" borderId="6" xfId="0" applyNumberFormat="1" applyFont="1" applyBorder="1" applyAlignment="1">
      <alignment horizontal="center" vertical="center"/>
    </xf>
    <xf numFmtId="3" fontId="11" fillId="0" borderId="2"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2" fontId="11" fillId="0" borderId="9" xfId="0" applyNumberFormat="1" applyFont="1" applyBorder="1" applyAlignment="1">
      <alignment horizontal="center" vertical="center"/>
    </xf>
    <xf numFmtId="0" fontId="3" fillId="7" borderId="6" xfId="0" applyFont="1" applyFill="1" applyBorder="1" applyAlignment="1">
      <alignment vertical="center"/>
    </xf>
    <xf numFmtId="0" fontId="3" fillId="7" borderId="7" xfId="0" applyFont="1" applyFill="1" applyBorder="1" applyAlignment="1">
      <alignment horizontal="center" vertical="center"/>
    </xf>
    <xf numFmtId="0" fontId="11" fillId="0" borderId="2" xfId="2" applyNumberFormat="1" applyFont="1" applyBorder="1" applyAlignment="1">
      <alignment horizontal="center" vertical="center"/>
    </xf>
    <xf numFmtId="2" fontId="11" fillId="7" borderId="12" xfId="2" applyNumberFormat="1" applyFont="1" applyFill="1" applyBorder="1" applyAlignment="1">
      <alignment horizontal="center" vertical="center"/>
    </xf>
    <xf numFmtId="2" fontId="11" fillId="7" borderId="2" xfId="2" applyNumberFormat="1" applyFont="1" applyFill="1" applyBorder="1" applyAlignment="1">
      <alignment horizontal="center" vertical="center"/>
    </xf>
    <xf numFmtId="0" fontId="11" fillId="7" borderId="2" xfId="2" applyNumberFormat="1" applyFont="1" applyFill="1" applyBorder="1" applyAlignment="1">
      <alignment horizontal="center" vertical="center"/>
    </xf>
    <xf numFmtId="2" fontId="11" fillId="0" borderId="7" xfId="2" applyNumberFormat="1" applyFont="1" applyBorder="1" applyAlignment="1">
      <alignment horizontal="center" vertical="center"/>
    </xf>
    <xf numFmtId="2" fontId="11" fillId="0" borderId="9" xfId="2" applyNumberFormat="1" applyFont="1" applyBorder="1" applyAlignment="1">
      <alignment horizontal="center" vertical="center"/>
    </xf>
    <xf numFmtId="0" fontId="11" fillId="0" borderId="9" xfId="2" applyNumberFormat="1" applyFont="1" applyBorder="1" applyAlignment="1">
      <alignment horizontal="center" vertical="center"/>
    </xf>
    <xf numFmtId="0" fontId="3" fillId="6" borderId="9" xfId="0" applyFont="1" applyFill="1" applyBorder="1" applyAlignment="1">
      <alignment horizontal="center" vertical="center"/>
    </xf>
    <xf numFmtId="0" fontId="3" fillId="6" borderId="9" xfId="0" applyFont="1" applyFill="1" applyBorder="1" applyAlignment="1">
      <alignment vertical="center"/>
    </xf>
    <xf numFmtId="2" fontId="3" fillId="6" borderId="9" xfId="0" applyNumberFormat="1" applyFont="1" applyFill="1" applyBorder="1" applyAlignment="1">
      <alignment vertical="center"/>
    </xf>
    <xf numFmtId="2" fontId="3" fillId="7" borderId="7" xfId="0" applyNumberFormat="1" applyFont="1" applyFill="1" applyBorder="1" applyAlignment="1">
      <alignment horizontal="left" vertical="center"/>
    </xf>
    <xf numFmtId="0" fontId="11" fillId="5" borderId="4" xfId="0" applyFont="1" applyFill="1" applyBorder="1" applyAlignment="1">
      <alignment horizontal="justify" vertical="center" wrapText="1"/>
    </xf>
    <xf numFmtId="0" fontId="11" fillId="5" borderId="4" xfId="0" applyFont="1" applyFill="1" applyBorder="1" applyAlignment="1">
      <alignment horizontal="center" vertical="center" wrapText="1"/>
    </xf>
    <xf numFmtId="0" fontId="3" fillId="0" borderId="10" xfId="0" applyFont="1" applyBorder="1" applyAlignment="1">
      <alignment horizontal="justify" vertical="center" wrapText="1"/>
    </xf>
    <xf numFmtId="0" fontId="11" fillId="7" borderId="2" xfId="0" applyFont="1" applyFill="1" applyBorder="1" applyAlignment="1">
      <alignment horizontal="justify" vertical="center"/>
    </xf>
    <xf numFmtId="0" fontId="11" fillId="0" borderId="14" xfId="0" applyFont="1" applyBorder="1" applyAlignment="1">
      <alignment horizontal="center" vertical="center" wrapText="1"/>
    </xf>
    <xf numFmtId="3" fontId="11" fillId="0" borderId="2" xfId="0" applyNumberFormat="1" applyFont="1" applyBorder="1" applyAlignment="1">
      <alignment horizontal="center" vertical="center"/>
    </xf>
    <xf numFmtId="3" fontId="11" fillId="7" borderId="2" xfId="0"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3" fillId="0" borderId="13" xfId="0" applyFont="1" applyBorder="1" applyAlignment="1">
      <alignment horizontal="justify" vertical="center"/>
    </xf>
    <xf numFmtId="0" fontId="3" fillId="0" borderId="13" xfId="0" applyFont="1" applyBorder="1" applyAlignment="1">
      <alignment horizontal="center" vertical="center"/>
    </xf>
    <xf numFmtId="3" fontId="11" fillId="0" borderId="7" xfId="0" applyNumberFormat="1" applyFont="1" applyBorder="1" applyAlignment="1">
      <alignment horizontal="center" vertical="center" wrapText="1"/>
    </xf>
    <xf numFmtId="3" fontId="11" fillId="7" borderId="2" xfId="0" applyNumberFormat="1" applyFont="1" applyFill="1" applyBorder="1" applyAlignment="1">
      <alignment horizontal="center" vertical="center"/>
    </xf>
    <xf numFmtId="3" fontId="11" fillId="0" borderId="7" xfId="0" applyNumberFormat="1" applyFont="1" applyBorder="1" applyAlignment="1">
      <alignment horizontal="center" vertical="center"/>
    </xf>
    <xf numFmtId="0" fontId="3" fillId="6" borderId="2" xfId="0" applyFont="1" applyFill="1" applyBorder="1" applyAlignment="1">
      <alignment horizontal="justify" vertical="center"/>
    </xf>
    <xf numFmtId="0" fontId="3" fillId="6" borderId="2" xfId="0" applyFont="1" applyFill="1" applyBorder="1" applyAlignment="1">
      <alignment horizontal="center" vertical="center"/>
    </xf>
    <xf numFmtId="3" fontId="11" fillId="6" borderId="2" xfId="0" applyNumberFormat="1" applyFont="1" applyFill="1" applyBorder="1" applyAlignment="1">
      <alignment horizontal="center" vertical="center"/>
    </xf>
    <xf numFmtId="3" fontId="3" fillId="6" borderId="7" xfId="0" applyNumberFormat="1" applyFont="1" applyFill="1" applyBorder="1" applyAlignment="1">
      <alignment vertical="center"/>
    </xf>
    <xf numFmtId="0" fontId="3" fillId="0" borderId="17" xfId="0" applyFont="1" applyBorder="1" applyAlignment="1">
      <alignment horizontal="center" vertical="center" wrapText="1"/>
    </xf>
    <xf numFmtId="0" fontId="3" fillId="9" borderId="6" xfId="0" applyFont="1" applyFill="1" applyBorder="1" applyAlignment="1">
      <alignment horizontal="left" vertical="center" wrapText="1"/>
    </xf>
    <xf numFmtId="3" fontId="3" fillId="9" borderId="7" xfId="0" applyNumberFormat="1" applyFont="1" applyFill="1" applyBorder="1" applyAlignment="1">
      <alignment vertical="center"/>
    </xf>
    <xf numFmtId="0" fontId="3" fillId="0" borderId="10" xfId="0" applyFont="1" applyBorder="1" applyAlignment="1">
      <alignment vertical="center" wrapText="1"/>
    </xf>
    <xf numFmtId="3" fontId="11" fillId="0" borderId="9" xfId="0" applyNumberFormat="1" applyFont="1" applyBorder="1" applyAlignment="1">
      <alignment horizontal="center" vertical="center"/>
    </xf>
    <xf numFmtId="0" fontId="3" fillId="0" borderId="17" xfId="0" applyFont="1" applyBorder="1" applyAlignment="1">
      <alignment vertical="center" wrapText="1"/>
    </xf>
    <xf numFmtId="3" fontId="11" fillId="6" borderId="2" xfId="0" applyNumberFormat="1" applyFont="1" applyFill="1" applyBorder="1" applyAlignment="1">
      <alignment horizontal="center" vertical="center" wrapText="1"/>
    </xf>
    <xf numFmtId="0" fontId="3" fillId="5" borderId="2" xfId="0" applyFont="1" applyFill="1" applyBorder="1" applyAlignment="1">
      <alignment horizontal="justify" vertical="center"/>
    </xf>
    <xf numFmtId="0" fontId="3" fillId="5" borderId="2" xfId="0" applyFont="1" applyFill="1" applyBorder="1" applyAlignment="1">
      <alignment horizontal="center" vertical="center"/>
    </xf>
    <xf numFmtId="3" fontId="11" fillId="5" borderId="2" xfId="0" applyNumberFormat="1" applyFont="1" applyFill="1" applyBorder="1" applyAlignment="1">
      <alignment horizontal="center" vertical="center" wrapText="1"/>
    </xf>
    <xf numFmtId="0" fontId="3" fillId="8" borderId="2" xfId="0" applyFont="1" applyFill="1" applyBorder="1" applyAlignment="1">
      <alignment horizontal="justify" vertical="center"/>
    </xf>
    <xf numFmtId="0" fontId="3" fillId="8" borderId="2" xfId="0" applyFont="1" applyFill="1" applyBorder="1" applyAlignment="1">
      <alignment horizontal="center" vertical="center"/>
    </xf>
    <xf numFmtId="3" fontId="11" fillId="8" borderId="2" xfId="0" applyNumberFormat="1" applyFont="1" applyFill="1" applyBorder="1" applyAlignment="1">
      <alignment horizontal="center" vertical="center" wrapText="1"/>
    </xf>
    <xf numFmtId="0" fontId="3" fillId="0" borderId="7" xfId="0" applyFont="1" applyBorder="1" applyAlignment="1">
      <alignment horizontal="justify" vertical="center"/>
    </xf>
    <xf numFmtId="0" fontId="3" fillId="0" borderId="7" xfId="0" applyFont="1" applyBorder="1" applyAlignment="1">
      <alignment horizontal="center" vertical="center"/>
    </xf>
    <xf numFmtId="3" fontId="3" fillId="4" borderId="7" xfId="0" applyNumberFormat="1" applyFont="1" applyFill="1" applyBorder="1" applyAlignment="1">
      <alignment horizontal="left" vertical="center"/>
    </xf>
    <xf numFmtId="3" fontId="3" fillId="5" borderId="7" xfId="0" applyNumberFormat="1" applyFont="1" applyFill="1" applyBorder="1" applyAlignment="1">
      <alignment vertical="center"/>
    </xf>
    <xf numFmtId="0" fontId="3" fillId="7" borderId="7" xfId="0" applyFont="1" applyFill="1" applyBorder="1" applyAlignment="1">
      <alignment horizontal="justify" vertical="center" wrapText="1"/>
    </xf>
    <xf numFmtId="4" fontId="11" fillId="0" borderId="2" xfId="0" applyNumberFormat="1" applyFont="1" applyBorder="1" applyAlignment="1">
      <alignment horizontal="center" vertical="center" wrapText="1"/>
    </xf>
    <xf numFmtId="4" fontId="3" fillId="7" borderId="7" xfId="0" applyNumberFormat="1" applyFont="1" applyFill="1" applyBorder="1" applyAlignment="1">
      <alignment vertical="center"/>
    </xf>
    <xf numFmtId="4" fontId="11" fillId="7" borderId="2" xfId="0" applyNumberFormat="1" applyFont="1" applyFill="1" applyBorder="1" applyAlignment="1">
      <alignment horizontal="center" vertical="center" wrapText="1"/>
    </xf>
    <xf numFmtId="4" fontId="11" fillId="0" borderId="7" xfId="0" applyNumberFormat="1" applyFont="1" applyBorder="1" applyAlignment="1">
      <alignment horizontal="center" vertical="center" wrapText="1"/>
    </xf>
    <xf numFmtId="4" fontId="11" fillId="6" borderId="2" xfId="0" applyNumberFormat="1" applyFont="1" applyFill="1" applyBorder="1" applyAlignment="1">
      <alignment horizontal="center" vertical="center" wrapText="1"/>
    </xf>
    <xf numFmtId="4" fontId="3" fillId="6" borderId="7" xfId="0" applyNumberFormat="1" applyFont="1" applyFill="1" applyBorder="1" applyAlignment="1">
      <alignment vertical="center"/>
    </xf>
    <xf numFmtId="4" fontId="3" fillId="9" borderId="7" xfId="0" applyNumberFormat="1" applyFont="1" applyFill="1" applyBorder="1" applyAlignment="1">
      <alignment vertical="center"/>
    </xf>
    <xf numFmtId="4" fontId="11" fillId="5" borderId="2" xfId="0" applyNumberFormat="1" applyFont="1" applyFill="1" applyBorder="1" applyAlignment="1">
      <alignment horizontal="center" vertical="center" wrapText="1"/>
    </xf>
    <xf numFmtId="4" fontId="11" fillId="8" borderId="2" xfId="0" applyNumberFormat="1"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7" xfId="0" applyFont="1" applyFill="1" applyBorder="1" applyAlignment="1">
      <alignment horizontal="center" vertical="center" wrapText="1"/>
    </xf>
    <xf numFmtId="4" fontId="3" fillId="4" borderId="7" xfId="0" applyNumberFormat="1" applyFont="1" applyFill="1" applyBorder="1" applyAlignment="1">
      <alignment horizontal="left" vertical="center" wrapText="1"/>
    </xf>
    <xf numFmtId="4" fontId="3" fillId="5" borderId="7" xfId="0" applyNumberFormat="1" applyFont="1" applyFill="1" applyBorder="1" applyAlignment="1">
      <alignment vertical="center"/>
    </xf>
    <xf numFmtId="43" fontId="11" fillId="0" borderId="11" xfId="2" applyFont="1" applyBorder="1" applyAlignment="1">
      <alignment horizontal="center" vertical="center"/>
    </xf>
    <xf numFmtId="4" fontId="11" fillId="7" borderId="2" xfId="0" applyNumberFormat="1" applyFont="1" applyFill="1" applyBorder="1" applyAlignment="1">
      <alignment horizontal="justify" vertical="center" wrapText="1"/>
    </xf>
    <xf numFmtId="4" fontId="11" fillId="0" borderId="7" xfId="0" applyNumberFormat="1" applyFont="1" applyBorder="1" applyAlignment="1">
      <alignment horizontal="justify" vertical="center" wrapText="1"/>
    </xf>
    <xf numFmtId="3" fontId="11" fillId="7" borderId="2" xfId="0" applyNumberFormat="1" applyFont="1" applyFill="1" applyBorder="1" applyAlignment="1">
      <alignment horizontal="justify" vertical="center" wrapText="1"/>
    </xf>
    <xf numFmtId="4" fontId="11" fillId="6" borderId="2" xfId="0" applyNumberFormat="1" applyFont="1" applyFill="1" applyBorder="1" applyAlignment="1">
      <alignment horizontal="justify" vertical="center" wrapText="1"/>
    </xf>
    <xf numFmtId="0" fontId="3" fillId="5" borderId="2" xfId="0" applyFont="1" applyFill="1" applyBorder="1" applyAlignment="1">
      <alignment vertical="center" wrapText="1"/>
    </xf>
    <xf numFmtId="0" fontId="11" fillId="9" borderId="13" xfId="0" applyFont="1" applyFill="1" applyBorder="1" applyAlignment="1">
      <alignment horizontal="center" vertical="center" wrapText="1"/>
    </xf>
    <xf numFmtId="4" fontId="11" fillId="9" borderId="2" xfId="0" applyNumberFormat="1" applyFont="1" applyFill="1" applyBorder="1" applyAlignment="1">
      <alignment horizontal="center" vertical="center" wrapText="1"/>
    </xf>
    <xf numFmtId="4" fontId="11" fillId="9" borderId="12" xfId="0" applyNumberFormat="1" applyFont="1" applyFill="1" applyBorder="1" applyAlignment="1">
      <alignment horizontal="center" vertical="center" wrapText="1"/>
    </xf>
    <xf numFmtId="4" fontId="11" fillId="0" borderId="12" xfId="0" applyNumberFormat="1" applyFont="1" applyBorder="1" applyAlignment="1">
      <alignment horizontal="center" vertical="center" wrapText="1"/>
    </xf>
    <xf numFmtId="0" fontId="3" fillId="9" borderId="2" xfId="0" applyFont="1" applyFill="1" applyBorder="1" applyAlignment="1">
      <alignment vertical="center"/>
    </xf>
    <xf numFmtId="0" fontId="3" fillId="0" borderId="2" xfId="0" applyFont="1" applyBorder="1" applyAlignment="1">
      <alignment horizontal="justify" vertical="center" wrapText="1"/>
    </xf>
    <xf numFmtId="0" fontId="3" fillId="7" borderId="7" xfId="0" applyFont="1" applyFill="1" applyBorder="1" applyAlignment="1">
      <alignment horizontal="center" vertical="center" wrapText="1"/>
    </xf>
    <xf numFmtId="0" fontId="11" fillId="7" borderId="7" xfId="0" applyFont="1" applyFill="1" applyBorder="1" applyAlignment="1">
      <alignment horizontal="justify" vertical="center" wrapText="1"/>
    </xf>
    <xf numFmtId="0" fontId="11" fillId="7" borderId="7" xfId="0" applyFont="1" applyFill="1" applyBorder="1" applyAlignment="1">
      <alignment horizontal="center" vertical="center" wrapText="1"/>
    </xf>
    <xf numFmtId="4" fontId="11" fillId="7" borderId="7" xfId="0" applyNumberFormat="1" applyFont="1" applyFill="1" applyBorder="1" applyAlignment="1">
      <alignment horizontal="center" vertical="center" wrapText="1"/>
    </xf>
    <xf numFmtId="0" fontId="3" fillId="0" borderId="7" xfId="0" applyFont="1" applyBorder="1" applyAlignment="1">
      <alignment horizontal="justify" vertical="center" wrapText="1"/>
    </xf>
    <xf numFmtId="0" fontId="11" fillId="0" borderId="11" xfId="0" applyFont="1" applyBorder="1" applyAlignment="1">
      <alignment vertical="center"/>
    </xf>
    <xf numFmtId="0" fontId="11" fillId="0" borderId="12" xfId="0" applyFont="1" applyBorder="1" applyAlignment="1">
      <alignment vertical="center"/>
    </xf>
    <xf numFmtId="0" fontId="3" fillId="7" borderId="2" xfId="0" applyFont="1" applyFill="1" applyBorder="1" applyAlignment="1">
      <alignment horizontal="justify" vertical="center"/>
    </xf>
    <xf numFmtId="2" fontId="11" fillId="7" borderId="2" xfId="0" applyNumberFormat="1" applyFont="1" applyFill="1" applyBorder="1" applyAlignment="1">
      <alignment horizontal="center" vertical="center" wrapText="1"/>
    </xf>
    <xf numFmtId="2" fontId="11" fillId="5" borderId="2" xfId="0" applyNumberFormat="1" applyFont="1" applyFill="1" applyBorder="1" applyAlignment="1">
      <alignment horizontal="center" vertical="center" wrapText="1"/>
    </xf>
    <xf numFmtId="2" fontId="11" fillId="0" borderId="7"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2" fontId="11" fillId="7" borderId="4" xfId="0" applyNumberFormat="1" applyFont="1" applyFill="1" applyBorder="1" applyAlignment="1">
      <alignment horizontal="center" vertical="center" wrapText="1"/>
    </xf>
    <xf numFmtId="0" fontId="11" fillId="6" borderId="3" xfId="0" applyFont="1" applyFill="1" applyBorder="1" applyAlignment="1">
      <alignment horizontal="justify" vertical="center" wrapText="1"/>
    </xf>
    <xf numFmtId="2" fontId="11" fillId="6" borderId="4" xfId="0" applyNumberFormat="1" applyFont="1" applyFill="1" applyBorder="1" applyAlignment="1">
      <alignment horizontal="center" vertical="center" wrapText="1"/>
    </xf>
    <xf numFmtId="2" fontId="11" fillId="5" borderId="4" xfId="0" applyNumberFormat="1" applyFont="1" applyFill="1" applyBorder="1" applyAlignment="1">
      <alignment horizontal="center" vertical="center" wrapText="1"/>
    </xf>
    <xf numFmtId="1" fontId="11" fillId="0" borderId="7" xfId="0" applyNumberFormat="1" applyFont="1" applyBorder="1" applyAlignment="1">
      <alignment horizontal="center" vertical="center"/>
    </xf>
    <xf numFmtId="1" fontId="3" fillId="4" borderId="7" xfId="0" applyNumberFormat="1" applyFont="1" applyFill="1" applyBorder="1" applyAlignment="1">
      <alignment horizontal="left" vertical="center"/>
    </xf>
    <xf numFmtId="10" fontId="11" fillId="0" borderId="2" xfId="0" applyNumberFormat="1" applyFont="1" applyBorder="1" applyAlignment="1">
      <alignment horizontal="center" vertical="center" wrapText="1"/>
    </xf>
    <xf numFmtId="10" fontId="11" fillId="0" borderId="7" xfId="0" applyNumberFormat="1" applyFont="1" applyBorder="1" applyAlignment="1">
      <alignment horizontal="center" vertical="center" wrapText="1"/>
    </xf>
    <xf numFmtId="1" fontId="11" fillId="0" borderId="9"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43" fontId="3" fillId="7" borderId="7" xfId="1" applyFont="1" applyFill="1" applyBorder="1" applyAlignment="1">
      <alignment vertical="center"/>
    </xf>
    <xf numFmtId="10" fontId="11" fillId="0" borderId="2" xfId="0" applyNumberFormat="1" applyFont="1" applyBorder="1" applyAlignment="1">
      <alignment vertical="center" wrapText="1"/>
    </xf>
    <xf numFmtId="43" fontId="3" fillId="7" borderId="8" xfId="1" applyFont="1" applyFill="1" applyBorder="1" applyAlignment="1">
      <alignment vertical="center"/>
    </xf>
    <xf numFmtId="10" fontId="11" fillId="6" borderId="2" xfId="0" applyNumberFormat="1" applyFont="1" applyFill="1" applyBorder="1" applyAlignment="1">
      <alignment horizontal="center" vertical="center" wrapText="1"/>
    </xf>
    <xf numFmtId="4" fontId="11" fillId="0" borderId="9" xfId="0" applyNumberFormat="1" applyFont="1" applyBorder="1" applyAlignment="1">
      <alignment horizontal="center" vertical="center" wrapText="1"/>
    </xf>
    <xf numFmtId="0" fontId="3" fillId="7" borderId="9" xfId="0" applyFont="1" applyFill="1" applyBorder="1" applyAlignment="1">
      <alignment horizontal="justify" vertical="center" wrapText="1"/>
    </xf>
    <xf numFmtId="165" fontId="11" fillId="0" borderId="11" xfId="2" applyNumberFormat="1" applyFont="1" applyBorder="1" applyAlignment="1">
      <alignment horizontal="justify" vertical="center"/>
    </xf>
    <xf numFmtId="10" fontId="11" fillId="0" borderId="1" xfId="0" applyNumberFormat="1" applyFont="1" applyBorder="1" applyAlignment="1">
      <alignment horizontal="center" vertical="center" wrapText="1"/>
    </xf>
    <xf numFmtId="0" fontId="11" fillId="7" borderId="8" xfId="0" applyFont="1" applyFill="1" applyBorder="1" applyAlignment="1">
      <alignment horizontal="justify" vertical="center" wrapText="1"/>
    </xf>
    <xf numFmtId="0" fontId="11" fillId="7" borderId="12" xfId="0" applyFont="1" applyFill="1" applyBorder="1" applyAlignment="1">
      <alignment horizontal="center" vertical="center"/>
    </xf>
    <xf numFmtId="4" fontId="11" fillId="0" borderId="7" xfId="0" applyNumberFormat="1" applyFont="1" applyBorder="1" applyAlignment="1">
      <alignment horizontal="center" vertical="center"/>
    </xf>
    <xf numFmtId="4" fontId="11" fillId="0" borderId="9" xfId="0" applyNumberFormat="1" applyFont="1" applyBorder="1" applyAlignment="1">
      <alignment horizontal="center" vertical="center"/>
    </xf>
    <xf numFmtId="10" fontId="11" fillId="0" borderId="11" xfId="0" applyNumberFormat="1" applyFont="1" applyBorder="1" applyAlignment="1">
      <alignment vertical="center" wrapText="1"/>
    </xf>
    <xf numFmtId="0" fontId="11" fillId="0" borderId="13" xfId="0" applyFont="1" applyBorder="1" applyAlignment="1">
      <alignment horizontal="justify" vertical="center" wrapText="1"/>
    </xf>
    <xf numFmtId="10" fontId="11" fillId="0" borderId="13"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11" fillId="0" borderId="0" xfId="0" applyFont="1" applyAlignment="1">
      <alignment horizontal="justify" vertical="center" wrapText="1"/>
    </xf>
    <xf numFmtId="10" fontId="11" fillId="0" borderId="1" xfId="0" applyNumberFormat="1" applyFont="1" applyBorder="1" applyAlignment="1">
      <alignment vertical="center" wrapText="1"/>
    </xf>
    <xf numFmtId="10" fontId="11" fillId="0" borderId="12" xfId="0" applyNumberFormat="1" applyFont="1" applyBorder="1" applyAlignment="1">
      <alignment vertical="center" wrapText="1"/>
    </xf>
    <xf numFmtId="13" fontId="11" fillId="0" borderId="11" xfId="0" applyNumberFormat="1" applyFont="1" applyBorder="1" applyAlignment="1">
      <alignment horizontal="center" vertical="center" wrapText="1"/>
    </xf>
    <xf numFmtId="10" fontId="11" fillId="0" borderId="12" xfId="0" applyNumberFormat="1" applyFont="1" applyBorder="1" applyAlignment="1">
      <alignment horizontal="center" vertical="center" wrapText="1"/>
    </xf>
    <xf numFmtId="0" fontId="11" fillId="7" borderId="12" xfId="0" applyFont="1" applyFill="1" applyBorder="1" applyAlignment="1">
      <alignment horizontal="justify" vertical="center" wrapText="1"/>
    </xf>
    <xf numFmtId="0" fontId="11" fillId="7" borderId="12" xfId="0" applyFont="1" applyFill="1" applyBorder="1" applyAlignment="1">
      <alignment horizontal="center" vertical="center" wrapText="1"/>
    </xf>
    <xf numFmtId="3" fontId="11" fillId="7" borderId="12" xfId="0" applyNumberFormat="1" applyFont="1" applyFill="1" applyBorder="1" applyAlignment="1">
      <alignment horizontal="center" vertical="center" wrapText="1"/>
    </xf>
    <xf numFmtId="3" fontId="11" fillId="7" borderId="12" xfId="0" applyNumberFormat="1" applyFont="1" applyFill="1" applyBorder="1" applyAlignment="1">
      <alignment horizontal="center" vertical="center"/>
    </xf>
    <xf numFmtId="0" fontId="11" fillId="6" borderId="14" xfId="0" applyFont="1" applyFill="1" applyBorder="1" applyAlignment="1">
      <alignment horizontal="justify" vertical="center" wrapText="1"/>
    </xf>
    <xf numFmtId="4" fontId="11" fillId="7" borderId="2" xfId="0" applyNumberFormat="1" applyFont="1" applyFill="1" applyBorder="1" applyAlignment="1">
      <alignment horizontal="center" vertical="center"/>
    </xf>
    <xf numFmtId="9" fontId="11" fillId="0" borderId="2" xfId="3" applyFont="1" applyBorder="1" applyAlignment="1">
      <alignment horizontal="center" vertical="center" wrapText="1"/>
    </xf>
    <xf numFmtId="9" fontId="11" fillId="7" borderId="2" xfId="3" applyFont="1" applyFill="1" applyBorder="1" applyAlignment="1">
      <alignment horizontal="center" vertical="center" wrapText="1"/>
    </xf>
    <xf numFmtId="3" fontId="11" fillId="7" borderId="2" xfId="3" applyNumberFormat="1" applyFont="1" applyFill="1" applyBorder="1" applyAlignment="1">
      <alignment horizontal="center" vertical="center" wrapText="1"/>
    </xf>
    <xf numFmtId="3" fontId="11" fillId="7" borderId="2" xfId="0" applyNumberFormat="1" applyFont="1" applyFill="1" applyBorder="1" applyAlignment="1">
      <alignment horizontal="right"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3" fontId="11" fillId="7" borderId="2" xfId="0" applyNumberFormat="1" applyFont="1" applyFill="1" applyBorder="1" applyAlignment="1">
      <alignment horizontal="right" vertical="center"/>
    </xf>
    <xf numFmtId="0" fontId="11" fillId="6" borderId="8" xfId="0" applyFont="1" applyFill="1" applyBorder="1" applyAlignment="1">
      <alignment horizontal="right" vertical="center" wrapText="1"/>
    </xf>
    <xf numFmtId="3" fontId="11" fillId="6" borderId="2" xfId="0" applyNumberFormat="1" applyFont="1" applyFill="1" applyBorder="1" applyAlignment="1">
      <alignment horizontal="right" vertical="center" wrapText="1"/>
    </xf>
    <xf numFmtId="3" fontId="11" fillId="6" borderId="2" xfId="0" applyNumberFormat="1" applyFont="1" applyFill="1" applyBorder="1" applyAlignment="1">
      <alignment horizontal="right" vertical="center"/>
    </xf>
    <xf numFmtId="49" fontId="11" fillId="6" borderId="8" xfId="0" applyNumberFormat="1" applyFont="1" applyFill="1" applyBorder="1" applyAlignment="1">
      <alignment horizontal="justify" vertical="center" wrapText="1"/>
    </xf>
    <xf numFmtId="49" fontId="11"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justify" vertical="center" wrapText="1"/>
    </xf>
    <xf numFmtId="49" fontId="11" fillId="5" borderId="2" xfId="0" applyNumberFormat="1" applyFont="1" applyFill="1" applyBorder="1" applyAlignment="1">
      <alignment horizontal="justify" vertical="center" wrapText="1"/>
    </xf>
    <xf numFmtId="49" fontId="11" fillId="5" borderId="2" xfId="0" applyNumberFormat="1" applyFont="1" applyFill="1" applyBorder="1" applyAlignment="1">
      <alignment horizontal="center" vertical="center" wrapText="1"/>
    </xf>
    <xf numFmtId="10" fontId="11" fillId="5" borderId="2" xfId="0" applyNumberFormat="1" applyFont="1" applyFill="1" applyBorder="1" applyAlignment="1">
      <alignment horizontal="center" vertical="center" wrapText="1"/>
    </xf>
    <xf numFmtId="3" fontId="11" fillId="8" borderId="2" xfId="0" applyNumberFormat="1" applyFont="1" applyFill="1" applyBorder="1" applyAlignment="1">
      <alignment horizontal="center" vertical="center"/>
    </xf>
    <xf numFmtId="49" fontId="11" fillId="0" borderId="7" xfId="0" applyNumberFormat="1" applyFont="1" applyBorder="1" applyAlignment="1">
      <alignment horizontal="justify" vertical="center" wrapText="1"/>
    </xf>
    <xf numFmtId="49" fontId="11" fillId="0" borderId="7" xfId="0" applyNumberFormat="1" applyFont="1" applyBorder="1" applyAlignment="1">
      <alignment horizontal="center" vertical="center" wrapText="1"/>
    </xf>
    <xf numFmtId="49" fontId="11" fillId="3" borderId="4" xfId="0" applyNumberFormat="1" applyFont="1" applyFill="1" applyBorder="1" applyAlignment="1">
      <alignment vertical="center" wrapText="1"/>
    </xf>
    <xf numFmtId="49" fontId="11" fillId="0" borderId="11" xfId="0" applyNumberFormat="1" applyFont="1" applyBorder="1" applyAlignment="1">
      <alignment vertical="center" wrapText="1"/>
    </xf>
    <xf numFmtId="49" fontId="11" fillId="3" borderId="11" xfId="0" applyNumberFormat="1" applyFont="1" applyFill="1" applyBorder="1" applyAlignment="1">
      <alignment vertical="center" wrapText="1"/>
    </xf>
    <xf numFmtId="0" fontId="11" fillId="0" borderId="0" xfId="0" applyFont="1" applyAlignment="1">
      <alignment horizontal="center" vertical="center"/>
    </xf>
    <xf numFmtId="3" fontId="3" fillId="7" borderId="7" xfId="0" applyNumberFormat="1" applyFont="1" applyFill="1" applyBorder="1" applyAlignment="1">
      <alignment horizontal="left" vertical="center"/>
    </xf>
    <xf numFmtId="49" fontId="11" fillId="3" borderId="12" xfId="0" applyNumberFormat="1" applyFont="1" applyFill="1" applyBorder="1" applyAlignment="1">
      <alignment vertical="center" wrapText="1"/>
    </xf>
    <xf numFmtId="9" fontId="11" fillId="0" borderId="2" xfId="0" applyNumberFormat="1" applyFont="1" applyBorder="1" applyAlignment="1">
      <alignment horizontal="center" vertical="center"/>
    </xf>
    <xf numFmtId="49" fontId="11" fillId="3"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7" borderId="2" xfId="0" applyFont="1" applyFill="1" applyBorder="1" applyAlignment="1">
      <alignment vertical="center" wrapText="1"/>
    </xf>
    <xf numFmtId="0" fontId="11" fillId="6" borderId="2" xfId="0" applyFont="1" applyFill="1" applyBorder="1" applyAlignment="1">
      <alignment vertical="center" wrapText="1"/>
    </xf>
    <xf numFmtId="0" fontId="11" fillId="5" borderId="2" xfId="0" applyFont="1" applyFill="1" applyBorder="1" applyAlignment="1">
      <alignment vertical="center" wrapText="1"/>
    </xf>
    <xf numFmtId="0" fontId="11" fillId="8" borderId="2" xfId="0" applyFont="1" applyFill="1" applyBorder="1" applyAlignment="1">
      <alignment horizontal="justify" vertical="center"/>
    </xf>
    <xf numFmtId="3" fontId="11" fillId="5" borderId="2" xfId="0" applyNumberFormat="1" applyFont="1" applyFill="1" applyBorder="1" applyAlignment="1">
      <alignment horizontal="center" vertical="center"/>
    </xf>
    <xf numFmtId="0" fontId="3" fillId="6" borderId="9" xfId="0" applyFont="1" applyFill="1" applyBorder="1" applyAlignment="1">
      <alignment horizontal="justify" vertical="center" wrapText="1"/>
    </xf>
    <xf numFmtId="3" fontId="11" fillId="0" borderId="2" xfId="1" applyNumberFormat="1" applyFont="1" applyBorder="1" applyAlignment="1">
      <alignment horizontal="center" vertical="center"/>
    </xf>
    <xf numFmtId="0" fontId="11" fillId="7" borderId="2" xfId="2" applyNumberFormat="1" applyFont="1" applyFill="1" applyBorder="1" applyAlignment="1">
      <alignment horizontal="center" vertical="center" wrapText="1"/>
    </xf>
    <xf numFmtId="3" fontId="11" fillId="7" borderId="2" xfId="2" applyNumberFormat="1" applyFont="1" applyFill="1" applyBorder="1" applyAlignment="1">
      <alignment horizontal="center" vertical="center" wrapText="1"/>
    </xf>
    <xf numFmtId="0" fontId="11" fillId="0" borderId="4" xfId="0" applyFont="1" applyBorder="1" applyAlignment="1">
      <alignment vertical="center"/>
    </xf>
    <xf numFmtId="3" fontId="11" fillId="0" borderId="2" xfId="3" applyNumberFormat="1" applyFont="1" applyBorder="1" applyAlignment="1">
      <alignment horizontal="center" vertical="center" wrapText="1"/>
    </xf>
    <xf numFmtId="2" fontId="11" fillId="0" borderId="9" xfId="0" applyNumberFormat="1" applyFont="1" applyBorder="1" applyAlignment="1">
      <alignment horizontal="center" vertical="center" wrapText="1"/>
    </xf>
    <xf numFmtId="1" fontId="3" fillId="7" borderId="7" xfId="0" applyNumberFormat="1" applyFont="1" applyFill="1" applyBorder="1" applyAlignment="1">
      <alignment horizontal="left" vertical="center"/>
    </xf>
    <xf numFmtId="0" fontId="3" fillId="7" borderId="2" xfId="0" applyFont="1" applyFill="1" applyBorder="1" applyAlignment="1">
      <alignment vertical="center"/>
    </xf>
    <xf numFmtId="1" fontId="11" fillId="0" borderId="2" xfId="3" applyNumberFormat="1" applyFont="1" applyBorder="1" applyAlignment="1">
      <alignment horizontal="center" vertical="center" wrapText="1"/>
    </xf>
    <xf numFmtId="0" fontId="3" fillId="6" borderId="2" xfId="0" applyFont="1" applyFill="1" applyBorder="1" applyAlignment="1">
      <alignment vertical="center"/>
    </xf>
    <xf numFmtId="0" fontId="3" fillId="12" borderId="7" xfId="0" applyFont="1" applyFill="1" applyBorder="1" applyAlignment="1">
      <alignment horizontal="center" vertical="center" wrapText="1"/>
    </xf>
    <xf numFmtId="1" fontId="3" fillId="12" borderId="7" xfId="0" applyNumberFormat="1" applyFont="1" applyFill="1" applyBorder="1" applyAlignment="1">
      <alignment horizontal="center" vertical="center" wrapText="1"/>
    </xf>
    <xf numFmtId="0" fontId="3" fillId="12" borderId="8"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3" fillId="5" borderId="2" xfId="0" applyFont="1" applyFill="1" applyBorder="1" applyAlignment="1">
      <alignment vertical="center"/>
    </xf>
    <xf numFmtId="0" fontId="11" fillId="6" borderId="2" xfId="0" applyFont="1" applyFill="1" applyBorder="1" applyAlignment="1">
      <alignment horizontal="justify" vertical="center"/>
    </xf>
    <xf numFmtId="0" fontId="11" fillId="7" borderId="4" xfId="0" applyFont="1" applyFill="1" applyBorder="1" applyAlignment="1">
      <alignment horizontal="center" vertical="center"/>
    </xf>
    <xf numFmtId="1" fontId="11" fillId="7" borderId="4" xfId="0" applyNumberFormat="1" applyFont="1" applyFill="1" applyBorder="1" applyAlignment="1">
      <alignment horizontal="center" vertical="center"/>
    </xf>
    <xf numFmtId="0" fontId="11" fillId="7" borderId="4" xfId="0" applyFont="1" applyFill="1" applyBorder="1" applyAlignment="1">
      <alignment horizontal="justify" vertical="center"/>
    </xf>
    <xf numFmtId="0" fontId="11" fillId="6" borderId="4" xfId="0" applyFont="1" applyFill="1" applyBorder="1" applyAlignment="1">
      <alignment horizontal="center" vertical="center"/>
    </xf>
    <xf numFmtId="1" fontId="11" fillId="6" borderId="4" xfId="0" applyNumberFormat="1" applyFont="1" applyFill="1" applyBorder="1" applyAlignment="1">
      <alignment horizontal="center" vertical="center"/>
    </xf>
    <xf numFmtId="0" fontId="11" fillId="6" borderId="4" xfId="0" applyFont="1" applyFill="1" applyBorder="1" applyAlignment="1">
      <alignment horizontal="justify" vertical="center"/>
    </xf>
    <xf numFmtId="1" fontId="3" fillId="6" borderId="7" xfId="0" applyNumberFormat="1" applyFont="1" applyFill="1" applyBorder="1" applyAlignment="1">
      <alignment horizontal="justify" vertical="center" wrapText="1"/>
    </xf>
    <xf numFmtId="0" fontId="11" fillId="5" borderId="2" xfId="0" applyFont="1" applyFill="1" applyBorder="1" applyAlignment="1">
      <alignment horizontal="justify" vertical="center"/>
    </xf>
    <xf numFmtId="0" fontId="3" fillId="4" borderId="12" xfId="0" applyFont="1" applyFill="1" applyBorder="1" applyAlignment="1">
      <alignment horizontal="left" vertical="center"/>
    </xf>
    <xf numFmtId="0" fontId="3" fillId="4" borderId="12" xfId="0" applyFont="1" applyFill="1" applyBorder="1" applyAlignment="1">
      <alignment horizontal="center" vertical="center"/>
    </xf>
    <xf numFmtId="0" fontId="3" fillId="4" borderId="13" xfId="0" applyFont="1" applyFill="1" applyBorder="1" applyAlignment="1">
      <alignment horizontal="left" vertical="center"/>
    </xf>
    <xf numFmtId="0" fontId="3" fillId="4" borderId="13" xfId="0" applyFont="1" applyFill="1" applyBorder="1" applyAlignment="1">
      <alignment horizontal="center" vertical="center"/>
    </xf>
    <xf numFmtId="1" fontId="3" fillId="4" borderId="13" xfId="0" applyNumberFormat="1" applyFont="1" applyFill="1" applyBorder="1" applyAlignment="1">
      <alignment horizontal="left" vertical="center"/>
    </xf>
    <xf numFmtId="0" fontId="3" fillId="5" borderId="7" xfId="0" applyFont="1" applyFill="1" applyBorder="1" applyAlignment="1">
      <alignment vertical="center" wrapText="1"/>
    </xf>
    <xf numFmtId="0" fontId="3" fillId="5" borderId="7" xfId="0" applyFont="1" applyFill="1" applyBorder="1" applyAlignment="1">
      <alignment horizontal="center" vertical="center" wrapText="1"/>
    </xf>
    <xf numFmtId="1" fontId="3" fillId="5" borderId="7" xfId="0" applyNumberFormat="1" applyFont="1" applyFill="1" applyBorder="1" applyAlignment="1">
      <alignment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1" fontId="3" fillId="6" borderId="7" xfId="0" applyNumberFormat="1" applyFont="1" applyFill="1" applyBorder="1" applyAlignment="1">
      <alignment vertical="center" wrapText="1"/>
    </xf>
    <xf numFmtId="165" fontId="11" fillId="0" borderId="2" xfId="0" applyNumberFormat="1" applyFont="1" applyBorder="1" applyAlignment="1">
      <alignment horizontal="justify" vertical="center" wrapText="1"/>
    </xf>
    <xf numFmtId="43" fontId="13" fillId="0" borderId="4" xfId="1" applyFont="1" applyBorder="1" applyAlignment="1">
      <alignment horizontal="center" vertical="center" wrapText="1"/>
    </xf>
    <xf numFmtId="43" fontId="13" fillId="0" borderId="5" xfId="1" applyFont="1" applyBorder="1" applyAlignment="1">
      <alignment horizontal="center" vertical="center" wrapText="1"/>
    </xf>
    <xf numFmtId="43" fontId="13" fillId="0" borderId="2" xfId="1" applyFont="1" applyBorder="1" applyAlignment="1">
      <alignment horizontal="center" vertical="center" wrapText="1"/>
    </xf>
    <xf numFmtId="0" fontId="9" fillId="0" borderId="13" xfId="0" applyFont="1" applyBorder="1"/>
    <xf numFmtId="0" fontId="9" fillId="0" borderId="14" xfId="0" applyFont="1" applyBorder="1"/>
    <xf numFmtId="1" fontId="11" fillId="0" borderId="6" xfId="0" applyNumberFormat="1" applyFont="1" applyBorder="1" applyAlignment="1">
      <alignment horizontal="center" vertical="center" wrapText="1"/>
    </xf>
    <xf numFmtId="1" fontId="11" fillId="0" borderId="2" xfId="1" applyNumberFormat="1" applyFont="1" applyBorder="1" applyAlignment="1">
      <alignment horizontal="center" vertical="center"/>
    </xf>
    <xf numFmtId="3" fontId="11" fillId="0" borderId="8"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9" fillId="0" borderId="0" xfId="0" applyFont="1" applyAlignment="1">
      <alignment vertical="center"/>
    </xf>
    <xf numFmtId="0" fontId="11" fillId="0" borderId="11" xfId="0" applyFont="1" applyBorder="1" applyAlignment="1">
      <alignment horizontal="center"/>
    </xf>
    <xf numFmtId="0" fontId="11" fillId="0" borderId="11" xfId="0" applyFont="1" applyBorder="1"/>
    <xf numFmtId="0" fontId="9" fillId="0" borderId="0" xfId="0" applyFont="1" applyAlignment="1">
      <alignment horizontal="left" vertical="center" wrapText="1"/>
    </xf>
    <xf numFmtId="0" fontId="9" fillId="0" borderId="0" xfId="0" applyFont="1" applyAlignment="1">
      <alignment horizontal="right"/>
    </xf>
    <xf numFmtId="0" fontId="4" fillId="0" borderId="0" xfId="0" applyFont="1"/>
    <xf numFmtId="0" fontId="9" fillId="2" borderId="0" xfId="0" applyFont="1" applyFill="1" applyAlignment="1">
      <alignment horizontal="center"/>
    </xf>
    <xf numFmtId="1" fontId="9" fillId="2" borderId="0" xfId="0" applyNumberFormat="1" applyFont="1" applyFill="1"/>
    <xf numFmtId="0" fontId="9" fillId="0" borderId="0" xfId="0" applyFont="1" applyAlignment="1">
      <alignment horizontal="center"/>
    </xf>
    <xf numFmtId="0" fontId="3" fillId="0" borderId="4"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43" fontId="11" fillId="0" borderId="12" xfId="1" applyFont="1" applyBorder="1" applyAlignment="1" applyProtection="1">
      <alignment horizontal="right" vertical="center"/>
      <protection locked="0"/>
    </xf>
    <xf numFmtId="168" fontId="11" fillId="0" borderId="2" xfId="0" applyNumberFormat="1" applyFont="1" applyBorder="1" applyAlignment="1">
      <alignment horizontal="center" vertical="center" wrapText="1"/>
    </xf>
    <xf numFmtId="168" fontId="11" fillId="0" borderId="2" xfId="0" applyNumberFormat="1" applyFont="1" applyBorder="1" applyAlignment="1">
      <alignment horizontal="center" vertical="center"/>
    </xf>
    <xf numFmtId="168" fontId="11" fillId="0" borderId="4" xfId="0" applyNumberFormat="1" applyFont="1" applyBorder="1" applyAlignment="1">
      <alignment horizontal="center" vertical="center"/>
    </xf>
    <xf numFmtId="168" fontId="11" fillId="0" borderId="12" xfId="0" applyNumberFormat="1" applyFont="1" applyBorder="1" applyAlignment="1">
      <alignment horizontal="center" vertical="center"/>
    </xf>
    <xf numFmtId="4" fontId="11" fillId="0" borderId="4" xfId="0" applyNumberFormat="1" applyFont="1" applyBorder="1" applyAlignment="1">
      <alignment horizontal="center" vertical="center"/>
    </xf>
    <xf numFmtId="0" fontId="3" fillId="9" borderId="7" xfId="0" applyFont="1" applyFill="1" applyBorder="1" applyAlignment="1">
      <alignment horizontal="center" vertical="center"/>
    </xf>
    <xf numFmtId="0" fontId="11" fillId="7" borderId="9" xfId="0" applyFont="1" applyFill="1" applyBorder="1" applyAlignment="1">
      <alignment horizontal="center" vertical="center"/>
    </xf>
    <xf numFmtId="0" fontId="3" fillId="7" borderId="9" xfId="0" applyFont="1" applyFill="1" applyBorder="1" applyAlignment="1">
      <alignment horizontal="center" vertical="center"/>
    </xf>
    <xf numFmtId="0" fontId="11" fillId="2" borderId="0" xfId="0" applyFont="1" applyFill="1" applyAlignment="1">
      <alignment horizontal="center"/>
    </xf>
    <xf numFmtId="0" fontId="11" fillId="0" borderId="0" xfId="0" applyFont="1" applyAlignment="1">
      <alignment horizontal="center"/>
    </xf>
    <xf numFmtId="0" fontId="11" fillId="0" borderId="12" xfId="0" applyFont="1" applyBorder="1" applyAlignment="1">
      <alignment horizontal="right" vertical="center" wrapText="1"/>
    </xf>
    <xf numFmtId="0" fontId="3" fillId="0" borderId="5" xfId="0" applyFont="1" applyBorder="1" applyAlignment="1">
      <alignment horizontal="center" vertical="center" wrapText="1"/>
    </xf>
    <xf numFmtId="49" fontId="11" fillId="0" borderId="12" xfId="0" applyNumberFormat="1" applyFont="1" applyBorder="1" applyAlignment="1">
      <alignment horizontal="justify" vertical="center" wrapText="1"/>
    </xf>
    <xf numFmtId="16" fontId="11" fillId="0" borderId="12" xfId="0" applyNumberFormat="1" applyFont="1" applyBorder="1" applyAlignment="1">
      <alignment horizontal="center" vertical="center" wrapText="1"/>
    </xf>
    <xf numFmtId="0" fontId="11" fillId="0" borderId="9" xfId="0" applyFont="1" applyBorder="1" applyAlignment="1">
      <alignment horizontal="center" vertical="center" wrapText="1"/>
    </xf>
    <xf numFmtId="43" fontId="11" fillId="0" borderId="2" xfId="1" applyFont="1" applyBorder="1" applyAlignment="1">
      <alignment horizontal="justify" vertical="center"/>
    </xf>
    <xf numFmtId="43" fontId="11" fillId="0" borderId="2" xfId="1" applyFont="1" applyBorder="1" applyAlignment="1">
      <alignment horizontal="center" vertical="center"/>
    </xf>
    <xf numFmtId="43" fontId="11" fillId="0" borderId="6" xfId="1" applyFont="1" applyBorder="1" applyAlignment="1">
      <alignment horizontal="justify" vertical="center"/>
    </xf>
    <xf numFmtId="43" fontId="11" fillId="0" borderId="6" xfId="1" applyFont="1" applyBorder="1" applyAlignment="1">
      <alignment horizontal="center" vertical="center"/>
    </xf>
    <xf numFmtId="43" fontId="11" fillId="0" borderId="7" xfId="1" applyFont="1" applyBorder="1" applyAlignment="1">
      <alignment horizontal="justify" vertical="center"/>
    </xf>
    <xf numFmtId="43" fontId="11" fillId="2" borderId="7" xfId="1" applyFont="1" applyFill="1" applyBorder="1" applyAlignment="1">
      <alignment horizontal="justify" vertical="center"/>
    </xf>
    <xf numFmtId="43" fontId="11" fillId="0" borderId="7" xfId="1" applyFont="1" applyBorder="1" applyAlignment="1">
      <alignment horizontal="center" vertical="center"/>
    </xf>
    <xf numFmtId="43" fontId="11" fillId="0" borderId="7" xfId="1" applyFont="1" applyBorder="1" applyAlignment="1">
      <alignment vertical="center"/>
    </xf>
    <xf numFmtId="43" fontId="11" fillId="0" borderId="8" xfId="1" applyFont="1" applyBorder="1" applyAlignment="1">
      <alignment horizontal="justify" vertical="center"/>
    </xf>
    <xf numFmtId="43" fontId="11" fillId="7" borderId="2" xfId="1" applyFont="1" applyFill="1" applyBorder="1" applyAlignment="1">
      <alignment horizontal="justify" vertical="center"/>
    </xf>
    <xf numFmtId="43" fontId="11" fillId="6" borderId="7" xfId="1" applyFont="1" applyFill="1" applyBorder="1" applyAlignment="1">
      <alignment horizontal="justify" vertical="center"/>
    </xf>
    <xf numFmtId="43" fontId="3" fillId="6" borderId="7" xfId="1" applyFont="1" applyFill="1" applyBorder="1" applyAlignment="1">
      <alignment vertical="center"/>
    </xf>
    <xf numFmtId="43" fontId="3" fillId="6" borderId="7" xfId="1" applyFont="1" applyFill="1" applyBorder="1" applyAlignment="1">
      <alignment horizontal="center" vertical="center"/>
    </xf>
    <xf numFmtId="43" fontId="3" fillId="7" borderId="7" xfId="1" applyFont="1" applyFill="1" applyBorder="1" applyAlignment="1">
      <alignment horizontal="center" vertical="center"/>
    </xf>
    <xf numFmtId="43" fontId="11" fillId="0" borderId="2" xfId="1" applyFont="1" applyBorder="1" applyAlignment="1">
      <alignment vertical="center"/>
    </xf>
    <xf numFmtId="43" fontId="11" fillId="6" borderId="2" xfId="1" applyFont="1" applyFill="1" applyBorder="1" applyAlignment="1">
      <alignment horizontal="justify" vertical="center"/>
    </xf>
    <xf numFmtId="43" fontId="3" fillId="6" borderId="8" xfId="1" applyFont="1" applyFill="1" applyBorder="1" applyAlignment="1">
      <alignment vertical="center"/>
    </xf>
    <xf numFmtId="43" fontId="3" fillId="9" borderId="7" xfId="1" applyFont="1" applyFill="1" applyBorder="1" applyAlignment="1">
      <alignment vertical="center"/>
    </xf>
    <xf numFmtId="43" fontId="3" fillId="9" borderId="7" xfId="1" applyFont="1" applyFill="1" applyBorder="1" applyAlignment="1">
      <alignment horizontal="center" vertical="center"/>
    </xf>
    <xf numFmtId="43" fontId="3" fillId="9" borderId="8" xfId="1" applyFont="1" applyFill="1" applyBorder="1" applyAlignment="1">
      <alignment vertical="center"/>
    </xf>
    <xf numFmtId="43" fontId="11" fillId="0" borderId="2" xfId="1" applyFont="1" applyBorder="1" applyAlignment="1">
      <alignment vertical="center" wrapText="1"/>
    </xf>
    <xf numFmtId="43" fontId="11" fillId="5" borderId="2" xfId="1" applyFont="1" applyFill="1" applyBorder="1" applyAlignment="1">
      <alignment horizontal="justify" vertical="center"/>
    </xf>
    <xf numFmtId="43" fontId="11" fillId="8" borderId="2" xfId="1" applyFont="1" applyFill="1" applyBorder="1" applyAlignment="1">
      <alignment horizontal="justify" vertical="center"/>
    </xf>
    <xf numFmtId="43" fontId="3" fillId="0" borderId="2" xfId="1" applyFont="1" applyBorder="1" applyAlignment="1">
      <alignment horizontal="left" vertical="center"/>
    </xf>
    <xf numFmtId="43" fontId="3" fillId="0" borderId="12" xfId="1" applyFont="1" applyBorder="1" applyAlignment="1">
      <alignment horizontal="left" vertical="center"/>
    </xf>
    <xf numFmtId="43" fontId="11" fillId="0" borderId="12" xfId="1" applyFont="1" applyBorder="1" applyAlignment="1">
      <alignment horizontal="justify" vertical="center"/>
    </xf>
    <xf numFmtId="43" fontId="3" fillId="0" borderId="6" xfId="1" applyFont="1" applyBorder="1" applyAlignment="1">
      <alignment horizontal="left" vertical="center"/>
    </xf>
    <xf numFmtId="43" fontId="11" fillId="2" borderId="2" xfId="1" applyFont="1" applyFill="1" applyBorder="1" applyAlignment="1">
      <alignment horizontal="justify" vertical="center"/>
    </xf>
    <xf numFmtId="43" fontId="11" fillId="0" borderId="6" xfId="1" applyFont="1" applyBorder="1"/>
    <xf numFmtId="43" fontId="11" fillId="0" borderId="2" xfId="1" applyFont="1" applyBorder="1"/>
    <xf numFmtId="43" fontId="11" fillId="0" borderId="6" xfId="1" applyFont="1" applyBorder="1" applyAlignment="1">
      <alignment vertical="center"/>
    </xf>
    <xf numFmtId="43" fontId="3" fillId="5" borderId="7" xfId="1" applyFont="1" applyFill="1" applyBorder="1" applyAlignment="1">
      <alignment vertical="center"/>
    </xf>
    <xf numFmtId="43" fontId="3" fillId="5" borderId="7" xfId="1" applyFont="1" applyFill="1" applyBorder="1" applyAlignment="1">
      <alignment horizontal="center" vertical="center"/>
    </xf>
    <xf numFmtId="43" fontId="3" fillId="5" borderId="8" xfId="1" applyFont="1" applyFill="1" applyBorder="1" applyAlignment="1">
      <alignment vertical="center"/>
    </xf>
    <xf numFmtId="43" fontId="11" fillId="9" borderId="2" xfId="1" applyFont="1" applyFill="1" applyBorder="1" applyAlignment="1">
      <alignment horizontal="justify" vertical="center"/>
    </xf>
    <xf numFmtId="43" fontId="11" fillId="9" borderId="2" xfId="1" applyFont="1" applyFill="1" applyBorder="1" applyAlignment="1">
      <alignment horizontal="justify" vertical="center" wrapText="1"/>
    </xf>
    <xf numFmtId="43" fontId="11" fillId="6" borderId="2" xfId="1" applyFont="1" applyFill="1" applyBorder="1" applyAlignment="1">
      <alignment horizontal="justify" vertical="center" wrapText="1"/>
    </xf>
    <xf numFmtId="43" fontId="11" fillId="13" borderId="15" xfId="1" applyFont="1" applyFill="1" applyBorder="1" applyAlignment="1">
      <alignment vertical="center"/>
    </xf>
    <xf numFmtId="43" fontId="11" fillId="13" borderId="12" xfId="1" applyFont="1" applyFill="1" applyBorder="1" applyAlignment="1">
      <alignment vertical="center"/>
    </xf>
    <xf numFmtId="43" fontId="11" fillId="0" borderId="4" xfId="1" applyFont="1" applyBorder="1" applyAlignment="1">
      <alignment horizontal="justify" vertical="center"/>
    </xf>
    <xf numFmtId="43" fontId="11" fillId="0" borderId="4" xfId="1" applyFont="1" applyBorder="1" applyAlignment="1">
      <alignment vertical="center"/>
    </xf>
    <xf numFmtId="43" fontId="11" fillId="0" borderId="13" xfId="1" applyFont="1" applyBorder="1" applyAlignment="1">
      <alignment horizontal="justify" vertical="center"/>
    </xf>
    <xf numFmtId="43" fontId="11" fillId="0" borderId="13" xfId="1" applyFont="1" applyBorder="1" applyAlignment="1">
      <alignment horizontal="center" vertical="center"/>
    </xf>
    <xf numFmtId="43" fontId="3" fillId="7" borderId="9" xfId="1" applyFont="1" applyFill="1" applyBorder="1" applyAlignment="1">
      <alignment vertical="center"/>
    </xf>
    <xf numFmtId="43" fontId="3" fillId="7" borderId="9" xfId="1" applyFont="1" applyFill="1" applyBorder="1" applyAlignment="1">
      <alignment horizontal="center" vertical="center"/>
    </xf>
    <xf numFmtId="43" fontId="11" fillId="0" borderId="13" xfId="1" applyFont="1" applyBorder="1" applyAlignment="1">
      <alignment vertical="center"/>
    </xf>
    <xf numFmtId="43" fontId="3" fillId="6" borderId="9" xfId="1" applyFont="1" applyFill="1" applyBorder="1" applyAlignment="1">
      <alignment vertical="center"/>
    </xf>
    <xf numFmtId="43" fontId="3" fillId="6" borderId="9" xfId="1" applyFont="1" applyFill="1" applyBorder="1" applyAlignment="1">
      <alignment horizontal="center" vertical="center"/>
    </xf>
    <xf numFmtId="43" fontId="3" fillId="6" borderId="3" xfId="1" applyFont="1" applyFill="1" applyBorder="1" applyAlignment="1">
      <alignment vertical="center"/>
    </xf>
    <xf numFmtId="43" fontId="11" fillId="7" borderId="4" xfId="1" applyFont="1" applyFill="1" applyBorder="1" applyAlignment="1">
      <alignment horizontal="justify" vertical="center"/>
    </xf>
    <xf numFmtId="43" fontId="3" fillId="10" borderId="7" xfId="1" applyFont="1" applyFill="1" applyBorder="1" applyAlignment="1">
      <alignment vertical="center"/>
    </xf>
    <xf numFmtId="43" fontId="11" fillId="0" borderId="12" xfId="1" applyFont="1" applyBorder="1" applyAlignment="1">
      <alignment vertical="center"/>
    </xf>
    <xf numFmtId="43" fontId="11" fillId="0" borderId="12" xfId="1" applyFont="1" applyBorder="1" applyAlignment="1">
      <alignment horizontal="center" vertical="center"/>
    </xf>
    <xf numFmtId="43" fontId="3" fillId="0" borderId="17" xfId="1" applyFont="1" applyBorder="1" applyAlignment="1">
      <alignment horizontal="left" vertical="center"/>
    </xf>
    <xf numFmtId="43" fontId="11" fillId="0" borderId="2" xfId="1" applyFont="1" applyBorder="1" applyAlignment="1">
      <alignment horizontal="right" vertical="center"/>
    </xf>
    <xf numFmtId="43" fontId="11" fillId="0" borderId="12" xfId="1" applyFont="1" applyBorder="1" applyAlignment="1">
      <alignment horizontal="right" vertical="center"/>
    </xf>
    <xf numFmtId="43" fontId="11" fillId="0" borderId="17" xfId="1" applyFont="1" applyBorder="1" applyAlignment="1">
      <alignment horizontal="justify" vertical="center"/>
    </xf>
    <xf numFmtId="43" fontId="11" fillId="0" borderId="4" xfId="1" applyFont="1" applyBorder="1" applyAlignment="1">
      <alignment horizontal="center" vertical="center"/>
    </xf>
    <xf numFmtId="43" fontId="3" fillId="7" borderId="3" xfId="1" applyFont="1" applyFill="1" applyBorder="1" applyAlignment="1">
      <alignment vertical="center"/>
    </xf>
    <xf numFmtId="43" fontId="11" fillId="7" borderId="2" xfId="1" applyFont="1" applyFill="1" applyBorder="1" applyAlignment="1">
      <alignment horizontal="justify" vertical="center" wrapText="1"/>
    </xf>
    <xf numFmtId="43" fontId="11" fillId="0" borderId="7" xfId="1" applyFont="1" applyBorder="1" applyAlignment="1">
      <alignment horizontal="justify" vertical="center" wrapText="1"/>
    </xf>
    <xf numFmtId="43" fontId="11" fillId="2" borderId="7" xfId="1" applyFont="1" applyFill="1" applyBorder="1" applyAlignment="1">
      <alignment horizontal="justify" vertical="center" wrapText="1"/>
    </xf>
    <xf numFmtId="43" fontId="11" fillId="0" borderId="7" xfId="1" applyFont="1" applyBorder="1" applyAlignment="1">
      <alignment horizontal="center" vertical="center" wrapText="1"/>
    </xf>
    <xf numFmtId="43" fontId="11" fillId="0" borderId="7" xfId="1" applyFont="1" applyBorder="1" applyAlignment="1">
      <alignment vertical="center" wrapText="1"/>
    </xf>
    <xf numFmtId="43" fontId="3" fillId="5" borderId="2" xfId="1" applyFont="1" applyFill="1" applyBorder="1" applyAlignment="1">
      <alignment vertical="center" wrapText="1"/>
    </xf>
    <xf numFmtId="43" fontId="11" fillId="9" borderId="2" xfId="1" applyFont="1" applyFill="1" applyBorder="1" applyAlignment="1">
      <alignment horizontal="center" vertical="center"/>
    </xf>
    <xf numFmtId="43" fontId="11" fillId="0" borderId="2" xfId="1" applyFont="1" applyBorder="1" applyAlignment="1">
      <alignment horizontal="justify" vertical="center" wrapText="1"/>
    </xf>
    <xf numFmtId="43" fontId="11" fillId="0" borderId="5" xfId="1" applyFont="1" applyBorder="1" applyAlignment="1">
      <alignment horizontal="justify" vertical="center"/>
    </xf>
    <xf numFmtId="43" fontId="11" fillId="0" borderId="5" xfId="1" applyFont="1" applyBorder="1" applyAlignment="1">
      <alignment horizontal="center" vertical="center"/>
    </xf>
    <xf numFmtId="43" fontId="11" fillId="6" borderId="4" xfId="1" applyFont="1" applyFill="1" applyBorder="1" applyAlignment="1">
      <alignment horizontal="justify" vertical="center"/>
    </xf>
    <xf numFmtId="43" fontId="11" fillId="5" borderId="4" xfId="1" applyFont="1" applyFill="1" applyBorder="1" applyAlignment="1">
      <alignment horizontal="justify" vertical="center"/>
    </xf>
    <xf numFmtId="43" fontId="3" fillId="4" borderId="7" xfId="1" applyFont="1" applyFill="1" applyBorder="1" applyAlignment="1">
      <alignment horizontal="left" vertical="center"/>
    </xf>
    <xf numFmtId="43" fontId="3" fillId="4" borderId="7" xfId="1" applyFont="1" applyFill="1" applyBorder="1" applyAlignment="1">
      <alignment horizontal="center" vertical="center"/>
    </xf>
    <xf numFmtId="43" fontId="3" fillId="4" borderId="7" xfId="1" applyFont="1" applyFill="1" applyBorder="1" applyAlignment="1">
      <alignment vertical="center"/>
    </xf>
    <xf numFmtId="43" fontId="3" fillId="4" borderId="8" xfId="1" applyFont="1" applyFill="1" applyBorder="1" applyAlignment="1">
      <alignment horizontal="left" vertical="center"/>
    </xf>
    <xf numFmtId="43" fontId="11" fillId="7" borderId="2" xfId="1" applyFont="1" applyFill="1" applyBorder="1" applyAlignment="1">
      <alignment horizontal="center" vertical="center"/>
    </xf>
    <xf numFmtId="43" fontId="11" fillId="6" borderId="2" xfId="1" applyFont="1" applyFill="1" applyBorder="1" applyAlignment="1">
      <alignment horizontal="center" vertical="center"/>
    </xf>
    <xf numFmtId="43" fontId="11" fillId="5" borderId="2" xfId="1" applyFont="1" applyFill="1" applyBorder="1" applyAlignment="1">
      <alignment horizontal="center" vertical="center"/>
    </xf>
    <xf numFmtId="43" fontId="11" fillId="8" borderId="2" xfId="1" applyFont="1" applyFill="1" applyBorder="1" applyAlignment="1">
      <alignment horizontal="center" vertical="center"/>
    </xf>
    <xf numFmtId="43" fontId="13" fillId="0" borderId="2" xfId="1" applyFont="1" applyBorder="1" applyAlignment="1">
      <alignment horizontal="justify" vertical="center"/>
    </xf>
    <xf numFmtId="43" fontId="11" fillId="0" borderId="10" xfId="1" applyFont="1" applyBorder="1" applyAlignment="1">
      <alignment horizontal="justify" vertical="center"/>
    </xf>
    <xf numFmtId="43" fontId="11" fillId="13" borderId="2" xfId="1" applyFont="1" applyFill="1" applyBorder="1" applyAlignment="1">
      <alignment horizontal="justify" vertical="center"/>
    </xf>
    <xf numFmtId="43" fontId="13" fillId="0" borderId="6" xfId="1" applyFont="1" applyBorder="1" applyAlignment="1">
      <alignment horizontal="justify" vertical="center"/>
    </xf>
    <xf numFmtId="43" fontId="11" fillId="7" borderId="6" xfId="1" applyFont="1" applyFill="1" applyBorder="1" applyAlignment="1">
      <alignment horizontal="justify" vertical="center"/>
    </xf>
    <xf numFmtId="43" fontId="11" fillId="0" borderId="11" xfId="1" applyFont="1" applyBorder="1" applyAlignment="1">
      <alignment horizontal="justify" vertical="center"/>
    </xf>
    <xf numFmtId="43" fontId="11" fillId="0" borderId="11" xfId="1" applyFont="1" applyBorder="1" applyAlignment="1">
      <alignment horizontal="center" vertical="center"/>
    </xf>
    <xf numFmtId="43" fontId="11" fillId="0" borderId="11" xfId="1" applyFont="1" applyBorder="1" applyAlignment="1">
      <alignment vertical="center"/>
    </xf>
    <xf numFmtId="43" fontId="13" fillId="0" borderId="2" xfId="1" applyFont="1" applyBorder="1" applyAlignment="1">
      <alignment vertical="center"/>
    </xf>
    <xf numFmtId="43" fontId="18" fillId="0" borderId="2" xfId="1" applyFont="1" applyBorder="1" applyAlignment="1">
      <alignment horizontal="justify" vertical="center"/>
    </xf>
    <xf numFmtId="43" fontId="13" fillId="2" borderId="11" xfId="1" applyFont="1" applyFill="1" applyBorder="1" applyAlignment="1">
      <alignment horizontal="justify" vertical="center"/>
    </xf>
    <xf numFmtId="43" fontId="11" fillId="2" borderId="2" xfId="1" applyFont="1" applyFill="1" applyBorder="1" applyAlignment="1">
      <alignment horizontal="center" vertical="center"/>
    </xf>
    <xf numFmtId="43" fontId="13" fillId="2" borderId="6" xfId="1" applyFont="1" applyFill="1" applyBorder="1" applyAlignment="1">
      <alignment horizontal="justify" vertical="center"/>
    </xf>
    <xf numFmtId="43" fontId="13" fillId="0" borderId="11" xfId="1" applyFont="1" applyBorder="1" applyAlignment="1">
      <alignment horizontal="justify" vertical="center"/>
    </xf>
    <xf numFmtId="43" fontId="11" fillId="2" borderId="13" xfId="1" applyFont="1" applyFill="1" applyBorder="1" applyAlignment="1">
      <alignment horizontal="justify" vertical="center"/>
    </xf>
    <xf numFmtId="43" fontId="11" fillId="0" borderId="14" xfId="1" applyFont="1" applyBorder="1" applyAlignment="1">
      <alignment horizontal="justify" vertical="center"/>
    </xf>
    <xf numFmtId="43" fontId="11" fillId="0" borderId="2" xfId="1" applyFont="1" applyBorder="1" applyAlignment="1">
      <alignment horizontal="center"/>
    </xf>
    <xf numFmtId="43" fontId="11" fillId="7" borderId="12" xfId="1" applyFont="1" applyFill="1" applyBorder="1" applyAlignment="1">
      <alignment horizontal="justify" vertical="center"/>
    </xf>
    <xf numFmtId="43" fontId="11" fillId="0" borderId="6" xfId="1" applyFont="1" applyBorder="1" applyAlignment="1">
      <alignment horizontal="justify" vertical="center" wrapText="1"/>
    </xf>
    <xf numFmtId="43" fontId="13" fillId="0" borderId="6" xfId="1" applyFont="1" applyBorder="1" applyAlignment="1">
      <alignment horizontal="right" vertical="center" wrapText="1"/>
    </xf>
    <xf numFmtId="43" fontId="11" fillId="7" borderId="2" xfId="1" applyFont="1" applyFill="1" applyBorder="1" applyAlignment="1">
      <alignment horizontal="right" vertical="center" wrapText="1"/>
    </xf>
    <xf numFmtId="43" fontId="13" fillId="0" borderId="2" xfId="1" applyFont="1" applyBorder="1" applyAlignment="1">
      <alignment horizontal="right" vertical="center"/>
    </xf>
    <xf numFmtId="43" fontId="11" fillId="7" borderId="2" xfId="1" applyFont="1" applyFill="1" applyBorder="1" applyAlignment="1">
      <alignment horizontal="center" vertical="center" wrapText="1"/>
    </xf>
    <xf numFmtId="43" fontId="11" fillId="7" borderId="2" xfId="1" applyFont="1" applyFill="1" applyBorder="1" applyAlignment="1">
      <alignment vertical="center" wrapText="1"/>
    </xf>
    <xf numFmtId="43" fontId="13" fillId="0" borderId="2" xfId="1" applyFont="1" applyBorder="1" applyAlignment="1">
      <alignment horizontal="left" vertical="center" wrapText="1"/>
    </xf>
    <xf numFmtId="43" fontId="11" fillId="0" borderId="2" xfId="1" applyFont="1" applyBorder="1" applyAlignment="1">
      <alignment horizontal="left" vertical="center" wrapText="1"/>
    </xf>
    <xf numFmtId="43" fontId="11" fillId="6" borderId="2" xfId="1" applyFont="1" applyFill="1" applyBorder="1" applyAlignment="1">
      <alignment horizontal="right" vertical="center" wrapText="1"/>
    </xf>
    <xf numFmtId="43" fontId="3" fillId="7" borderId="7" xfId="1" applyFont="1" applyFill="1" applyBorder="1" applyAlignment="1">
      <alignment horizontal="left" vertical="center"/>
    </xf>
    <xf numFmtId="43" fontId="3" fillId="7" borderId="2" xfId="1" applyFont="1" applyFill="1" applyBorder="1" applyAlignment="1">
      <alignment vertical="center"/>
    </xf>
    <xf numFmtId="43" fontId="3" fillId="6" borderId="2" xfId="1" applyFont="1" applyFill="1" applyBorder="1" applyAlignment="1">
      <alignment vertical="center"/>
    </xf>
    <xf numFmtId="43" fontId="3" fillId="12" borderId="2" xfId="1" applyFont="1" applyFill="1" applyBorder="1" applyAlignment="1">
      <alignment horizontal="justify" vertical="center"/>
    </xf>
    <xf numFmtId="43" fontId="11" fillId="7" borderId="2" xfId="1" applyFont="1" applyFill="1" applyBorder="1" applyAlignment="1">
      <alignment vertical="center"/>
    </xf>
    <xf numFmtId="43" fontId="13" fillId="0" borderId="2" xfId="1" applyFont="1" applyBorder="1" applyAlignment="1">
      <alignment horizontal="center" vertical="center"/>
    </xf>
    <xf numFmtId="43" fontId="11" fillId="7" borderId="4" xfId="1" applyFont="1" applyFill="1" applyBorder="1" applyAlignment="1">
      <alignment horizontal="center" vertical="center"/>
    </xf>
    <xf numFmtId="43" fontId="11" fillId="7" borderId="4" xfId="1" applyFont="1" applyFill="1" applyBorder="1" applyAlignment="1">
      <alignment vertical="center"/>
    </xf>
    <xf numFmtId="43" fontId="11" fillId="6" borderId="4" xfId="1" applyFont="1" applyFill="1" applyBorder="1" applyAlignment="1">
      <alignment horizontal="center" vertical="center"/>
    </xf>
    <xf numFmtId="43" fontId="11" fillId="6" borderId="4" xfId="1" applyFont="1" applyFill="1" applyBorder="1" applyAlignment="1">
      <alignment vertical="center"/>
    </xf>
    <xf numFmtId="43" fontId="3" fillId="4" borderId="13" xfId="1" applyFont="1" applyFill="1" applyBorder="1" applyAlignment="1">
      <alignment horizontal="left" vertical="center"/>
    </xf>
    <xf numFmtId="43" fontId="3" fillId="4" borderId="13" xfId="1" applyFont="1" applyFill="1" applyBorder="1" applyAlignment="1">
      <alignment horizontal="center" vertical="center"/>
    </xf>
    <xf numFmtId="43" fontId="3" fillId="4" borderId="13" xfId="1" applyFont="1" applyFill="1" applyBorder="1" applyAlignment="1">
      <alignment vertical="center"/>
    </xf>
    <xf numFmtId="43" fontId="3" fillId="4" borderId="12" xfId="1" applyFont="1" applyFill="1" applyBorder="1" applyAlignment="1">
      <alignment horizontal="left" vertical="center"/>
    </xf>
    <xf numFmtId="43" fontId="3" fillId="5" borderId="7" xfId="1" applyFont="1" applyFill="1" applyBorder="1" applyAlignment="1">
      <alignment vertical="center" wrapText="1"/>
    </xf>
    <xf numFmtId="43" fontId="3" fillId="5" borderId="7" xfId="1" applyFont="1" applyFill="1" applyBorder="1" applyAlignment="1">
      <alignment horizontal="center" vertical="center" wrapText="1"/>
    </xf>
    <xf numFmtId="43" fontId="3" fillId="6" borderId="7" xfId="1" applyFont="1" applyFill="1" applyBorder="1" applyAlignment="1">
      <alignment vertical="center" wrapText="1"/>
    </xf>
    <xf numFmtId="43" fontId="3" fillId="6" borderId="7" xfId="1" applyFont="1" applyFill="1" applyBorder="1" applyAlignment="1">
      <alignment horizontal="center" vertical="center" wrapText="1"/>
    </xf>
    <xf numFmtId="43" fontId="3" fillId="6" borderId="2" xfId="1" applyFont="1" applyFill="1" applyBorder="1" applyAlignment="1">
      <alignment vertical="center" wrapText="1"/>
    </xf>
    <xf numFmtId="43" fontId="11" fillId="0" borderId="16" xfId="1" applyFont="1" applyBorder="1" applyAlignment="1">
      <alignment horizontal="center" vertical="center" wrapText="1"/>
    </xf>
    <xf numFmtId="43" fontId="11" fillId="0" borderId="4" xfId="1" applyFont="1" applyBorder="1" applyAlignment="1">
      <alignment horizontal="center" vertical="center" wrapText="1"/>
    </xf>
    <xf numFmtId="43" fontId="3" fillId="0" borderId="2" xfId="1" applyFont="1" applyBorder="1" applyAlignment="1">
      <alignment vertical="center" wrapText="1"/>
    </xf>
    <xf numFmtId="0" fontId="3" fillId="7" borderId="8" xfId="0" applyFont="1" applyFill="1" applyBorder="1" applyAlignment="1">
      <alignment horizontal="left" vertical="center"/>
    </xf>
    <xf numFmtId="0" fontId="3" fillId="0" borderId="5" xfId="0" applyFont="1" applyBorder="1" applyAlignment="1">
      <alignment vertical="center"/>
    </xf>
    <xf numFmtId="0" fontId="11" fillId="0" borderId="1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3" fillId="9" borderId="2" xfId="0" applyFont="1" applyFill="1" applyBorder="1" applyAlignment="1">
      <alignment horizontal="justify" vertical="center" wrapText="1"/>
    </xf>
    <xf numFmtId="0" fontId="11" fillId="0" borderId="4"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justify" vertical="center"/>
    </xf>
    <xf numFmtId="0" fontId="3" fillId="0" borderId="4" xfId="0" applyFont="1" applyBorder="1" applyAlignment="1">
      <alignment horizontal="center" vertical="center"/>
    </xf>
    <xf numFmtId="0" fontId="11" fillId="0" borderId="4" xfId="0" applyFont="1" applyBorder="1" applyAlignment="1">
      <alignment horizontal="center" vertical="top" wrapText="1"/>
    </xf>
    <xf numFmtId="0" fontId="11" fillId="0" borderId="4" xfId="0" applyFont="1" applyBorder="1" applyAlignment="1">
      <alignment horizontal="justify" vertical="top" wrapText="1"/>
    </xf>
    <xf numFmtId="2" fontId="11" fillId="0" borderId="4" xfId="0" applyNumberFormat="1" applyFont="1" applyBorder="1" applyAlignment="1">
      <alignment horizontal="center" vertical="center" wrapText="1"/>
    </xf>
    <xf numFmtId="43" fontId="11" fillId="0" borderId="4" xfId="2" applyFont="1" applyBorder="1" applyAlignment="1">
      <alignment horizontal="center" vertical="center"/>
    </xf>
    <xf numFmtId="165" fontId="11" fillId="0" borderId="4" xfId="3" applyNumberFormat="1" applyFont="1" applyBorder="1" applyAlignment="1">
      <alignment horizontal="center" vertical="center"/>
    </xf>
    <xf numFmtId="10" fontId="11" fillId="0" borderId="4" xfId="0" applyNumberFormat="1" applyFont="1" applyBorder="1" applyAlignment="1">
      <alignment vertical="center" wrapText="1"/>
    </xf>
    <xf numFmtId="9" fontId="11" fillId="0" borderId="11" xfId="0" applyNumberFormat="1" applyFont="1" applyBorder="1" applyAlignment="1">
      <alignment vertical="center" wrapText="1"/>
    </xf>
    <xf numFmtId="49" fontId="11" fillId="3" borderId="12"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 xfId="0" applyFont="1" applyFill="1" applyBorder="1" applyAlignment="1">
      <alignment horizontal="center" vertical="center" wrapText="1"/>
    </xf>
    <xf numFmtId="9" fontId="11" fillId="0" borderId="4" xfId="3" applyFont="1" applyBorder="1" applyAlignment="1">
      <alignment horizontal="center" vertical="center" wrapText="1"/>
    </xf>
    <xf numFmtId="1" fontId="3" fillId="7" borderId="9" xfId="0" applyNumberFormat="1" applyFont="1" applyFill="1" applyBorder="1" applyAlignment="1">
      <alignment vertical="center"/>
    </xf>
    <xf numFmtId="1" fontId="3" fillId="0" borderId="7" xfId="0" applyNumberFormat="1" applyFont="1" applyBorder="1" applyAlignment="1">
      <alignment vertical="center"/>
    </xf>
    <xf numFmtId="43" fontId="3" fillId="0" borderId="7" xfId="1" applyFont="1" applyBorder="1" applyAlignment="1">
      <alignment vertical="center"/>
    </xf>
    <xf numFmtId="43" fontId="3" fillId="0" borderId="7" xfId="1" applyFont="1" applyBorder="1" applyAlignment="1">
      <alignment horizontal="center" vertical="center"/>
    </xf>
    <xf numFmtId="0" fontId="11" fillId="8" borderId="4" xfId="0" applyFont="1" applyFill="1" applyBorder="1" applyAlignment="1">
      <alignment horizontal="justify" vertical="center" wrapText="1"/>
    </xf>
    <xf numFmtId="0" fontId="11" fillId="8" borderId="4" xfId="0" applyFont="1" applyFill="1" applyBorder="1" applyAlignment="1">
      <alignment horizontal="center" vertical="center" wrapText="1"/>
    </xf>
    <xf numFmtId="0" fontId="11" fillId="8" borderId="3" xfId="0" applyFont="1" applyFill="1" applyBorder="1" applyAlignment="1">
      <alignment horizontal="justify" vertical="center" wrapText="1"/>
    </xf>
    <xf numFmtId="1" fontId="11" fillId="8" borderId="4" xfId="0" applyNumberFormat="1" applyFont="1" applyFill="1" applyBorder="1" applyAlignment="1">
      <alignment horizontal="center" vertical="center" wrapText="1"/>
    </xf>
    <xf numFmtId="43" fontId="11" fillId="8" borderId="4" xfId="1" applyFont="1" applyFill="1" applyBorder="1" applyAlignment="1">
      <alignment horizontal="justify" vertical="center"/>
    </xf>
    <xf numFmtId="43" fontId="11" fillId="8" borderId="4" xfId="1" applyFont="1" applyFill="1" applyBorder="1" applyAlignment="1">
      <alignment horizontal="center" vertical="center"/>
    </xf>
    <xf numFmtId="0" fontId="11" fillId="2" borderId="6" xfId="0" applyFont="1" applyFill="1" applyBorder="1" applyAlignment="1">
      <alignment horizontal="justify" vertical="center" wrapText="1"/>
    </xf>
    <xf numFmtId="0" fontId="11" fillId="2" borderId="7" xfId="0" applyFont="1" applyFill="1" applyBorder="1" applyAlignment="1">
      <alignment horizontal="justify" vertical="center" wrapText="1"/>
    </xf>
    <xf numFmtId="0" fontId="11" fillId="2" borderId="7" xfId="0" applyFont="1" applyFill="1" applyBorder="1" applyAlignment="1">
      <alignment horizontal="center" vertical="center" wrapText="1"/>
    </xf>
    <xf numFmtId="1" fontId="11" fillId="2" borderId="7" xfId="0" applyNumberFormat="1" applyFont="1" applyFill="1" applyBorder="1" applyAlignment="1">
      <alignment horizontal="center" vertical="center" wrapText="1"/>
    </xf>
    <xf numFmtId="43" fontId="11" fillId="2" borderId="7" xfId="1" applyFont="1" applyFill="1" applyBorder="1" applyAlignment="1">
      <alignment horizontal="center" vertical="center"/>
    </xf>
    <xf numFmtId="43" fontId="11" fillId="2" borderId="8" xfId="1" applyFont="1" applyFill="1" applyBorder="1" applyAlignment="1">
      <alignment horizontal="justify" vertical="center"/>
    </xf>
    <xf numFmtId="43" fontId="3" fillId="0" borderId="8" xfId="1" applyFont="1" applyBorder="1" applyAlignment="1">
      <alignment vertical="center" wrapText="1"/>
    </xf>
    <xf numFmtId="0" fontId="11" fillId="8" borderId="4" xfId="0" applyFont="1" applyFill="1" applyBorder="1" applyAlignment="1">
      <alignment horizontal="center" vertical="center"/>
    </xf>
    <xf numFmtId="1" fontId="11" fillId="8" borderId="4" xfId="0" applyNumberFormat="1" applyFont="1" applyFill="1" applyBorder="1" applyAlignment="1">
      <alignment horizontal="center" vertical="center"/>
    </xf>
    <xf numFmtId="0" fontId="3" fillId="7" borderId="3" xfId="0" applyFont="1" applyFill="1" applyBorder="1" applyAlignment="1">
      <alignment horizontal="justify" vertical="center" wrapText="1"/>
    </xf>
    <xf numFmtId="43" fontId="13" fillId="0" borderId="12" xfId="1" applyFont="1" applyBorder="1" applyAlignment="1">
      <alignment horizontal="center" vertical="center" wrapText="1"/>
    </xf>
    <xf numFmtId="43" fontId="13" fillId="0" borderId="17" xfId="1" applyFont="1" applyBorder="1" applyAlignment="1">
      <alignment horizontal="center" vertical="center" wrapText="1"/>
    </xf>
    <xf numFmtId="43" fontId="3" fillId="0" borderId="8" xfId="1" applyFont="1" applyBorder="1" applyAlignment="1">
      <alignment vertical="center"/>
    </xf>
    <xf numFmtId="43" fontId="9" fillId="0" borderId="2" xfId="1" applyFont="1" applyBorder="1" applyAlignment="1">
      <alignment horizontal="justify" vertical="center"/>
    </xf>
    <xf numFmtId="0" fontId="20" fillId="0" borderId="0" xfId="0" applyFont="1"/>
    <xf numFmtId="165" fontId="21" fillId="14" borderId="2" xfId="1" applyNumberFormat="1" applyFont="1" applyFill="1" applyBorder="1" applyAlignment="1">
      <alignment horizontal="center" vertical="center" wrapText="1"/>
    </xf>
    <xf numFmtId="0" fontId="22" fillId="14" borderId="2" xfId="0" applyFont="1" applyFill="1" applyBorder="1" applyAlignment="1">
      <alignment horizontal="center" vertical="center" wrapText="1"/>
    </xf>
    <xf numFmtId="0" fontId="12" fillId="0" borderId="0" xfId="0" applyFont="1"/>
    <xf numFmtId="9" fontId="21" fillId="14" borderId="2" xfId="4" applyFont="1" applyFill="1" applyBorder="1" applyAlignment="1">
      <alignment horizontal="center" vertical="center"/>
    </xf>
    <xf numFmtId="165" fontId="20" fillId="0" borderId="0" xfId="1" applyNumberFormat="1" applyFont="1"/>
    <xf numFmtId="0" fontId="20" fillId="0" borderId="2" xfId="0" applyFont="1" applyBorder="1" applyAlignment="1">
      <alignment vertical="center" wrapText="1"/>
    </xf>
    <xf numFmtId="0" fontId="20" fillId="0" borderId="0" xfId="0" applyFont="1" applyAlignment="1">
      <alignment horizontal="left"/>
    </xf>
    <xf numFmtId="165" fontId="21" fillId="14" borderId="2" xfId="1" applyNumberFormat="1" applyFont="1" applyFill="1" applyBorder="1"/>
    <xf numFmtId="165" fontId="0" fillId="0" borderId="0" xfId="0" applyNumberFormat="1"/>
    <xf numFmtId="4" fontId="0" fillId="0" borderId="0" xfId="0" applyNumberFormat="1"/>
    <xf numFmtId="0" fontId="20" fillId="0" borderId="2" xfId="0" applyFont="1" applyBorder="1"/>
    <xf numFmtId="0" fontId="12" fillId="0" borderId="2" xfId="0" applyFont="1" applyBorder="1"/>
    <xf numFmtId="0" fontId="3" fillId="6" borderId="12" xfId="0" applyFont="1" applyFill="1" applyBorder="1" applyAlignment="1">
      <alignment horizontal="center" vertical="center" wrapText="1"/>
    </xf>
    <xf numFmtId="0" fontId="3" fillId="6" borderId="13" xfId="0" applyFont="1" applyFill="1" applyBorder="1" applyAlignment="1">
      <alignment vertical="center"/>
    </xf>
    <xf numFmtId="2" fontId="3" fillId="7" borderId="2" xfId="0" applyNumberFormat="1" applyFont="1" applyFill="1" applyBorder="1" applyAlignment="1">
      <alignment vertical="center"/>
    </xf>
    <xf numFmtId="0" fontId="3" fillId="7" borderId="2" xfId="0" applyFont="1" applyFill="1" applyBorder="1" applyAlignment="1">
      <alignment horizontal="center" vertical="center"/>
    </xf>
    <xf numFmtId="43" fontId="3" fillId="7" borderId="2" xfId="1" applyFont="1" applyFill="1" applyBorder="1" applyAlignment="1">
      <alignment horizontal="center" vertical="center"/>
    </xf>
    <xf numFmtId="2" fontId="3" fillId="6" borderId="2" xfId="0" applyNumberFormat="1" applyFont="1" applyFill="1" applyBorder="1" applyAlignment="1">
      <alignment vertical="center"/>
    </xf>
    <xf numFmtId="43" fontId="3" fillId="6" borderId="2" xfId="1" applyFont="1" applyFill="1" applyBorder="1" applyAlignment="1">
      <alignment horizontal="center" vertical="center"/>
    </xf>
    <xf numFmtId="0" fontId="11" fillId="0" borderId="10" xfId="0" applyFont="1" applyBorder="1" applyAlignment="1">
      <alignment horizontal="justify" vertical="center" wrapText="1"/>
    </xf>
    <xf numFmtId="0" fontId="11" fillId="5" borderId="12" xfId="0" applyFont="1" applyFill="1" applyBorder="1" applyAlignment="1">
      <alignment horizontal="justify" vertical="center" wrapText="1"/>
    </xf>
    <xf numFmtId="0" fontId="11" fillId="5" borderId="12" xfId="0" applyFont="1" applyFill="1" applyBorder="1" applyAlignment="1">
      <alignment horizontal="center" vertical="center" wrapText="1"/>
    </xf>
    <xf numFmtId="0" fontId="11" fillId="5" borderId="12" xfId="0" applyFont="1" applyFill="1" applyBorder="1" applyAlignment="1">
      <alignment horizontal="center" vertical="center"/>
    </xf>
    <xf numFmtId="43" fontId="11" fillId="5" borderId="12" xfId="1" applyFont="1" applyFill="1" applyBorder="1" applyAlignment="1">
      <alignment horizontal="justify" vertical="center"/>
    </xf>
    <xf numFmtId="0" fontId="11" fillId="5" borderId="2" xfId="0" applyFont="1" applyFill="1" applyBorder="1" applyAlignment="1">
      <alignment horizontal="left" vertical="center" wrapText="1"/>
    </xf>
    <xf numFmtId="4" fontId="11" fillId="5" borderId="2" xfId="0" applyNumberFormat="1" applyFont="1" applyFill="1" applyBorder="1" applyAlignment="1">
      <alignment vertical="center" wrapText="1"/>
    </xf>
    <xf numFmtId="43" fontId="11" fillId="5" borderId="2" xfId="1" applyFont="1" applyFill="1" applyBorder="1" applyAlignment="1">
      <alignment vertical="center" wrapText="1"/>
    </xf>
    <xf numFmtId="0" fontId="11" fillId="0" borderId="10" xfId="0" applyFont="1" applyBorder="1" applyAlignment="1">
      <alignment vertical="center" wrapText="1"/>
    </xf>
    <xf numFmtId="43" fontId="11" fillId="7" borderId="9" xfId="1" applyFont="1" applyFill="1" applyBorder="1" applyAlignment="1">
      <alignment vertical="center"/>
    </xf>
    <xf numFmtId="43" fontId="13" fillId="0" borderId="10" xfId="1" applyFont="1" applyBorder="1" applyAlignment="1">
      <alignment horizontal="justify" vertical="center"/>
    </xf>
    <xf numFmtId="4" fontId="11" fillId="0" borderId="2" xfId="0" applyNumberFormat="1" applyFont="1" applyBorder="1" applyAlignment="1">
      <alignment horizontal="center" vertical="center"/>
    </xf>
    <xf numFmtId="4" fontId="11" fillId="7" borderId="12" xfId="0" applyNumberFormat="1" applyFont="1" applyFill="1" applyBorder="1" applyAlignment="1">
      <alignment horizontal="center" vertical="center"/>
    </xf>
    <xf numFmtId="4" fontId="11" fillId="6" borderId="2" xfId="0" applyNumberFormat="1" applyFont="1" applyFill="1" applyBorder="1" applyAlignment="1">
      <alignment horizontal="center" vertical="center"/>
    </xf>
    <xf numFmtId="4" fontId="11" fillId="7" borderId="2" xfId="3" applyNumberFormat="1" applyFont="1" applyFill="1" applyBorder="1" applyAlignment="1">
      <alignment horizontal="center" vertical="center" wrapText="1"/>
    </xf>
    <xf numFmtId="4" fontId="11" fillId="7" borderId="2" xfId="0" applyNumberFormat="1" applyFont="1" applyFill="1" applyBorder="1" applyAlignment="1">
      <alignment horizontal="right" vertical="center"/>
    </xf>
    <xf numFmtId="4" fontId="11" fillId="6" borderId="2" xfId="0" applyNumberFormat="1" applyFont="1" applyFill="1" applyBorder="1" applyAlignment="1">
      <alignment horizontal="right" vertical="center"/>
    </xf>
    <xf numFmtId="9" fontId="11" fillId="0" borderId="2" xfId="4" applyFont="1" applyBorder="1" applyAlignment="1">
      <alignment horizontal="center" vertical="center" wrapText="1"/>
    </xf>
    <xf numFmtId="2" fontId="11" fillId="0" borderId="2" xfId="2" applyNumberFormat="1" applyFont="1" applyBorder="1" applyAlignment="1">
      <alignment horizontal="center" vertical="center" wrapText="1"/>
    </xf>
    <xf numFmtId="0" fontId="11" fillId="7" borderId="12" xfId="0" applyFont="1" applyFill="1" applyBorder="1" applyAlignment="1">
      <alignment horizontal="justify" vertical="center"/>
    </xf>
    <xf numFmtId="3" fontId="11" fillId="0" borderId="12" xfId="0" applyNumberFormat="1" applyFont="1" applyBorder="1" applyAlignment="1">
      <alignment horizontal="center" vertical="center" wrapText="1"/>
    </xf>
    <xf numFmtId="43" fontId="3" fillId="4" borderId="9" xfId="1" applyFont="1" applyFill="1" applyBorder="1" applyAlignment="1">
      <alignment horizontal="left" vertical="center"/>
    </xf>
    <xf numFmtId="43" fontId="3" fillId="4" borderId="9" xfId="1" applyFont="1" applyFill="1" applyBorder="1" applyAlignment="1">
      <alignment horizontal="center" vertical="center"/>
    </xf>
    <xf numFmtId="43" fontId="3" fillId="4" borderId="9" xfId="1" applyFont="1" applyFill="1" applyBorder="1" applyAlignment="1">
      <alignment vertical="center"/>
    </xf>
    <xf numFmtId="43" fontId="3" fillId="4" borderId="3" xfId="1" applyFont="1" applyFill="1" applyBorder="1" applyAlignment="1">
      <alignment horizontal="left" vertical="center"/>
    </xf>
    <xf numFmtId="43" fontId="11" fillId="0" borderId="9" xfId="1" applyFont="1" applyBorder="1" applyAlignment="1">
      <alignment horizontal="justify" vertical="center"/>
    </xf>
    <xf numFmtId="43" fontId="11" fillId="2" borderId="9" xfId="1" applyFont="1" applyFill="1" applyBorder="1" applyAlignment="1">
      <alignment horizontal="justify" vertical="center"/>
    </xf>
    <xf numFmtId="43" fontId="11" fillId="0" borderId="9" xfId="1" applyFont="1" applyBorder="1" applyAlignment="1">
      <alignment horizontal="center" vertical="center"/>
    </xf>
    <xf numFmtId="43" fontId="11" fillId="0" borderId="9" xfId="1" applyFont="1" applyBorder="1" applyAlignment="1">
      <alignment vertical="center"/>
    </xf>
    <xf numFmtId="43" fontId="3" fillId="4" borderId="2" xfId="1" applyFont="1" applyFill="1" applyBorder="1" applyAlignment="1">
      <alignment horizontal="center" vertical="center"/>
    </xf>
    <xf numFmtId="43" fontId="3" fillId="4" borderId="7" xfId="1" applyFont="1" applyFill="1" applyBorder="1" applyAlignment="1">
      <alignment horizontal="left" vertical="center" wrapText="1"/>
    </xf>
    <xf numFmtId="43" fontId="3" fillId="4" borderId="7" xfId="1" applyFont="1" applyFill="1" applyBorder="1" applyAlignment="1">
      <alignment horizontal="center" vertical="center" wrapText="1"/>
    </xf>
    <xf numFmtId="43" fontId="3" fillId="4" borderId="7" xfId="1" applyFont="1" applyFill="1" applyBorder="1" applyAlignment="1">
      <alignment vertical="center" wrapText="1"/>
    </xf>
    <xf numFmtId="43" fontId="3" fillId="4" borderId="8" xfId="1" applyFont="1" applyFill="1" applyBorder="1" applyAlignment="1">
      <alignment horizontal="left" vertical="center" wrapText="1"/>
    </xf>
    <xf numFmtId="43" fontId="13" fillId="2" borderId="7" xfId="1" applyFont="1" applyFill="1" applyBorder="1" applyAlignment="1">
      <alignment horizontal="justify" vertical="center"/>
    </xf>
    <xf numFmtId="43" fontId="11" fillId="0" borderId="1" xfId="1" applyFont="1" applyBorder="1" applyAlignment="1">
      <alignment horizontal="justify" vertical="center"/>
    </xf>
    <xf numFmtId="43" fontId="19" fillId="2" borderId="2" xfId="1" applyFont="1" applyFill="1" applyBorder="1" applyAlignment="1">
      <alignment horizontal="right" vertical="center"/>
    </xf>
    <xf numFmtId="43" fontId="3" fillId="4" borderId="2" xfId="1" applyFont="1" applyFill="1" applyBorder="1" applyAlignment="1">
      <alignment horizontal="left" vertical="center"/>
    </xf>
    <xf numFmtId="43" fontId="3" fillId="5" borderId="2" xfId="1" applyFont="1" applyFill="1" applyBorder="1" applyAlignment="1">
      <alignment vertical="center"/>
    </xf>
    <xf numFmtId="43" fontId="9" fillId="2" borderId="0" xfId="0" applyNumberFormat="1" applyFont="1" applyFill="1"/>
    <xf numFmtId="0" fontId="12" fillId="0" borderId="0" xfId="0" applyFont="1" applyAlignment="1">
      <alignment horizontal="center" vertical="center"/>
    </xf>
    <xf numFmtId="0" fontId="12" fillId="0" borderId="0" xfId="0" applyFont="1" applyAlignment="1">
      <alignment vertical="center"/>
    </xf>
    <xf numFmtId="0" fontId="11" fillId="0" borderId="0" xfId="0" applyFont="1" applyAlignment="1">
      <alignment vertical="center"/>
    </xf>
    <xf numFmtId="43" fontId="11" fillId="0" borderId="0" xfId="1" applyFont="1" applyAlignment="1">
      <alignment horizontal="right" vertical="center" wrapText="1"/>
    </xf>
    <xf numFmtId="0" fontId="23" fillId="16" borderId="2" xfId="0" applyFont="1" applyFill="1" applyBorder="1" applyAlignment="1">
      <alignment horizontal="center" vertical="center" wrapText="1"/>
    </xf>
    <xf numFmtId="43" fontId="23" fillId="16" borderId="2" xfId="1" applyFont="1" applyFill="1" applyBorder="1" applyAlignment="1">
      <alignment horizontal="center" vertical="center" wrapText="1"/>
    </xf>
    <xf numFmtId="0" fontId="23" fillId="0" borderId="2" xfId="0"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xf>
    <xf numFmtId="2" fontId="10" fillId="0" borderId="2" xfId="0" applyNumberFormat="1" applyFont="1" applyBorder="1" applyAlignment="1">
      <alignment horizontal="justify" vertical="center" wrapText="1"/>
    </xf>
    <xf numFmtId="37" fontId="10" fillId="0" borderId="2" xfId="1" applyNumberFormat="1" applyFont="1" applyBorder="1" applyAlignment="1">
      <alignment horizontal="right" vertical="center" wrapText="1"/>
    </xf>
    <xf numFmtId="2" fontId="9" fillId="0" borderId="2" xfId="0" applyNumberFormat="1" applyFont="1" applyBorder="1" applyAlignment="1">
      <alignment horizontal="justify" vertical="center" wrapText="1"/>
    </xf>
    <xf numFmtId="37" fontId="9" fillId="0" borderId="2" xfId="1" applyNumberFormat="1" applyFont="1" applyBorder="1" applyAlignment="1">
      <alignment horizontal="right" vertical="center" wrapText="1"/>
    </xf>
    <xf numFmtId="0" fontId="9" fillId="0" borderId="2" xfId="0" applyFont="1" applyBorder="1" applyAlignment="1">
      <alignment horizontal="center" vertical="center" wrapText="1"/>
    </xf>
    <xf numFmtId="0" fontId="12" fillId="0" borderId="2" xfId="0" applyFont="1" applyBorder="1" applyAlignment="1">
      <alignment horizontal="center" vertical="center"/>
    </xf>
    <xf numFmtId="0" fontId="9" fillId="0" borderId="2" xfId="0" applyFont="1" applyBorder="1" applyAlignment="1">
      <alignment vertical="center"/>
    </xf>
    <xf numFmtId="43" fontId="12" fillId="0" borderId="2" xfId="1" applyFont="1" applyBorder="1" applyAlignment="1">
      <alignment horizontal="right" vertical="center" wrapText="1"/>
    </xf>
    <xf numFmtId="2" fontId="9" fillId="0" borderId="2" xfId="0" applyNumberFormat="1" applyFont="1" applyBorder="1" applyAlignment="1">
      <alignment vertical="top" wrapText="1"/>
    </xf>
    <xf numFmtId="0" fontId="10" fillId="0" borderId="0" xfId="0" applyFont="1" applyAlignment="1">
      <alignment horizontal="left" vertical="center" wrapText="1"/>
    </xf>
    <xf numFmtId="37" fontId="9" fillId="0" borderId="2" xfId="1" applyNumberFormat="1" applyFont="1" applyBorder="1" applyAlignment="1">
      <alignment vertical="center" wrapText="1"/>
    </xf>
    <xf numFmtId="37" fontId="9" fillId="0" borderId="2" xfId="1" applyNumberFormat="1" applyFont="1" applyBorder="1" applyAlignment="1">
      <alignment horizontal="right" vertical="center"/>
    </xf>
    <xf numFmtId="0" fontId="9" fillId="0" borderId="4" xfId="0" applyFont="1" applyBorder="1" applyAlignment="1">
      <alignment horizontal="center" vertical="center"/>
    </xf>
    <xf numFmtId="2" fontId="9" fillId="0" borderId="4" xfId="0" applyNumberFormat="1" applyFont="1" applyBorder="1" applyAlignment="1">
      <alignment horizontal="justify" vertical="center" wrapText="1"/>
    </xf>
    <xf numFmtId="0" fontId="9" fillId="0" borderId="2" xfId="0" applyFont="1" applyBorder="1" applyAlignment="1">
      <alignment horizontal="left" vertical="center"/>
    </xf>
    <xf numFmtId="3" fontId="9" fillId="0" borderId="2" xfId="0" applyNumberFormat="1" applyFont="1" applyBorder="1" applyAlignment="1">
      <alignment horizontal="justify" vertical="center" wrapText="1"/>
    </xf>
    <xf numFmtId="43" fontId="12" fillId="0" borderId="0" xfId="1" applyFont="1" applyAlignment="1">
      <alignment horizontal="right" vertical="center" wrapText="1"/>
    </xf>
    <xf numFmtId="2" fontId="9" fillId="0" borderId="4" xfId="0" applyNumberFormat="1" applyFont="1" applyBorder="1" applyAlignment="1">
      <alignment horizontal="center" vertical="center" wrapText="1"/>
    </xf>
    <xf numFmtId="2" fontId="9" fillId="0" borderId="2" xfId="2" applyNumberFormat="1" applyFont="1" applyBorder="1" applyAlignment="1">
      <alignment horizontal="justify" vertical="center" wrapText="1"/>
    </xf>
    <xf numFmtId="0" fontId="9" fillId="0" borderId="2" xfId="0" applyFont="1" applyBorder="1" applyAlignment="1">
      <alignment horizontal="justify" vertical="center" wrapText="1"/>
    </xf>
    <xf numFmtId="37" fontId="9" fillId="0" borderId="4" xfId="1" applyNumberFormat="1" applyFont="1" applyBorder="1" applyAlignment="1">
      <alignment horizontal="right" vertical="center" wrapText="1"/>
    </xf>
    <xf numFmtId="39" fontId="11" fillId="0" borderId="2" xfId="1" applyNumberFormat="1" applyFont="1" applyBorder="1" applyAlignment="1">
      <alignment horizontal="right" vertical="center"/>
    </xf>
    <xf numFmtId="39" fontId="11" fillId="7" borderId="2" xfId="1" applyNumberFormat="1" applyFont="1" applyFill="1" applyBorder="1" applyAlignment="1">
      <alignment horizontal="right" vertical="center"/>
    </xf>
    <xf numFmtId="39" fontId="11" fillId="0" borderId="7" xfId="1" applyNumberFormat="1" applyFont="1" applyBorder="1" applyAlignment="1">
      <alignment horizontal="right" vertical="center"/>
    </xf>
    <xf numFmtId="4" fontId="11" fillId="7" borderId="2" xfId="1" applyNumberFormat="1" applyFont="1" applyFill="1" applyBorder="1" applyAlignment="1">
      <alignment horizontal="right" vertical="center"/>
    </xf>
    <xf numFmtId="0" fontId="24" fillId="0" borderId="2" xfId="0" applyFont="1" applyBorder="1" applyAlignment="1">
      <alignment horizontal="center" vertical="center"/>
    </xf>
    <xf numFmtId="0" fontId="24" fillId="0" borderId="0" xfId="0" applyFont="1" applyAlignment="1">
      <alignment vertical="center"/>
    </xf>
    <xf numFmtId="2" fontId="9" fillId="0" borderId="4" xfId="0" applyNumberFormat="1" applyFont="1" applyBorder="1" applyAlignment="1">
      <alignment horizontal="left" vertical="center" wrapText="1"/>
    </xf>
    <xf numFmtId="43" fontId="11" fillId="0" borderId="2" xfId="1" applyFont="1" applyFill="1" applyBorder="1" applyAlignment="1">
      <alignment horizontal="center" vertical="center"/>
    </xf>
    <xf numFmtId="43" fontId="11" fillId="0" borderId="2" xfId="1" applyFont="1" applyFill="1" applyBorder="1" applyAlignment="1">
      <alignment horizontal="center" vertical="center" wrapText="1"/>
    </xf>
    <xf numFmtId="43" fontId="11" fillId="0" borderId="6" xfId="1" applyFont="1" applyFill="1" applyBorder="1" applyAlignment="1">
      <alignment horizontal="center" vertical="center"/>
    </xf>
    <xf numFmtId="43" fontId="11" fillId="0" borderId="2" xfId="1" applyFont="1" applyFill="1" applyBorder="1" applyAlignment="1">
      <alignment horizontal="right" vertical="center" wrapText="1"/>
    </xf>
    <xf numFmtId="43" fontId="11" fillId="0" borderId="6" xfId="1" applyFont="1" applyFill="1" applyBorder="1" applyAlignment="1">
      <alignment horizontal="justify" vertical="center"/>
    </xf>
    <xf numFmtId="43" fontId="10" fillId="0" borderId="2" xfId="1" applyFont="1" applyFill="1" applyBorder="1" applyAlignment="1">
      <alignment horizontal="center" vertical="center" wrapText="1"/>
    </xf>
    <xf numFmtId="43" fontId="9" fillId="0" borderId="2" xfId="1" applyFont="1" applyFill="1" applyBorder="1" applyAlignment="1">
      <alignment horizontal="center" vertical="center"/>
    </xf>
    <xf numFmtId="43" fontId="11" fillId="0" borderId="4" xfId="1" applyFont="1" applyFill="1" applyBorder="1" applyAlignment="1">
      <alignment horizontal="justify" vertical="center"/>
    </xf>
    <xf numFmtId="43" fontId="11" fillId="0" borderId="2" xfId="1" applyFont="1" applyFill="1" applyBorder="1" applyAlignment="1">
      <alignment horizontal="justify" vertical="center"/>
    </xf>
    <xf numFmtId="4" fontId="11" fillId="0" borderId="12" xfId="0" applyNumberFormat="1" applyFont="1" applyBorder="1" applyAlignment="1">
      <alignment horizontal="center" vertical="center"/>
    </xf>
    <xf numFmtId="3" fontId="14" fillId="0" borderId="2" xfId="0" applyNumberFormat="1" applyFont="1" applyFill="1" applyBorder="1" applyAlignment="1">
      <alignment horizontal="center" vertical="center"/>
    </xf>
    <xf numFmtId="43" fontId="13" fillId="0" borderId="2" xfId="1" applyFont="1" applyFill="1" applyBorder="1" applyAlignment="1">
      <alignment horizontal="justify" vertical="center"/>
    </xf>
    <xf numFmtId="43" fontId="11" fillId="0" borderId="11" xfId="1" applyFont="1" applyFill="1" applyBorder="1" applyAlignment="1">
      <alignment horizontal="center" vertical="center"/>
    </xf>
    <xf numFmtId="43" fontId="13" fillId="0" borderId="6" xfId="1" applyFont="1" applyFill="1" applyBorder="1" applyAlignment="1">
      <alignment horizontal="justify" vertical="center"/>
    </xf>
    <xf numFmtId="43" fontId="13" fillId="0" borderId="11" xfId="1" applyFont="1" applyFill="1" applyBorder="1" applyAlignment="1">
      <alignment horizontal="justify" vertical="center"/>
    </xf>
    <xf numFmtId="43" fontId="11" fillId="0" borderId="2" xfId="1" applyFont="1" applyFill="1" applyBorder="1" applyAlignment="1">
      <alignment horizontal="justify" vertical="center" wrapText="1"/>
    </xf>
    <xf numFmtId="2" fontId="11" fillId="7" borderId="2" xfId="0" applyNumberFormat="1" applyFont="1" applyFill="1" applyBorder="1" applyAlignment="1">
      <alignment horizontal="justify" vertical="center" wrapText="1"/>
    </xf>
    <xf numFmtId="2" fontId="11" fillId="0" borderId="7" xfId="0" applyNumberFormat="1" applyFont="1" applyBorder="1" applyAlignment="1">
      <alignment horizontal="justify" vertical="center" wrapText="1"/>
    </xf>
    <xf numFmtId="2" fontId="11" fillId="6" borderId="2" xfId="0" applyNumberFormat="1" applyFont="1" applyFill="1" applyBorder="1" applyAlignment="1">
      <alignment horizontal="justify" vertical="center" wrapText="1"/>
    </xf>
    <xf numFmtId="2" fontId="11" fillId="5" borderId="2" xfId="0" applyNumberFormat="1" applyFont="1" applyFill="1" applyBorder="1" applyAlignment="1">
      <alignment vertical="center" wrapText="1"/>
    </xf>
    <xf numFmtId="2" fontId="11" fillId="9" borderId="12" xfId="0" applyNumberFormat="1" applyFont="1" applyFill="1" applyBorder="1" applyAlignment="1">
      <alignment horizontal="center" vertical="center" wrapText="1"/>
    </xf>
    <xf numFmtId="2" fontId="11" fillId="0" borderId="12" xfId="0" applyNumberFormat="1" applyFont="1" applyBorder="1" applyAlignment="1">
      <alignment horizontal="center" vertical="center" wrapText="1"/>
    </xf>
    <xf numFmtId="2" fontId="11" fillId="9" borderId="2" xfId="0" applyNumberFormat="1" applyFont="1" applyFill="1" applyBorder="1" applyAlignment="1">
      <alignment horizontal="center" vertical="center" wrapText="1"/>
    </xf>
    <xf numFmtId="2" fontId="11" fillId="7" borderId="7" xfId="0" applyNumberFormat="1" applyFont="1" applyFill="1" applyBorder="1" applyAlignment="1">
      <alignment horizontal="center" vertical="center" wrapText="1"/>
    </xf>
    <xf numFmtId="2" fontId="11" fillId="7" borderId="2" xfId="0" applyNumberFormat="1" applyFont="1" applyFill="1" applyBorder="1" applyAlignment="1">
      <alignment horizontal="justify" vertical="center"/>
    </xf>
    <xf numFmtId="2" fontId="11" fillId="0" borderId="7" xfId="0" applyNumberFormat="1" applyFont="1" applyBorder="1" applyAlignment="1">
      <alignment horizontal="justify" vertical="center"/>
    </xf>
    <xf numFmtId="0" fontId="8" fillId="0" borderId="0" xfId="0" applyFont="1" applyBorder="1" applyAlignment="1">
      <alignment vertical="center"/>
    </xf>
    <xf numFmtId="43" fontId="11" fillId="0" borderId="6"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left" vertical="center" wrapText="1"/>
    </xf>
    <xf numFmtId="0" fontId="11" fillId="0" borderId="11" xfId="0" applyFont="1" applyBorder="1" applyAlignment="1">
      <alignment horizontal="center" vertical="center" wrapText="1"/>
    </xf>
    <xf numFmtId="1" fontId="13" fillId="0" borderId="4"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2" xfId="0" applyFont="1" applyBorder="1" applyAlignment="1">
      <alignment horizontal="justify" vertical="center" wrapText="1"/>
    </xf>
    <xf numFmtId="0" fontId="3" fillId="5" borderId="2" xfId="0" applyFont="1" applyFill="1" applyBorder="1" applyAlignment="1">
      <alignment horizontal="left" vertical="center" wrapText="1"/>
    </xf>
    <xf numFmtId="9" fontId="11" fillId="0" borderId="11" xfId="0" applyNumberFormat="1" applyFont="1" applyBorder="1" applyAlignment="1">
      <alignment horizontal="center" vertical="center"/>
    </xf>
    <xf numFmtId="9" fontId="11" fillId="0" borderId="11"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9" fontId="11" fillId="0" borderId="12" xfId="0" applyNumberFormat="1" applyFont="1" applyBorder="1" applyAlignment="1">
      <alignment horizontal="center" vertical="center" wrapText="1"/>
    </xf>
    <xf numFmtId="10" fontId="11" fillId="0" borderId="11" xfId="0"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11" xfId="0" applyNumberFormat="1" applyFont="1" applyBorder="1" applyAlignment="1">
      <alignment horizontal="justify" vertical="center" wrapText="1"/>
    </xf>
    <xf numFmtId="0" fontId="11" fillId="0" borderId="11" xfId="0" applyFont="1" applyBorder="1" applyAlignment="1">
      <alignment horizontal="justify" vertical="center"/>
    </xf>
    <xf numFmtId="0" fontId="11" fillId="0" borderId="12" xfId="0" applyFont="1" applyBorder="1" applyAlignment="1">
      <alignment horizontal="justify" vertical="center"/>
    </xf>
    <xf numFmtId="3" fontId="11" fillId="0" borderId="4" xfId="0" applyNumberFormat="1" applyFont="1" applyBorder="1" applyAlignment="1">
      <alignment horizontal="center" vertical="center"/>
    </xf>
    <xf numFmtId="3" fontId="11" fillId="0" borderId="12" xfId="0" applyNumberFormat="1" applyFont="1" applyBorder="1" applyAlignment="1">
      <alignment horizontal="center" vertical="center"/>
    </xf>
    <xf numFmtId="0" fontId="11" fillId="0" borderId="8"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2" xfId="0" applyFont="1" applyBorder="1" applyAlignment="1">
      <alignment horizontal="justify" vertical="center" wrapText="1"/>
    </xf>
    <xf numFmtId="16" fontId="11" fillId="0" borderId="11"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10" fontId="11" fillId="0" borderId="4" xfId="0" applyNumberFormat="1" applyFont="1" applyBorder="1" applyAlignment="1">
      <alignment horizontal="center" vertical="center" wrapText="1"/>
    </xf>
    <xf numFmtId="43" fontId="11" fillId="0" borderId="2" xfId="1" applyFont="1" applyFill="1" applyBorder="1" applyAlignment="1">
      <alignment horizontal="right" vertical="center"/>
    </xf>
    <xf numFmtId="43" fontId="11" fillId="0" borderId="12" xfId="1" applyFont="1" applyBorder="1" applyAlignment="1">
      <alignment horizontal="center" vertical="center" wrapText="1"/>
    </xf>
    <xf numFmtId="43" fontId="10" fillId="0" borderId="4" xfId="1" applyFont="1" applyBorder="1" applyAlignment="1">
      <alignment horizontal="center" vertical="center"/>
    </xf>
    <xf numFmtId="43" fontId="13" fillId="0" borderId="4" xfId="1" applyFont="1" applyBorder="1" applyAlignment="1">
      <alignment horizontal="center" vertical="center"/>
    </xf>
    <xf numFmtId="43" fontId="11" fillId="0" borderId="4" xfId="1" applyFont="1" applyBorder="1" applyAlignment="1">
      <alignment horizontal="right" vertical="center"/>
    </xf>
    <xf numFmtId="0" fontId="11" fillId="7" borderId="11" xfId="0" applyFont="1" applyFill="1" applyBorder="1" applyAlignment="1">
      <alignment horizontal="justify" vertical="center" wrapText="1"/>
    </xf>
    <xf numFmtId="0" fontId="11" fillId="7" borderId="11" xfId="0" applyFont="1" applyFill="1" applyBorder="1" applyAlignment="1">
      <alignment horizontal="center" vertical="center" wrapText="1"/>
    </xf>
    <xf numFmtId="0" fontId="11" fillId="7" borderId="11" xfId="0" applyFont="1" applyFill="1" applyBorder="1" applyAlignment="1">
      <alignment horizontal="center" vertical="center"/>
    </xf>
    <xf numFmtId="1" fontId="11" fillId="7" borderId="11" xfId="0" applyNumberFormat="1" applyFont="1" applyFill="1" applyBorder="1" applyAlignment="1">
      <alignment horizontal="center" vertical="center"/>
    </xf>
    <xf numFmtId="0" fontId="11" fillId="7" borderId="11" xfId="0" applyFont="1" applyFill="1" applyBorder="1" applyAlignment="1">
      <alignment horizontal="justify" vertical="center"/>
    </xf>
    <xf numFmtId="43" fontId="11" fillId="7" borderId="11" xfId="1" applyFont="1" applyFill="1" applyBorder="1" applyAlignment="1">
      <alignment horizontal="justify" vertical="center"/>
    </xf>
    <xf numFmtId="43" fontId="11" fillId="7" borderId="11" xfId="1" applyFont="1" applyFill="1" applyBorder="1" applyAlignment="1">
      <alignment horizontal="center" vertical="center"/>
    </xf>
    <xf numFmtId="43" fontId="11" fillId="7" borderId="11" xfId="1" applyFont="1" applyFill="1" applyBorder="1" applyAlignment="1">
      <alignment vertical="center"/>
    </xf>
    <xf numFmtId="0" fontId="3"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Border="1" applyAlignment="1">
      <alignment horizontal="justify" vertical="center" wrapText="1"/>
    </xf>
    <xf numFmtId="0" fontId="11" fillId="0" borderId="0" xfId="0" applyFont="1" applyBorder="1" applyAlignment="1">
      <alignment horizontal="center" vertical="center"/>
    </xf>
    <xf numFmtId="0" fontId="9" fillId="0" borderId="0" xfId="0" applyFont="1" applyBorder="1"/>
    <xf numFmtId="0" fontId="11" fillId="0" borderId="0" xfId="0" applyFont="1" applyBorder="1" applyAlignment="1">
      <alignment vertical="center" wrapText="1"/>
    </xf>
    <xf numFmtId="0" fontId="11" fillId="7" borderId="0" xfId="0" applyFont="1" applyFill="1" applyBorder="1" applyAlignment="1">
      <alignment horizontal="justify" vertical="center" wrapText="1"/>
    </xf>
    <xf numFmtId="0" fontId="9" fillId="2" borderId="0" xfId="0" applyFont="1" applyFill="1" applyBorder="1"/>
    <xf numFmtId="0" fontId="11" fillId="6" borderId="0" xfId="0" applyFont="1" applyFill="1" applyBorder="1" applyAlignment="1">
      <alignment horizontal="justify" vertical="center" wrapText="1"/>
    </xf>
    <xf numFmtId="0" fontId="11" fillId="6" borderId="0" xfId="0" applyFont="1" applyFill="1" applyBorder="1" applyAlignment="1">
      <alignment horizontal="center" vertical="center" wrapText="1"/>
    </xf>
    <xf numFmtId="2" fontId="11" fillId="0" borderId="13" xfId="0" applyNumberFormat="1" applyFont="1" applyBorder="1" applyAlignment="1">
      <alignment horizontal="center" vertical="center" wrapText="1"/>
    </xf>
    <xf numFmtId="0" fontId="20" fillId="0" borderId="0" xfId="0" applyFont="1" applyAlignment="1">
      <alignment vertical="center"/>
    </xf>
    <xf numFmtId="165" fontId="0" fillId="0" borderId="0" xfId="1" applyNumberFormat="1" applyFont="1"/>
    <xf numFmtId="43" fontId="4" fillId="17" borderId="2" xfId="1" applyFont="1" applyFill="1" applyBorder="1" applyAlignment="1">
      <alignment horizontal="center" vertical="center" wrapText="1"/>
    </xf>
    <xf numFmtId="37" fontId="4" fillId="17" borderId="2" xfId="1" applyNumberFormat="1" applyFont="1" applyFill="1" applyBorder="1" applyAlignment="1">
      <alignment horizontal="center" vertical="center" wrapText="1"/>
    </xf>
    <xf numFmtId="37" fontId="4" fillId="17" borderId="2" xfId="1" applyNumberFormat="1" applyFont="1" applyFill="1" applyBorder="1" applyAlignment="1">
      <alignment horizontal="right" vertical="center" wrapText="1"/>
    </xf>
    <xf numFmtId="0" fontId="4" fillId="17" borderId="2" xfId="0" applyFont="1" applyFill="1" applyBorder="1" applyAlignment="1">
      <alignment horizontal="left" vertical="center"/>
    </xf>
    <xf numFmtId="2" fontId="9" fillId="17" borderId="2" xfId="0" applyNumberFormat="1" applyFont="1" applyFill="1" applyBorder="1" applyAlignment="1">
      <alignment horizontal="justify" vertical="center" wrapText="1"/>
    </xf>
    <xf numFmtId="37" fontId="4" fillId="17" borderId="2" xfId="1" applyNumberFormat="1" applyFont="1" applyFill="1" applyBorder="1" applyAlignment="1">
      <alignment horizontal="right" vertical="center"/>
    </xf>
    <xf numFmtId="0" fontId="4" fillId="17" borderId="6" xfId="0" applyFont="1" applyFill="1" applyBorder="1" applyAlignment="1">
      <alignment horizontal="center" vertical="center"/>
    </xf>
    <xf numFmtId="2" fontId="9" fillId="17" borderId="8" xfId="0" applyNumberFormat="1" applyFont="1" applyFill="1" applyBorder="1" applyAlignment="1">
      <alignment horizontal="justify" vertical="center" wrapText="1"/>
    </xf>
    <xf numFmtId="3" fontId="9" fillId="17" borderId="2" xfId="0" applyNumberFormat="1" applyFont="1" applyFill="1" applyBorder="1" applyAlignment="1">
      <alignment horizontal="justify" vertical="center" wrapText="1"/>
    </xf>
    <xf numFmtId="3" fontId="9" fillId="17" borderId="8" xfId="0" applyNumberFormat="1" applyFont="1" applyFill="1" applyBorder="1" applyAlignment="1">
      <alignment horizontal="justify" vertical="center" wrapText="1"/>
    </xf>
    <xf numFmtId="1" fontId="11" fillId="0" borderId="2" xfId="0" applyNumberFormat="1" applyFont="1" applyFill="1" applyBorder="1" applyAlignment="1">
      <alignment horizontal="center" vertical="center"/>
    </xf>
    <xf numFmtId="1" fontId="11" fillId="0" borderId="2" xfId="0" applyNumberFormat="1" applyFont="1" applyFill="1" applyBorder="1" applyAlignment="1">
      <alignment horizontal="center" vertical="center" wrapText="1"/>
    </xf>
    <xf numFmtId="0" fontId="3" fillId="7" borderId="2" xfId="0" applyFont="1" applyFill="1" applyBorder="1" applyAlignment="1">
      <alignment horizontal="left" vertical="center"/>
    </xf>
    <xf numFmtId="39" fontId="11" fillId="0" borderId="9" xfId="1" applyNumberFormat="1" applyFont="1" applyBorder="1" applyAlignment="1">
      <alignment horizontal="right" vertical="center"/>
    </xf>
    <xf numFmtId="43" fontId="3" fillId="7" borderId="0" xfId="1" applyFont="1" applyFill="1" applyBorder="1" applyAlignment="1">
      <alignment vertical="center"/>
    </xf>
    <xf numFmtId="43" fontId="3" fillId="7" borderId="0" xfId="1" applyFont="1" applyFill="1" applyBorder="1" applyAlignment="1">
      <alignment horizontal="center" vertical="center"/>
    </xf>
    <xf numFmtId="3" fontId="11" fillId="0" borderId="2" xfId="0" applyNumberFormat="1" applyFont="1" applyFill="1" applyBorder="1" applyAlignment="1">
      <alignment horizontal="center" vertical="center" wrapText="1"/>
    </xf>
    <xf numFmtId="0" fontId="11" fillId="5" borderId="6" xfId="0" applyFont="1" applyFill="1" applyBorder="1" applyAlignment="1">
      <alignment horizontal="justify" vertical="center" wrapText="1"/>
    </xf>
    <xf numFmtId="0" fontId="11" fillId="5" borderId="7" xfId="0" applyFont="1" applyFill="1" applyBorder="1" applyAlignment="1">
      <alignment horizontal="justify" vertical="center" wrapText="1"/>
    </xf>
    <xf numFmtId="0" fontId="11" fillId="5" borderId="7" xfId="0" applyFont="1" applyFill="1" applyBorder="1" applyAlignment="1">
      <alignment horizontal="center" vertical="center" wrapText="1"/>
    </xf>
    <xf numFmtId="3" fontId="11" fillId="0" borderId="2" xfId="0" applyNumberFormat="1" applyFont="1" applyFill="1" applyBorder="1" applyAlignment="1">
      <alignment horizontal="center" vertical="center"/>
    </xf>
    <xf numFmtId="0" fontId="11" fillId="6" borderId="6" xfId="0" applyFont="1" applyFill="1" applyBorder="1" applyAlignment="1">
      <alignment horizontal="justify" vertical="center" wrapText="1"/>
    </xf>
    <xf numFmtId="0" fontId="11" fillId="8" borderId="5" xfId="0" applyFont="1" applyFill="1" applyBorder="1" applyAlignment="1">
      <alignment horizontal="justify" vertical="center" wrapText="1"/>
    </xf>
    <xf numFmtId="0" fontId="11" fillId="8" borderId="9" xfId="0" applyFont="1" applyFill="1" applyBorder="1" applyAlignment="1">
      <alignment horizontal="center" vertical="center" wrapText="1"/>
    </xf>
    <xf numFmtId="0" fontId="11" fillId="8" borderId="9" xfId="0" applyFont="1" applyFill="1" applyBorder="1" applyAlignment="1">
      <alignment horizontal="justify" vertical="center" wrapText="1"/>
    </xf>
    <xf numFmtId="0" fontId="3" fillId="11" borderId="2" xfId="0" applyFont="1" applyFill="1" applyBorder="1" applyAlignment="1">
      <alignment horizontal="center" vertical="center" wrapText="1"/>
    </xf>
    <xf numFmtId="43" fontId="3" fillId="11" borderId="2" xfId="1" applyFont="1" applyFill="1" applyBorder="1" applyAlignment="1">
      <alignment vertical="center"/>
    </xf>
    <xf numFmtId="0" fontId="4" fillId="0" borderId="17" xfId="0" applyFont="1" applyBorder="1" applyAlignment="1">
      <alignment vertical="center"/>
    </xf>
    <xf numFmtId="0" fontId="3" fillId="5" borderId="6" xfId="0" applyFont="1" applyFill="1" applyBorder="1" applyAlignment="1">
      <alignment horizontal="left" vertical="center" wrapText="1"/>
    </xf>
    <xf numFmtId="43" fontId="11" fillId="6" borderId="8" xfId="1" applyFont="1" applyFill="1" applyBorder="1" applyAlignment="1">
      <alignment horizontal="justify" vertical="center"/>
    </xf>
    <xf numFmtId="0" fontId="11" fillId="8" borderId="10" xfId="0" applyFont="1" applyFill="1" applyBorder="1" applyAlignment="1">
      <alignment horizontal="justify" vertical="center" wrapText="1"/>
    </xf>
    <xf numFmtId="1" fontId="11" fillId="0" borderId="0" xfId="0" applyNumberFormat="1" applyFont="1" applyBorder="1" applyAlignment="1">
      <alignment horizontal="center" vertical="center"/>
    </xf>
    <xf numFmtId="43" fontId="11" fillId="0" borderId="0" xfId="1" applyFont="1" applyBorder="1" applyAlignment="1">
      <alignment horizontal="justify" vertical="center"/>
    </xf>
    <xf numFmtId="43" fontId="11" fillId="2" borderId="0" xfId="1" applyFont="1" applyFill="1" applyBorder="1" applyAlignment="1">
      <alignment horizontal="justify" vertical="center"/>
    </xf>
    <xf numFmtId="43" fontId="11" fillId="0" borderId="0" xfId="1" applyFont="1" applyBorder="1" applyAlignment="1">
      <alignment horizontal="center" vertical="center"/>
    </xf>
    <xf numFmtId="43" fontId="11" fillId="0" borderId="0" xfId="1" applyFont="1" applyBorder="1" applyAlignment="1">
      <alignment vertical="center"/>
    </xf>
    <xf numFmtId="0" fontId="3" fillId="5" borderId="6" xfId="0" applyFont="1" applyFill="1" applyBorder="1" applyAlignment="1">
      <alignment horizontal="justify" vertical="center" wrapText="1"/>
    </xf>
    <xf numFmtId="2" fontId="11" fillId="0" borderId="0" xfId="0" applyNumberFormat="1" applyFont="1" applyBorder="1" applyAlignment="1">
      <alignment horizontal="center" vertical="center"/>
    </xf>
    <xf numFmtId="43" fontId="11" fillId="0" borderId="3" xfId="1" applyFont="1" applyBorder="1" applyAlignment="1">
      <alignment horizontal="justify" vertical="center"/>
    </xf>
    <xf numFmtId="43" fontId="11" fillId="0" borderId="8" xfId="1" applyFont="1" applyBorder="1" applyAlignment="1">
      <alignment vertical="center"/>
    </xf>
    <xf numFmtId="43" fontId="11" fillId="0" borderId="8" xfId="1" applyFont="1" applyBorder="1" applyAlignment="1">
      <alignment horizontal="justify" vertical="center" wrapText="1"/>
    </xf>
    <xf numFmtId="0" fontId="11" fillId="0" borderId="17" xfId="0" applyFont="1" applyBorder="1" applyAlignment="1">
      <alignment horizontal="justify" vertical="center" wrapText="1"/>
    </xf>
    <xf numFmtId="43" fontId="17" fillId="2" borderId="0" xfId="1" applyFont="1" applyFill="1" applyBorder="1"/>
    <xf numFmtId="43" fontId="11" fillId="0" borderId="0" xfId="1" applyFont="1" applyBorder="1"/>
    <xf numFmtId="4" fontId="11" fillId="0" borderId="0" xfId="0" applyNumberFormat="1" applyFont="1" applyBorder="1" applyAlignment="1">
      <alignment horizontal="center" vertical="center" wrapText="1"/>
    </xf>
    <xf numFmtId="3" fontId="11" fillId="0" borderId="0" xfId="0" applyNumberFormat="1" applyFont="1" applyBorder="1" applyAlignment="1">
      <alignment horizontal="center" vertical="center" wrapText="1"/>
    </xf>
    <xf numFmtId="43" fontId="11" fillId="0" borderId="0" xfId="1" applyFont="1" applyBorder="1" applyAlignment="1">
      <alignment horizontal="center"/>
    </xf>
    <xf numFmtId="3" fontId="11" fillId="0" borderId="0" xfId="0" applyNumberFormat="1" applyFont="1" applyBorder="1" applyAlignment="1">
      <alignment horizontal="center" vertical="center"/>
    </xf>
    <xf numFmtId="0" fontId="3" fillId="2" borderId="0" xfId="0" applyFont="1" applyFill="1" applyBorder="1" applyAlignment="1">
      <alignment horizontal="center" vertical="center" wrapText="1"/>
    </xf>
    <xf numFmtId="1" fontId="3"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43" fontId="3" fillId="2" borderId="0" xfId="1" applyFont="1" applyFill="1" applyBorder="1" applyAlignment="1">
      <alignment horizontal="justify" vertical="center"/>
    </xf>
    <xf numFmtId="43" fontId="3" fillId="2" borderId="1" xfId="1" applyFont="1" applyFill="1" applyBorder="1" applyAlignment="1">
      <alignment horizontal="justify" vertical="center"/>
    </xf>
    <xf numFmtId="43" fontId="11" fillId="7" borderId="3" xfId="1" applyFont="1" applyFill="1" applyBorder="1" applyAlignment="1">
      <alignment vertical="center"/>
    </xf>
    <xf numFmtId="0" fontId="3" fillId="11" borderId="7" xfId="0" applyFont="1" applyFill="1" applyBorder="1" applyAlignment="1">
      <alignment horizontal="justify" vertical="center"/>
    </xf>
    <xf numFmtId="0" fontId="3" fillId="11" borderId="7" xfId="0" applyFont="1" applyFill="1" applyBorder="1" applyAlignment="1">
      <alignment horizontal="center" vertical="center"/>
    </xf>
    <xf numFmtId="1" fontId="3" fillId="11" borderId="7" xfId="0" applyNumberFormat="1" applyFont="1" applyFill="1" applyBorder="1" applyAlignment="1">
      <alignment horizontal="center" vertical="center"/>
    </xf>
    <xf numFmtId="0" fontId="3" fillId="11" borderId="7" xfId="0" applyFont="1" applyFill="1" applyBorder="1" applyAlignment="1">
      <alignment horizontal="center" vertical="center" wrapText="1"/>
    </xf>
    <xf numFmtId="0" fontId="3" fillId="11" borderId="8" xfId="0" applyFont="1" applyFill="1" applyBorder="1" applyAlignment="1">
      <alignment horizontal="justify" vertical="center" wrapText="1"/>
    </xf>
    <xf numFmtId="1" fontId="11" fillId="0" borderId="2" xfId="1" applyNumberFormat="1" applyFont="1" applyFill="1" applyBorder="1" applyAlignment="1">
      <alignment horizontal="center" vertical="center"/>
    </xf>
    <xf numFmtId="0" fontId="13" fillId="0" borderId="2" xfId="0" applyFont="1" applyBorder="1" applyAlignment="1">
      <alignment horizontal="center"/>
    </xf>
    <xf numFmtId="0" fontId="13" fillId="0" borderId="2" xfId="0" applyFont="1" applyBorder="1" applyAlignment="1">
      <alignment horizontal="left"/>
    </xf>
    <xf numFmtId="165" fontId="11" fillId="0" borderId="2" xfId="1" applyNumberFormat="1" applyFont="1" applyBorder="1" applyAlignment="1">
      <alignment horizontal="right" vertical="center"/>
    </xf>
    <xf numFmtId="9" fontId="11" fillId="0" borderId="2" xfId="4" applyFont="1" applyBorder="1" applyAlignment="1">
      <alignment horizontal="center" vertical="center"/>
    </xf>
    <xf numFmtId="165" fontId="13" fillId="0" borderId="2" xfId="1" applyNumberFormat="1" applyFont="1" applyBorder="1"/>
    <xf numFmtId="9" fontId="13" fillId="0" borderId="2" xfId="4" applyFont="1" applyBorder="1" applyAlignment="1">
      <alignment horizontal="center"/>
    </xf>
    <xf numFmtId="9" fontId="25" fillId="2" borderId="2" xfId="4" applyFont="1" applyFill="1" applyBorder="1" applyAlignment="1">
      <alignment horizontal="center" vertical="center"/>
    </xf>
    <xf numFmtId="0" fontId="11" fillId="0" borderId="2" xfId="0" applyFont="1" applyBorder="1" applyAlignment="1">
      <alignment horizontal="center"/>
    </xf>
    <xf numFmtId="3" fontId="11" fillId="0" borderId="2" xfId="0" applyNumberFormat="1" applyFont="1" applyBorder="1" applyAlignment="1">
      <alignment horizontal="right" vertical="center"/>
    </xf>
    <xf numFmtId="4" fontId="11" fillId="0" borderId="2" xfId="0" applyNumberFormat="1" applyFont="1" applyBorder="1" applyAlignment="1">
      <alignment vertical="center"/>
    </xf>
    <xf numFmtId="37" fontId="11" fillId="0" borderId="2" xfId="1" applyNumberFormat="1" applyFont="1" applyBorder="1"/>
    <xf numFmtId="165" fontId="11" fillId="0" borderId="2" xfId="1" applyNumberFormat="1" applyFont="1" applyBorder="1"/>
    <xf numFmtId="0" fontId="13" fillId="0" borderId="2" xfId="0" applyFont="1" applyBorder="1" applyAlignment="1">
      <alignment horizontal="center" vertical="center"/>
    </xf>
    <xf numFmtId="0" fontId="13" fillId="0" borderId="2" xfId="0" applyFont="1" applyBorder="1" applyAlignment="1">
      <alignment horizontal="left" vertical="center"/>
    </xf>
    <xf numFmtId="165" fontId="13" fillId="0" borderId="2" xfId="1" applyNumberFormat="1" applyFont="1" applyBorder="1" applyAlignment="1">
      <alignment vertical="center"/>
    </xf>
    <xf numFmtId="9" fontId="13" fillId="0" borderId="2" xfId="4" applyFont="1" applyBorder="1" applyAlignment="1">
      <alignment horizontal="center" vertical="center"/>
    </xf>
    <xf numFmtId="9" fontId="25" fillId="15" borderId="2" xfId="4" applyFont="1" applyFill="1" applyBorder="1" applyAlignment="1">
      <alignment horizontal="center" vertical="center"/>
    </xf>
    <xf numFmtId="165" fontId="26" fillId="14" borderId="7" xfId="1" applyNumberFormat="1" applyFont="1" applyFill="1" applyBorder="1" applyAlignment="1">
      <alignment vertical="center"/>
    </xf>
    <xf numFmtId="165" fontId="26" fillId="14" borderId="8" xfId="1" applyNumberFormat="1" applyFont="1" applyFill="1" applyBorder="1" applyAlignment="1">
      <alignment vertical="center"/>
    </xf>
    <xf numFmtId="165" fontId="26" fillId="14" borderId="2" xfId="1" applyNumberFormat="1" applyFont="1" applyFill="1" applyBorder="1" applyAlignment="1">
      <alignment horizontal="right" vertical="center"/>
    </xf>
    <xf numFmtId="9" fontId="26" fillId="14" borderId="2" xfId="4" applyFont="1" applyFill="1" applyBorder="1" applyAlignment="1">
      <alignment horizontal="center" vertical="center"/>
    </xf>
    <xf numFmtId="0" fontId="13" fillId="0" borderId="0" xfId="0" applyFont="1"/>
    <xf numFmtId="165" fontId="11" fillId="0" borderId="0" xfId="1" applyNumberFormat="1" applyFont="1" applyAlignment="1">
      <alignment horizontal="left" vertical="center"/>
    </xf>
    <xf numFmtId="165" fontId="11" fillId="0" borderId="0" xfId="1" applyNumberFormat="1" applyFont="1" applyAlignment="1">
      <alignment horizontal="right" vertical="center"/>
    </xf>
    <xf numFmtId="165" fontId="13" fillId="0" borderId="0" xfId="1" applyNumberFormat="1" applyFont="1"/>
    <xf numFmtId="0" fontId="13" fillId="0" borderId="2" xfId="0" applyFont="1" applyBorder="1" applyAlignment="1">
      <alignment horizontal="center" vertical="center" wrapText="1"/>
    </xf>
    <xf numFmtId="165" fontId="11" fillId="0" borderId="2" xfId="1" applyNumberFormat="1" applyFont="1" applyBorder="1" applyAlignment="1">
      <alignment horizontal="left" vertical="center"/>
    </xf>
    <xf numFmtId="165" fontId="11" fillId="0" borderId="2" xfId="1" applyNumberFormat="1" applyFont="1" applyFill="1" applyBorder="1" applyAlignment="1">
      <alignment horizontal="right" vertical="center"/>
    </xf>
    <xf numFmtId="0" fontId="26" fillId="14" borderId="9" xfId="0" applyFont="1" applyFill="1" applyBorder="1" applyAlignment="1">
      <alignment horizontal="left"/>
    </xf>
    <xf numFmtId="0" fontId="26" fillId="14" borderId="3" xfId="0" applyFont="1" applyFill="1" applyBorder="1" applyAlignment="1">
      <alignment horizontal="left"/>
    </xf>
    <xf numFmtId="165" fontId="26" fillId="14" borderId="2" xfId="0" applyNumberFormat="1" applyFont="1" applyFill="1" applyBorder="1"/>
    <xf numFmtId="0" fontId="13" fillId="0" borderId="0" xfId="0" applyFont="1" applyAlignment="1">
      <alignment horizontal="left"/>
    </xf>
    <xf numFmtId="165" fontId="13" fillId="0" borderId="0" xfId="1" applyNumberFormat="1" applyFont="1" applyAlignment="1">
      <alignment horizontal="center"/>
    </xf>
    <xf numFmtId="0" fontId="26" fillId="14" borderId="0" xfId="0" applyFont="1" applyFill="1" applyAlignment="1">
      <alignment horizontal="left"/>
    </xf>
    <xf numFmtId="0" fontId="26" fillId="14" borderId="1" xfId="0" applyFont="1" applyFill="1" applyBorder="1" applyAlignment="1">
      <alignment horizontal="left"/>
    </xf>
    <xf numFmtId="165" fontId="26" fillId="14" borderId="2" xfId="1" applyNumberFormat="1" applyFont="1" applyFill="1" applyBorder="1"/>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1" fillId="6" borderId="12" xfId="0" applyFont="1" applyFill="1" applyBorder="1" applyAlignment="1">
      <alignment horizontal="center" vertical="center" wrapText="1"/>
    </xf>
    <xf numFmtId="0" fontId="11" fillId="6" borderId="12" xfId="0" applyFont="1" applyFill="1" applyBorder="1" applyAlignment="1">
      <alignment horizontal="justify" vertical="center" wrapText="1"/>
    </xf>
    <xf numFmtId="0" fontId="11" fillId="5" borderId="8" xfId="0" applyFont="1" applyFill="1" applyBorder="1" applyAlignment="1">
      <alignment horizontal="center" vertical="center" wrapText="1"/>
    </xf>
    <xf numFmtId="0" fontId="11" fillId="8" borderId="6" xfId="0" applyFont="1" applyFill="1" applyBorder="1" applyAlignment="1">
      <alignment horizontal="justify" vertical="center" wrapText="1"/>
    </xf>
    <xf numFmtId="0" fontId="11" fillId="8" borderId="7" xfId="0" applyFont="1" applyFill="1" applyBorder="1" applyAlignment="1">
      <alignment horizontal="justify"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3" fillId="7" borderId="8" xfId="0" applyFont="1" applyFill="1" applyBorder="1" applyAlignment="1">
      <alignment horizontal="center" vertical="center"/>
    </xf>
    <xf numFmtId="0" fontId="5" fillId="18" borderId="2" xfId="0" applyFont="1" applyFill="1" applyBorder="1" applyAlignment="1">
      <alignment horizontal="left" vertical="center"/>
    </xf>
    <xf numFmtId="0" fontId="5" fillId="18" borderId="2" xfId="0" applyFont="1" applyFill="1" applyBorder="1" applyAlignment="1">
      <alignment horizontal="justify" vertical="center" wrapText="1"/>
    </xf>
    <xf numFmtId="37" fontId="5" fillId="18" borderId="2" xfId="0" applyNumberFormat="1" applyFont="1" applyFill="1" applyBorder="1" applyAlignment="1">
      <alignment vertical="center"/>
    </xf>
    <xf numFmtId="0" fontId="3" fillId="0" borderId="2" xfId="0" applyFont="1" applyBorder="1" applyAlignment="1">
      <alignment horizontal="center" vertical="center" wrapText="1"/>
    </xf>
    <xf numFmtId="0" fontId="3" fillId="5" borderId="2"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11" borderId="6" xfId="0" applyFont="1" applyFill="1" applyBorder="1" applyAlignment="1">
      <alignment horizontal="left" vertical="center" wrapText="1"/>
    </xf>
    <xf numFmtId="0" fontId="3" fillId="11" borderId="7" xfId="0" applyFont="1" applyFill="1" applyBorder="1" applyAlignment="1">
      <alignment horizontal="left" vertical="center" wrapText="1"/>
    </xf>
    <xf numFmtId="1" fontId="13" fillId="0" borderId="10" xfId="0" applyNumberFormat="1" applyFont="1" applyBorder="1" applyAlignment="1">
      <alignment horizontal="center" vertical="center"/>
    </xf>
    <xf numFmtId="1" fontId="13" fillId="0" borderId="17"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14" xfId="0" applyFont="1" applyBorder="1" applyAlignment="1">
      <alignment horizontal="center" vertical="center"/>
    </xf>
    <xf numFmtId="165" fontId="11" fillId="0" borderId="11" xfId="0" applyNumberFormat="1" applyFont="1" applyBorder="1" applyAlignment="1">
      <alignment horizontal="justify" vertical="center" wrapText="1"/>
    </xf>
    <xf numFmtId="165" fontId="11" fillId="0" borderId="12" xfId="0" applyNumberFormat="1" applyFont="1" applyBorder="1" applyAlignment="1">
      <alignment horizontal="justify" vertical="center" wrapText="1"/>
    </xf>
    <xf numFmtId="0" fontId="11" fillId="0" borderId="11" xfId="0" applyFont="1" applyBorder="1" applyAlignment="1">
      <alignment horizontal="center" vertical="center" wrapText="1"/>
    </xf>
    <xf numFmtId="1" fontId="13" fillId="0" borderId="4" xfId="0" applyNumberFormat="1" applyFont="1" applyBorder="1" applyAlignment="1">
      <alignment horizontal="center" vertical="center"/>
    </xf>
    <xf numFmtId="1" fontId="13" fillId="0" borderId="11" xfId="0" applyNumberFormat="1" applyFont="1" applyBorder="1" applyAlignment="1">
      <alignment horizontal="center" vertical="center"/>
    </xf>
    <xf numFmtId="1" fontId="13" fillId="0" borderId="12"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2" xfId="0" applyFont="1" applyBorder="1" applyAlignment="1">
      <alignment horizontal="justify" vertical="center" wrapText="1"/>
    </xf>
    <xf numFmtId="9" fontId="11" fillId="0" borderId="11" xfId="0" applyNumberFormat="1" applyFont="1" applyBorder="1" applyAlignment="1">
      <alignment horizontal="center" vertical="center"/>
    </xf>
    <xf numFmtId="9" fontId="11" fillId="0" borderId="11" xfId="0" applyNumberFormat="1" applyFont="1" applyBorder="1" applyAlignment="1">
      <alignment horizontal="center" vertical="center" wrapText="1"/>
    </xf>
    <xf numFmtId="0" fontId="11" fillId="0" borderId="4" xfId="0" applyFont="1" applyBorder="1" applyAlignment="1">
      <alignment horizontal="center" vertical="center" wrapText="1"/>
    </xf>
    <xf numFmtId="3" fontId="11" fillId="0" borderId="4" xfId="0" applyNumberFormat="1" applyFont="1" applyBorder="1" applyAlignment="1">
      <alignment horizontal="justify" vertical="center"/>
    </xf>
    <xf numFmtId="3" fontId="11" fillId="0" borderId="12" xfId="0" applyNumberFormat="1" applyFont="1" applyBorder="1" applyAlignment="1">
      <alignment horizontal="justify" vertical="center"/>
    </xf>
    <xf numFmtId="0" fontId="11" fillId="0" borderId="12"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12" borderId="6" xfId="0" applyFont="1" applyFill="1" applyBorder="1" applyAlignment="1">
      <alignment horizontal="left" vertical="center" wrapText="1"/>
    </xf>
    <xf numFmtId="0" fontId="3" fillId="12" borderId="7" xfId="0" applyFont="1" applyFill="1" applyBorder="1" applyAlignment="1">
      <alignment horizontal="left" vertical="center" wrapText="1"/>
    </xf>
    <xf numFmtId="1" fontId="11" fillId="0" borderId="4" xfId="3" applyNumberFormat="1" applyFont="1" applyBorder="1" applyAlignment="1">
      <alignment horizontal="center" vertical="center" wrapText="1"/>
    </xf>
    <xf numFmtId="1" fontId="11" fillId="0" borderId="12" xfId="3" applyNumberFormat="1" applyFont="1" applyBorder="1" applyAlignment="1">
      <alignment horizontal="center" vertical="center" wrapText="1"/>
    </xf>
    <xf numFmtId="9" fontId="11" fillId="0" borderId="12" xfId="0" applyNumberFormat="1" applyFont="1" applyBorder="1" applyAlignment="1">
      <alignment horizontal="center" vertical="center" wrapText="1"/>
    </xf>
    <xf numFmtId="10" fontId="11" fillId="0" borderId="11" xfId="0"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1" fillId="0" borderId="12"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11" fillId="0" borderId="11" xfId="3"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11" xfId="0" applyNumberFormat="1" applyFont="1" applyBorder="1" applyAlignment="1">
      <alignment horizontal="justify" vertical="center" wrapText="1"/>
    </xf>
    <xf numFmtId="3" fontId="11" fillId="0" borderId="4"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4" xfId="3" applyNumberFormat="1" applyFont="1" applyBorder="1" applyAlignment="1">
      <alignment horizontal="center" vertical="center" wrapText="1"/>
    </xf>
    <xf numFmtId="3" fontId="11" fillId="0" borderId="12" xfId="3" applyNumberFormat="1" applyFont="1" applyBorder="1" applyAlignment="1">
      <alignment horizontal="center" vertical="center" wrapText="1"/>
    </xf>
    <xf numFmtId="3" fontId="11" fillId="0" borderId="11" xfId="0" applyNumberFormat="1" applyFont="1" applyBorder="1" applyAlignment="1">
      <alignment horizontal="center" vertical="center"/>
    </xf>
    <xf numFmtId="1" fontId="13" fillId="0" borderId="5" xfId="0" applyNumberFormat="1" applyFont="1" applyBorder="1" applyAlignment="1">
      <alignment horizontal="center" vertical="center" wrapText="1"/>
    </xf>
    <xf numFmtId="1" fontId="13" fillId="0" borderId="10" xfId="0" applyNumberFormat="1" applyFont="1" applyBorder="1" applyAlignment="1">
      <alignment horizontal="center" vertical="center" wrapText="1"/>
    </xf>
    <xf numFmtId="1" fontId="13" fillId="0" borderId="17" xfId="0" applyNumberFormat="1" applyFont="1" applyBorder="1" applyAlignment="1">
      <alignment horizontal="center" vertical="center" wrapText="1"/>
    </xf>
    <xf numFmtId="3" fontId="11" fillId="0" borderId="2" xfId="0" applyNumberFormat="1" applyFont="1" applyBorder="1" applyAlignment="1">
      <alignment horizontal="center" vertical="center"/>
    </xf>
    <xf numFmtId="0" fontId="11" fillId="0" borderId="8" xfId="0" applyFont="1" applyBorder="1" applyAlignment="1">
      <alignment horizontal="center" vertical="center" wrapText="1"/>
    </xf>
    <xf numFmtId="0" fontId="11" fillId="0" borderId="3"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4" xfId="0" applyFont="1" applyBorder="1" applyAlignment="1">
      <alignment horizontal="justify" vertical="center" wrapText="1"/>
    </xf>
    <xf numFmtId="3" fontId="11" fillId="0" borderId="4"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12" xfId="0" applyNumberFormat="1" applyFont="1" applyBorder="1" applyAlignment="1">
      <alignment horizontal="center" vertical="center" wrapText="1"/>
    </xf>
    <xf numFmtId="0" fontId="11" fillId="0" borderId="18"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11" xfId="0" applyFont="1" applyBorder="1" applyAlignment="1">
      <alignment horizontal="justify" vertical="center"/>
    </xf>
    <xf numFmtId="16" fontId="11" fillId="0" borderId="11" xfId="0" applyNumberFormat="1" applyFont="1" applyBorder="1" applyAlignment="1">
      <alignment horizontal="center" vertical="center" wrapText="1"/>
    </xf>
    <xf numFmtId="0" fontId="11" fillId="0" borderId="4" xfId="0" applyFont="1" applyBorder="1" applyAlignment="1">
      <alignment horizontal="justify" vertical="center"/>
    </xf>
    <xf numFmtId="16" fontId="11" fillId="0" borderId="4" xfId="0" applyNumberFormat="1" applyFont="1" applyBorder="1" applyAlignment="1">
      <alignment horizontal="center" vertical="center" wrapText="1"/>
    </xf>
    <xf numFmtId="10" fontId="11" fillId="0" borderId="4"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165" fontId="11" fillId="0" borderId="4" xfId="2" applyNumberFormat="1" applyFont="1" applyBorder="1" applyAlignment="1">
      <alignment horizontal="justify" vertical="center" wrapText="1"/>
    </xf>
    <xf numFmtId="165" fontId="11" fillId="0" borderId="11" xfId="2" applyNumberFormat="1" applyFont="1" applyBorder="1" applyAlignment="1">
      <alignment horizontal="justify" vertical="center" wrapText="1"/>
    </xf>
    <xf numFmtId="165" fontId="11" fillId="0" borderId="12" xfId="2" applyNumberFormat="1" applyFont="1" applyBorder="1" applyAlignment="1">
      <alignment horizontal="justify"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165" fontId="3" fillId="2" borderId="6" xfId="2" applyNumberFormat="1" applyFont="1" applyFill="1" applyBorder="1" applyAlignment="1">
      <alignment horizontal="center" vertical="center" wrapText="1"/>
    </xf>
    <xf numFmtId="165" fontId="3" fillId="2" borderId="7" xfId="2" applyNumberFormat="1" applyFont="1" applyFill="1" applyBorder="1" applyAlignment="1">
      <alignment horizontal="center" vertical="center" wrapText="1"/>
    </xf>
    <xf numFmtId="165" fontId="3" fillId="2" borderId="8" xfId="2" applyNumberFormat="1" applyFont="1" applyFill="1" applyBorder="1" applyAlignment="1">
      <alignment horizontal="center" vertical="center" wrapText="1"/>
    </xf>
    <xf numFmtId="165" fontId="15" fillId="2" borderId="6" xfId="2" applyNumberFormat="1" applyFont="1" applyFill="1" applyBorder="1" applyAlignment="1">
      <alignment horizontal="center" vertical="center" wrapText="1"/>
    </xf>
    <xf numFmtId="165" fontId="15" fillId="2" borderId="7" xfId="2" applyNumberFormat="1" applyFont="1" applyFill="1" applyBorder="1" applyAlignment="1">
      <alignment horizontal="center" vertical="center" wrapText="1"/>
    </xf>
    <xf numFmtId="165" fontId="15" fillId="2" borderId="8" xfId="2" applyNumberFormat="1" applyFont="1" applyFill="1" applyBorder="1" applyAlignment="1">
      <alignment horizontal="center" vertical="center" wrapText="1"/>
    </xf>
    <xf numFmtId="165" fontId="3" fillId="2" borderId="2" xfId="2" applyNumberFormat="1" applyFont="1" applyFill="1" applyBorder="1" applyAlignment="1">
      <alignment horizontal="center" vertical="center" wrapText="1"/>
    </xf>
    <xf numFmtId="165" fontId="3" fillId="0" borderId="6" xfId="2" applyNumberFormat="1" applyFont="1" applyBorder="1" applyAlignment="1">
      <alignment horizontal="center" vertical="center" wrapText="1"/>
    </xf>
    <xf numFmtId="165" fontId="3" fillId="0" borderId="7" xfId="2" applyNumberFormat="1" applyFont="1" applyBorder="1" applyAlignment="1">
      <alignment horizontal="center" vertical="center" wrapText="1"/>
    </xf>
    <xf numFmtId="165" fontId="3" fillId="0" borderId="8" xfId="2" applyNumberFormat="1" applyFont="1" applyBorder="1" applyAlignment="1">
      <alignment horizontal="center" vertical="center" wrapText="1"/>
    </xf>
    <xf numFmtId="166" fontId="3" fillId="0" borderId="6" xfId="1" applyNumberFormat="1" applyFont="1" applyBorder="1" applyAlignment="1">
      <alignment horizontal="center" vertical="center" wrapText="1"/>
    </xf>
    <xf numFmtId="166" fontId="3" fillId="0" borderId="7" xfId="1" applyNumberFormat="1" applyFont="1" applyBorder="1" applyAlignment="1">
      <alignment horizontal="center" vertical="center" wrapText="1"/>
    </xf>
    <xf numFmtId="166" fontId="3" fillId="0" borderId="8" xfId="1"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165" fontId="12" fillId="0" borderId="2" xfId="1" applyNumberFormat="1" applyFont="1" applyBorder="1" applyAlignment="1">
      <alignment horizontal="left" vertical="center"/>
    </xf>
    <xf numFmtId="0" fontId="7" fillId="0" borderId="17" xfId="0" applyFont="1" applyBorder="1" applyAlignment="1">
      <alignment horizontal="center" vertical="center" wrapText="1"/>
    </xf>
    <xf numFmtId="0" fontId="7" fillId="0" borderId="13" xfId="0" applyFont="1" applyBorder="1" applyAlignment="1">
      <alignment horizontal="center" vertical="center" wrapText="1"/>
    </xf>
    <xf numFmtId="0" fontId="12" fillId="0" borderId="2" xfId="0" applyFont="1" applyBorder="1" applyAlignment="1">
      <alignment horizontal="left"/>
    </xf>
    <xf numFmtId="0" fontId="20" fillId="0" borderId="2" xfId="0" applyFont="1" applyBorder="1" applyAlignment="1">
      <alignment horizontal="left"/>
    </xf>
    <xf numFmtId="165" fontId="21" fillId="14" borderId="6" xfId="1" applyNumberFormat="1" applyFont="1" applyFill="1" applyBorder="1" applyAlignment="1">
      <alignment horizontal="center" vertical="center" wrapText="1"/>
    </xf>
    <xf numFmtId="165" fontId="21" fillId="14" borderId="8" xfId="1" applyNumberFormat="1" applyFont="1" applyFill="1" applyBorder="1" applyAlignment="1">
      <alignment horizontal="center" vertical="center" wrapText="1"/>
    </xf>
    <xf numFmtId="0" fontId="20" fillId="0" borderId="2" xfId="0" applyFont="1" applyBorder="1" applyAlignment="1">
      <alignment horizontal="center"/>
    </xf>
    <xf numFmtId="0" fontId="4" fillId="17" borderId="6" xfId="0" applyFont="1" applyFill="1" applyBorder="1" applyAlignment="1">
      <alignment horizontal="left" vertical="center" wrapText="1"/>
    </xf>
    <xf numFmtId="0" fontId="4" fillId="17" borderId="8" xfId="0" applyFont="1" applyFill="1" applyBorder="1" applyAlignment="1">
      <alignment horizontal="left" vertical="center" wrapText="1"/>
    </xf>
    <xf numFmtId="0" fontId="4" fillId="17" borderId="2" xfId="0" applyFont="1" applyFill="1" applyBorder="1" applyAlignment="1">
      <alignment horizontal="left" vertical="center" wrapText="1"/>
    </xf>
    <xf numFmtId="0" fontId="2" fillId="0" borderId="0" xfId="0" applyFont="1" applyAlignment="1">
      <alignment horizontal="center" vertical="center"/>
    </xf>
  </cellXfs>
  <cellStyles count="5">
    <cellStyle name="Millares" xfId="1" builtinId="3"/>
    <cellStyle name="Millares 2" xfId="2"/>
    <cellStyle name="Normal" xfId="0" builtinId="0"/>
    <cellStyle name="Porcentaje" xfId="4" builtinId="5"/>
    <cellStyle name="Porcentaje 2" xfId="3"/>
  </cellStyles>
  <dxfs count="33">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CO" sz="1000"/>
              <a:t>Departamento</a:t>
            </a:r>
            <a:r>
              <a:rPr lang="es-CO" sz="1000" baseline="0"/>
              <a:t> del Quindío</a:t>
            </a:r>
          </a:p>
          <a:p>
            <a:pPr>
              <a:defRPr sz="1000"/>
            </a:pPr>
            <a:r>
              <a:rPr lang="es-CO" sz="1000" baseline="0"/>
              <a:t>% de Ejecución Gastos de Inversion</a:t>
            </a:r>
          </a:p>
          <a:p>
            <a:pPr>
              <a:defRPr sz="1000"/>
            </a:pPr>
            <a:r>
              <a:rPr lang="es-CO" sz="1000" baseline="0"/>
              <a:t>Sector Central  por Unidad Ejecutora </a:t>
            </a:r>
          </a:p>
          <a:p>
            <a:pPr>
              <a:defRPr sz="1000"/>
            </a:pPr>
            <a:r>
              <a:rPr lang="es-CO" sz="1000" baseline="0"/>
              <a:t>III Trimestre 2018</a:t>
            </a:r>
            <a:endParaRPr lang="es-CO"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SECRETARIAS'!$D$2</c:f>
              <c:strCache>
                <c:ptCount val="1"/>
                <c:pt idx="0">
                  <c:v>%</c:v>
                </c:pt>
              </c:strCache>
            </c:strRef>
          </c:tx>
          <c:spPr>
            <a:solidFill>
              <a:schemeClr val="accent1"/>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SECRETARIAS'!$D$3:$D$15,'EJE SECRETARIAS'!$D$18:$D$20,'EJE SECRETARIAS'!$D$23)</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xmlns:c16r2="http://schemas.microsoft.com/office/drawing/2015/06/chart">
            <c:ext xmlns:c16="http://schemas.microsoft.com/office/drawing/2014/chart" uri="{C3380CC4-5D6E-409C-BE32-E72D297353CC}">
              <c16:uniqueId val="{00000000-1582-4CD1-B895-8BE5093A16DF}"/>
            </c:ext>
          </c:extLst>
        </c:ser>
        <c:ser>
          <c:idx val="1"/>
          <c:order val="1"/>
          <c:tx>
            <c:strRef>
              <c:f>'EJE SECRETARIAS'!$F$2</c:f>
              <c:strCache>
                <c:ptCount val="1"/>
                <c:pt idx="0">
                  <c:v>% CDP</c:v>
                </c:pt>
              </c:strCache>
            </c:strRef>
          </c:tx>
          <c:spPr>
            <a:solidFill>
              <a:schemeClr val="accent2"/>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SECRETARIAS'!$F$3:$F$15,'EJE SECRETARIAS'!$F$18:$F$20,'EJE SECRETARIAS'!$F$23)</c:f>
              <c:numCache>
                <c:formatCode>0%</c:formatCode>
                <c:ptCount val="17"/>
                <c:pt idx="0">
                  <c:v>0.47978182259570495</c:v>
                </c:pt>
                <c:pt idx="1">
                  <c:v>0.6326824174397031</c:v>
                </c:pt>
                <c:pt idx="2">
                  <c:v>0.88046685521207946</c:v>
                </c:pt>
                <c:pt idx="3">
                  <c:v>0.71748333922320773</c:v>
                </c:pt>
                <c:pt idx="4">
                  <c:v>0.36557712570212558</c:v>
                </c:pt>
                <c:pt idx="5">
                  <c:v>0.65804181161430353</c:v>
                </c:pt>
                <c:pt idx="6">
                  <c:v>0.75197157471275544</c:v>
                </c:pt>
                <c:pt idx="7">
                  <c:v>0.56563896069977737</c:v>
                </c:pt>
                <c:pt idx="8">
                  <c:v>0.83518581382978718</c:v>
                </c:pt>
                <c:pt idx="9">
                  <c:v>0.59097156725675426</c:v>
                </c:pt>
                <c:pt idx="10">
                  <c:v>0.61059793815728647</c:v>
                </c:pt>
                <c:pt idx="11">
                  <c:v>0.95</c:v>
                </c:pt>
                <c:pt idx="12">
                  <c:v>0.66543357650239965</c:v>
                </c:pt>
                <c:pt idx="13">
                  <c:v>0.69256894595170737</c:v>
                </c:pt>
                <c:pt idx="14">
                  <c:v>0.81973868189690546</c:v>
                </c:pt>
                <c:pt idx="15">
                  <c:v>0.74301447826086953</c:v>
                </c:pt>
                <c:pt idx="16">
                  <c:v>0.61734928872273753</c:v>
                </c:pt>
              </c:numCache>
            </c:numRef>
          </c:val>
          <c:extLst xmlns:c16r2="http://schemas.microsoft.com/office/drawing/2015/06/chart">
            <c:ext xmlns:c16="http://schemas.microsoft.com/office/drawing/2014/chart" uri="{C3380CC4-5D6E-409C-BE32-E72D297353CC}">
              <c16:uniqueId val="{00000001-1582-4CD1-B895-8BE5093A16DF}"/>
            </c:ext>
          </c:extLst>
        </c:ser>
        <c:ser>
          <c:idx val="2"/>
          <c:order val="2"/>
          <c:tx>
            <c:strRef>
              <c:f>'EJE SECRETARIAS'!$H$2</c:f>
              <c:strCache>
                <c:ptCount val="1"/>
                <c:pt idx="0">
                  <c:v>% RP</c:v>
                </c:pt>
              </c:strCache>
            </c:strRef>
          </c:tx>
          <c:spPr>
            <a:solidFill>
              <a:schemeClr val="accent3"/>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SECRETARIAS'!$H$3:$H$15,'EJE SECRETARIAS'!$H$18:$H$20,'EJE SECRETARIAS'!$H$23)</c:f>
              <c:numCache>
                <c:formatCode>0%</c:formatCode>
                <c:ptCount val="17"/>
                <c:pt idx="0">
                  <c:v>0.37094864612511669</c:v>
                </c:pt>
                <c:pt idx="1">
                  <c:v>0.58308027891156466</c:v>
                </c:pt>
                <c:pt idx="2">
                  <c:v>0.87730730143741675</c:v>
                </c:pt>
                <c:pt idx="3">
                  <c:v>0.46119491427697085</c:v>
                </c:pt>
                <c:pt idx="4">
                  <c:v>0.28312566112592569</c:v>
                </c:pt>
                <c:pt idx="5">
                  <c:v>0.50412012214696444</c:v>
                </c:pt>
                <c:pt idx="6">
                  <c:v>0.5417070074725665</c:v>
                </c:pt>
                <c:pt idx="7">
                  <c:v>0.55541316657452144</c:v>
                </c:pt>
                <c:pt idx="8">
                  <c:v>0.83518581382978718</c:v>
                </c:pt>
                <c:pt idx="9">
                  <c:v>0.57214003983703088</c:v>
                </c:pt>
                <c:pt idx="10">
                  <c:v>0.39012911245133031</c:v>
                </c:pt>
                <c:pt idx="11">
                  <c:v>0.95</c:v>
                </c:pt>
                <c:pt idx="12">
                  <c:v>0.48659788705727025</c:v>
                </c:pt>
                <c:pt idx="13">
                  <c:v>0.66875156963172078</c:v>
                </c:pt>
                <c:pt idx="14">
                  <c:v>0.81973868189690535</c:v>
                </c:pt>
                <c:pt idx="15">
                  <c:v>0.74301447826086953</c:v>
                </c:pt>
                <c:pt idx="16">
                  <c:v>0.53982300966688923</c:v>
                </c:pt>
              </c:numCache>
            </c:numRef>
          </c:val>
          <c:extLst xmlns:c16r2="http://schemas.microsoft.com/office/drawing/2015/06/chart">
            <c:ext xmlns:c16="http://schemas.microsoft.com/office/drawing/2014/chart" uri="{C3380CC4-5D6E-409C-BE32-E72D297353CC}">
              <c16:uniqueId val="{00000002-1582-4CD1-B895-8BE5093A16DF}"/>
            </c:ext>
          </c:extLst>
        </c:ser>
        <c:ser>
          <c:idx val="3"/>
          <c:order val="3"/>
          <c:tx>
            <c:strRef>
              <c:f>'EJE SECRETARIAS'!$J$2</c:f>
              <c:strCache>
                <c:ptCount val="1"/>
                <c:pt idx="0">
                  <c:v>% OBLIG</c:v>
                </c:pt>
              </c:strCache>
            </c:strRef>
          </c:tx>
          <c:spPr>
            <a:solidFill>
              <a:schemeClr val="accent4"/>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SECRETARIAS'!$J$3:$J$15,'EJE SECRETARIAS'!$J$18:$J$20,'EJE SECRETARIAS'!$J$23)</c:f>
              <c:numCache>
                <c:formatCode>0%</c:formatCode>
                <c:ptCount val="17"/>
                <c:pt idx="0">
                  <c:v>0.72700774756724373</c:v>
                </c:pt>
                <c:pt idx="1">
                  <c:v>0.62038599005871842</c:v>
                </c:pt>
                <c:pt idx="2">
                  <c:v>0.47944707285581428</c:v>
                </c:pt>
                <c:pt idx="3">
                  <c:v>0.38465826580260665</c:v>
                </c:pt>
                <c:pt idx="4">
                  <c:v>0.68686864322496333</c:v>
                </c:pt>
                <c:pt idx="5">
                  <c:v>0.44957844779948192</c:v>
                </c:pt>
                <c:pt idx="6">
                  <c:v>0.64472033288094555</c:v>
                </c:pt>
                <c:pt idx="7">
                  <c:v>0.67755729887737959</c:v>
                </c:pt>
                <c:pt idx="8">
                  <c:v>0.45922394209473055</c:v>
                </c:pt>
                <c:pt idx="9">
                  <c:v>0.92417791137847716</c:v>
                </c:pt>
                <c:pt idx="10">
                  <c:v>0.72741670985522244</c:v>
                </c:pt>
                <c:pt idx="11">
                  <c:v>1</c:v>
                </c:pt>
                <c:pt idx="12">
                  <c:v>0.56119005142823231</c:v>
                </c:pt>
                <c:pt idx="13">
                  <c:v>0</c:v>
                </c:pt>
                <c:pt idx="14">
                  <c:v>0</c:v>
                </c:pt>
                <c:pt idx="15">
                  <c:v>0</c:v>
                </c:pt>
                <c:pt idx="16">
                  <c:v>0.78542553990819808</c:v>
                </c:pt>
              </c:numCache>
            </c:numRef>
          </c:val>
          <c:extLst xmlns:c16r2="http://schemas.microsoft.com/office/drawing/2015/06/chart">
            <c:ext xmlns:c16="http://schemas.microsoft.com/office/drawing/2014/chart" uri="{C3380CC4-5D6E-409C-BE32-E72D297353CC}">
              <c16:uniqueId val="{00000003-1582-4CD1-B895-8BE5093A16DF}"/>
            </c:ext>
          </c:extLst>
        </c:ser>
        <c:dLbls>
          <c:showLegendKey val="0"/>
          <c:showVal val="0"/>
          <c:showCatName val="0"/>
          <c:showSerName val="0"/>
          <c:showPercent val="0"/>
          <c:showBubbleSize val="0"/>
        </c:dLbls>
        <c:gapWidth val="150"/>
        <c:shape val="box"/>
        <c:axId val="357942088"/>
        <c:axId val="357942480"/>
        <c:axId val="0"/>
      </c:bar3DChart>
      <c:catAx>
        <c:axId val="3579420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Unidades</a:t>
                </a:r>
                <a:r>
                  <a:rPr lang="es-CO" baseline="0"/>
                  <a:t> Ejecutoras</a:t>
                </a:r>
                <a:endParaRPr lang="es-CO"/>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7942480"/>
        <c:crosses val="autoZero"/>
        <c:auto val="1"/>
        <c:lblAlgn val="ctr"/>
        <c:lblOffset val="100"/>
        <c:noMultiLvlLbl val="0"/>
      </c:catAx>
      <c:valAx>
        <c:axId val="35794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7942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MONTO</c:v>
          </c:tx>
          <c:spPr>
            <a:solidFill>
              <a:schemeClr val="accent1"/>
            </a:solidFill>
            <a:ln>
              <a:noFill/>
            </a:ln>
            <a:effectLst/>
          </c:spPr>
          <c:invertIfNegative val="0"/>
          <c:cat>
            <c:strRef>
              <c:f>'EJE SECRETARIAS'!$C$51:$C$56</c:f>
              <c:strCache>
                <c:ptCount val="6"/>
                <c:pt idx="0">
                  <c:v>A . DEFINITIVA</c:v>
                </c:pt>
                <c:pt idx="1">
                  <c:v>DISPONIBILIDADES   </c:v>
                </c:pt>
                <c:pt idx="2">
                  <c:v>COMPROMISOS  </c:v>
                </c:pt>
                <c:pt idx="3">
                  <c:v>OBLIGACIONES  </c:v>
                </c:pt>
                <c:pt idx="4">
                  <c:v>PAGOS </c:v>
                </c:pt>
                <c:pt idx="5">
                  <c:v>SALDO  </c:v>
                </c:pt>
              </c:strCache>
            </c:strRef>
          </c:cat>
          <c:val>
            <c:numRef>
              <c:f>'EJE SECRETARIAS'!$D$51:$D$56</c:f>
              <c:numCache>
                <c:formatCode>_(* #,##0_);_(* \(#,##0\);_(* "-"??_);_(@_)</c:formatCode>
                <c:ptCount val="6"/>
                <c:pt idx="0">
                  <c:v>312986601.59338003</c:v>
                </c:pt>
                <c:pt idx="1">
                  <c:v>193222055.87342</c:v>
                </c:pt>
                <c:pt idx="2">
                  <c:v>168957369.25755</c:v>
                </c:pt>
                <c:pt idx="3">
                  <c:v>132703432.97058</c:v>
                </c:pt>
                <c:pt idx="4">
                  <c:v>132699801.97058</c:v>
                </c:pt>
                <c:pt idx="5">
                  <c:v>119764545.71996</c:v>
                </c:pt>
              </c:numCache>
            </c:numRef>
          </c:val>
          <c:extLst xmlns:c16r2="http://schemas.microsoft.com/office/drawing/2015/06/chart">
            <c:ext xmlns:c16="http://schemas.microsoft.com/office/drawing/2014/chart" uri="{C3380CC4-5D6E-409C-BE32-E72D297353CC}">
              <c16:uniqueId val="{00000000-83DB-41C3-AB5A-C9BC08E50383}"/>
            </c:ext>
          </c:extLst>
        </c:ser>
        <c:ser>
          <c:idx val="1"/>
          <c:order val="1"/>
          <c:tx>
            <c:v>PORCENTAJE</c:v>
          </c:tx>
          <c:spPr>
            <a:solidFill>
              <a:schemeClr val="accent3"/>
            </a:solidFill>
            <a:ln>
              <a:noFill/>
            </a:ln>
            <a:effectLst/>
          </c:spPr>
          <c:invertIfNegative val="0"/>
          <c:cat>
            <c:strRef>
              <c:f>'EJE SECRETARIAS'!$C$51:$C$56</c:f>
              <c:strCache>
                <c:ptCount val="6"/>
                <c:pt idx="0">
                  <c:v>A . DEFINITIVA</c:v>
                </c:pt>
                <c:pt idx="1">
                  <c:v>DISPONIBILIDADES   </c:v>
                </c:pt>
                <c:pt idx="2">
                  <c:v>COMPROMISOS  </c:v>
                </c:pt>
                <c:pt idx="3">
                  <c:v>OBLIGACIONES  </c:v>
                </c:pt>
                <c:pt idx="4">
                  <c:v>PAGOS </c:v>
                </c:pt>
                <c:pt idx="5">
                  <c:v>SALDO  </c:v>
                </c:pt>
              </c:strCache>
            </c:strRef>
          </c:cat>
          <c:val>
            <c:numRef>
              <c:f>'EJE SECRETARIAS'!$E$51:$E$56</c:f>
              <c:numCache>
                <c:formatCode>0%</c:formatCode>
                <c:ptCount val="6"/>
                <c:pt idx="0">
                  <c:v>1</c:v>
                </c:pt>
                <c:pt idx="1">
                  <c:v>0.61734928872273753</c:v>
                </c:pt>
                <c:pt idx="2">
                  <c:v>0.53982300966688923</c:v>
                </c:pt>
                <c:pt idx="3">
                  <c:v>0.78542553990819808</c:v>
                </c:pt>
                <c:pt idx="4">
                  <c:v>0.78542553990819808</c:v>
                </c:pt>
                <c:pt idx="5">
                  <c:v>0.38</c:v>
                </c:pt>
              </c:numCache>
            </c:numRef>
          </c:val>
          <c:extLst xmlns:c16r2="http://schemas.microsoft.com/office/drawing/2015/06/chart">
            <c:ext xmlns:c16="http://schemas.microsoft.com/office/drawing/2014/chart" uri="{C3380CC4-5D6E-409C-BE32-E72D297353CC}">
              <c16:uniqueId val="{00000001-83DB-41C3-AB5A-C9BC08E50383}"/>
            </c:ext>
          </c:extLst>
        </c:ser>
        <c:dLbls>
          <c:showLegendKey val="0"/>
          <c:showVal val="0"/>
          <c:showCatName val="0"/>
          <c:showSerName val="0"/>
          <c:showPercent val="0"/>
          <c:showBubbleSize val="0"/>
        </c:dLbls>
        <c:gapWidth val="219"/>
        <c:overlap val="-27"/>
        <c:axId val="432378200"/>
        <c:axId val="432378592"/>
      </c:barChart>
      <c:catAx>
        <c:axId val="432378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378592"/>
        <c:crosses val="autoZero"/>
        <c:auto val="1"/>
        <c:lblAlgn val="ctr"/>
        <c:lblOffset val="100"/>
        <c:noMultiLvlLbl val="0"/>
      </c:catAx>
      <c:valAx>
        <c:axId val="43237859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23782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442913</xdr:colOff>
      <xdr:row>25</xdr:row>
      <xdr:rowOff>150017</xdr:rowOff>
    </xdr:from>
    <xdr:to>
      <xdr:col>12</xdr:col>
      <xdr:colOff>57151</xdr:colOff>
      <xdr:row>47</xdr:row>
      <xdr:rowOff>102394</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363140</xdr:colOff>
      <xdr:row>47</xdr:row>
      <xdr:rowOff>80962</xdr:rowOff>
    </xdr:from>
    <xdr:to>
      <xdr:col>12</xdr:col>
      <xdr:colOff>416717</xdr:colOff>
      <xdr:row>63</xdr:row>
      <xdr:rowOff>157162</xdr:rowOff>
    </xdr:to>
    <xdr:graphicFrame macro="">
      <xdr:nvGraphicFramePr>
        <xdr:cNvPr id="3" name="Gráfico 2">
          <a:extLst>
            <a:ext uri="{FF2B5EF4-FFF2-40B4-BE49-F238E27FC236}">
              <a16:creationId xmlns="" xmlns:a16="http://schemas.microsoft.com/office/drawing/2014/main" id="{843BE0E5-16B4-4C04-812E-76F19C9C65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Departamental%2022%20de%20septiembre\andres\gobernacion\proyectos%202018\POAI\POAI%20%202018-%20codigos%20MGAweb%20Agosto%2031%20de%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istado%20proyectos%20distribuidos%20por%20los%20tres%20del%20proyecto%2007-04-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GTO%20III%20TRIMESTRE%202018/SECRETARIAS/INTERIOR%20SGTO%20III%20TRIMESTRE%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XPLANEACION03/Downloads/24%20octubre%202018%20sec%20turismo%20III%20trimestre%20(2)%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GTO%20III%20TRIMESTRE%202018/SECRETARIAS/AGRICULTURA%20SGTO%20III%20TRIMESTRE%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GTO%20III%20TRIMESTRE%202018/SECRETARIAS/EDUCACI&#211;N%20SGTO%20III%20TRIMESTRE%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OBERNACION%20QUINDIO%202018/INSTRUMENTOS%202018/EJECUCIONES%202018/SEPTIEMBRE%202018/RECIBIDO%20de%20SEC.%20SALUD%20%20III%20TRIMESTRE%20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GTO%20III%20TRIMESTRE%202018/SECRETARIAS/SEGTO%20INDEPORTES%20III%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S"/>
      <sheetName val="NORMAS "/>
      <sheetName val="DISTRIBUCIÓN "/>
      <sheetName val="ENERO 2018 (2)"/>
      <sheetName val="P. SECRETARIAS  POR FUENTE"/>
      <sheetName val="POAI SECRETARIAS"/>
      <sheetName val="E-P-S POAI"/>
      <sheetName val="PRESUPUESTO "/>
      <sheetName val="POAI JUNIO 2017 "/>
      <sheetName val="Hoja1"/>
      <sheetName val="MP AGRICULTURA"/>
    </sheetNames>
    <sheetDataSet>
      <sheetData sheetId="0" refreshError="1"/>
      <sheetData sheetId="1" refreshError="1"/>
      <sheetData sheetId="2" refreshError="1"/>
      <sheetData sheetId="3" refreshError="1">
        <row r="10">
          <cell r="N10">
            <v>2017003630112</v>
          </cell>
        </row>
        <row r="11">
          <cell r="N11">
            <v>2017003630114</v>
          </cell>
        </row>
        <row r="12">
          <cell r="N12">
            <v>2017003630116</v>
          </cell>
        </row>
        <row r="13">
          <cell r="N13">
            <v>2017003630115</v>
          </cell>
        </row>
        <row r="14">
          <cell r="N14">
            <v>2017003630113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DRES"/>
      <sheetName val="GONZALO"/>
      <sheetName val="VICENTE"/>
    </sheetNames>
    <sheetDataSet>
      <sheetData sheetId="0" refreshError="1">
        <row r="5">
          <cell r="G5">
            <v>2017003630029</v>
          </cell>
        </row>
        <row r="7">
          <cell r="G7">
            <v>2017003630030</v>
          </cell>
        </row>
        <row r="8">
          <cell r="G8">
            <v>2017003630044</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PLAN DE ACCION"/>
      <sheetName val="SGTO PLAN DE ACCION"/>
      <sheetName val="GESTION DE RECURSOS"/>
    </sheetNames>
    <sheetDataSet>
      <sheetData sheetId="0">
        <row r="74">
          <cell r="P74">
            <v>54290000</v>
          </cell>
          <cell r="Q74">
            <v>46150000</v>
          </cell>
        </row>
        <row r="75">
          <cell r="P75">
            <v>30783330</v>
          </cell>
          <cell r="Q75">
            <v>6180000</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TURISMO"/>
      <sheetName val="PLAN DE ACCION"/>
      <sheetName val="SGTO PLAN DE ACCCION"/>
      <sheetName val="INVERSIÓN MPIOS"/>
      <sheetName val="GESTION RECURSOS"/>
    </sheetNames>
    <sheetDataSet>
      <sheetData sheetId="0">
        <row r="30">
          <cell r="P30">
            <v>85864000</v>
          </cell>
          <cell r="Q30">
            <v>73824000</v>
          </cell>
        </row>
        <row r="31">
          <cell r="P31">
            <v>39680000</v>
          </cell>
          <cell r="Q31">
            <v>15872000</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Y PROYECTOS"/>
      <sheetName val="SGTO PLAN DE ACCCION"/>
      <sheetName val="PLAN DE ACCION"/>
      <sheetName val="SGTO POAI"/>
      <sheetName val="INVERSIÓN MPIOS"/>
      <sheetName val="GESTION RECURSOS"/>
      <sheetName val="Hoja1"/>
    </sheetNames>
    <sheetDataSet>
      <sheetData sheetId="0">
        <row r="32">
          <cell r="P32">
            <v>43870000</v>
          </cell>
        </row>
        <row r="33">
          <cell r="P33">
            <v>8581667</v>
          </cell>
        </row>
        <row r="37">
          <cell r="P37">
            <v>42985000</v>
          </cell>
        </row>
        <row r="38">
          <cell r="P38">
            <v>49894333</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PLAN DE ACCION"/>
      <sheetName val="SEGUIMIENTO PLAN DE ACCION"/>
      <sheetName val="GESTION RECURSOS"/>
      <sheetName val="INVERSION POR MUNICIPIO"/>
    </sheetNames>
    <sheetDataSet>
      <sheetData sheetId="0">
        <row r="54">
          <cell r="P54">
            <v>20000000</v>
          </cell>
          <cell r="Q54">
            <v>20000000</v>
          </cell>
        </row>
        <row r="55">
          <cell r="P55">
            <v>16000000</v>
          </cell>
          <cell r="Q55">
            <v>16000000</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SGTO PLAN DE ACCION"/>
      <sheetName val="PLAN DE ACCION"/>
      <sheetName val="GESTION RECURSOS"/>
      <sheetName val="INVERSION POR MUNICIPIOS"/>
    </sheetNames>
    <sheetDataSet>
      <sheetData sheetId="0">
        <row r="51">
          <cell r="P51">
            <v>76740000</v>
          </cell>
        </row>
        <row r="52">
          <cell r="P52">
            <v>6760000</v>
          </cell>
        </row>
        <row r="75">
          <cell r="P75">
            <v>74000000</v>
          </cell>
        </row>
        <row r="76">
          <cell r="P76">
            <v>7920000</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y Proyectos"/>
      <sheetName val="SGTO PLAN DE ACCION"/>
      <sheetName val="Inversión Mpios"/>
      <sheetName val="Gestión Recursos "/>
    </sheetNames>
    <sheetDataSet>
      <sheetData sheetId="0">
        <row r="38">
          <cell r="P38">
            <v>2825000</v>
          </cell>
        </row>
        <row r="39">
          <cell r="P39">
            <v>28750000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B1354"/>
  <sheetViews>
    <sheetView showGridLines="0" tabSelected="1" zoomScale="60" zoomScaleNormal="60" workbookViewId="0">
      <selection activeCell="D12" sqref="D12"/>
    </sheetView>
  </sheetViews>
  <sheetFormatPr baseColWidth="10" defaultColWidth="9.140625" defaultRowHeight="30" customHeight="1" x14ac:dyDescent="0.2"/>
  <cols>
    <col min="1" max="1" width="20.42578125" style="9" customWidth="1"/>
    <col min="2" max="2" width="21.7109375" style="9" customWidth="1"/>
    <col min="3" max="3" width="7.140625" style="381" customWidth="1"/>
    <col min="4" max="4" width="50.42578125" style="9" customWidth="1"/>
    <col min="5" max="5" width="16.5703125" style="9" customWidth="1"/>
    <col min="6" max="6" width="20.5703125" style="9" customWidth="1"/>
    <col min="7" max="7" width="21.28515625" style="9" customWidth="1"/>
    <col min="8" max="8" width="7" style="381" customWidth="1"/>
    <col min="9" max="9" width="64.5703125" style="9" customWidth="1"/>
    <col min="10" max="10" width="15.42578125" style="9" customWidth="1"/>
    <col min="11" max="11" width="12.42578125" style="9" customWidth="1"/>
    <col min="12" max="12" width="13" style="9" customWidth="1"/>
    <col min="13" max="13" width="23" style="9" customWidth="1"/>
    <col min="14" max="14" width="29.85546875" style="381" customWidth="1"/>
    <col min="15" max="15" width="29.5703125" style="395" customWidth="1"/>
    <col min="16" max="16" width="46.85546875" style="9" customWidth="1"/>
    <col min="17" max="17" width="13.5703125" style="381" customWidth="1"/>
    <col min="18" max="18" width="28.42578125" style="9" customWidth="1"/>
    <col min="19" max="20" width="32" style="9" customWidth="1"/>
    <col min="21" max="21" width="28.5703125" style="17" customWidth="1"/>
    <col min="22" max="23" width="32" style="17" customWidth="1"/>
    <col min="24" max="24" width="28.7109375" style="9" customWidth="1"/>
    <col min="25" max="26" width="32" style="9" customWidth="1"/>
    <col min="27" max="27" width="27.28515625" style="9" customWidth="1"/>
    <col min="28" max="29" width="32" style="9" customWidth="1"/>
    <col min="30" max="30" width="26.28515625" style="9" customWidth="1"/>
    <col min="31" max="32" width="32" style="9" customWidth="1"/>
    <col min="33" max="33" width="26.5703125" style="9" customWidth="1"/>
    <col min="34" max="35" width="32" style="9" customWidth="1"/>
    <col min="36" max="36" width="27.7109375" style="9" customWidth="1"/>
    <col min="37" max="38" width="32" style="9" customWidth="1"/>
    <col min="39" max="39" width="26.42578125" style="9" customWidth="1"/>
    <col min="40" max="41" width="32" style="9" customWidth="1"/>
    <col min="42" max="42" width="27" style="9" customWidth="1"/>
    <col min="43" max="44" width="32" style="9" customWidth="1"/>
    <col min="45" max="45" width="33.7109375" style="9" customWidth="1"/>
    <col min="46" max="47" width="32" style="9" customWidth="1"/>
    <col min="48" max="48" width="28.7109375" style="9" customWidth="1"/>
    <col min="49" max="50" width="32" style="9" customWidth="1"/>
    <col min="51" max="51" width="29.5703125" style="13" customWidth="1"/>
    <col min="52" max="53" width="32" style="13" customWidth="1"/>
    <col min="54" max="54" width="29.140625" style="13" customWidth="1"/>
    <col min="55" max="56" width="32" style="13" customWidth="1"/>
    <col min="57" max="57" width="28.7109375" style="9" customWidth="1"/>
    <col min="58" max="59" width="32" style="9" customWidth="1"/>
    <col min="60" max="60" width="28" style="9" customWidth="1"/>
    <col min="61" max="62" width="32" style="9" customWidth="1"/>
    <col min="63" max="63" width="34.140625" style="18" customWidth="1"/>
    <col min="64" max="64" width="27.28515625" style="18" customWidth="1"/>
    <col min="65" max="65" width="30.28515625" style="18" customWidth="1"/>
    <col min="66" max="66" width="28.140625" style="9" customWidth="1"/>
    <col min="67" max="68" width="32" style="9" customWidth="1"/>
    <col min="69" max="69" width="28" style="9" customWidth="1"/>
    <col min="70" max="71" width="32" style="9" customWidth="1"/>
    <col min="72" max="72" width="27.85546875" style="9" customWidth="1"/>
    <col min="73" max="73" width="32" style="9" customWidth="1"/>
    <col min="74" max="74" width="35.7109375" style="9" customWidth="1"/>
    <col min="75" max="75" width="28" style="17" customWidth="1"/>
    <col min="76" max="77" width="32" style="17" customWidth="1"/>
    <col min="78" max="78" width="33.28515625" style="9" customWidth="1"/>
    <col min="79" max="79" width="32" style="9" customWidth="1"/>
    <col min="80" max="80" width="32.85546875" style="9" customWidth="1"/>
    <col min="81" max="16384" width="9.140625" style="9"/>
  </cols>
  <sheetData>
    <row r="1" spans="1:80" ht="30" customHeight="1" x14ac:dyDescent="0.2">
      <c r="A1" s="942" t="s">
        <v>0</v>
      </c>
      <c r="B1" s="943"/>
      <c r="C1" s="943"/>
      <c r="D1" s="943"/>
      <c r="E1" s="943"/>
      <c r="F1" s="943"/>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K1" s="943"/>
      <c r="AL1" s="943"/>
      <c r="AM1" s="943"/>
      <c r="AN1" s="943"/>
      <c r="AO1" s="943"/>
      <c r="AP1" s="943"/>
      <c r="AQ1" s="943"/>
      <c r="AR1" s="943"/>
      <c r="AS1" s="943"/>
      <c r="AT1" s="943"/>
      <c r="AU1" s="943"/>
      <c r="AV1" s="943"/>
      <c r="AW1" s="943"/>
      <c r="AX1" s="943"/>
      <c r="AY1" s="943"/>
      <c r="AZ1" s="943"/>
      <c r="BA1" s="943"/>
      <c r="BB1" s="943"/>
      <c r="BC1" s="943"/>
      <c r="BD1" s="943"/>
      <c r="BE1" s="943"/>
      <c r="BF1" s="943"/>
      <c r="BG1" s="943"/>
      <c r="BH1" s="943"/>
      <c r="BI1" s="943"/>
      <c r="BJ1" s="943"/>
      <c r="BK1" s="943"/>
      <c r="BL1" s="943"/>
      <c r="BM1" s="943"/>
      <c r="BN1" s="943"/>
      <c r="BO1" s="943"/>
      <c r="BP1" s="943"/>
      <c r="BQ1" s="943"/>
      <c r="BR1" s="943"/>
      <c r="BS1" s="943"/>
      <c r="BT1" s="943"/>
      <c r="BU1" s="943"/>
      <c r="BV1" s="943"/>
      <c r="BW1" s="943"/>
      <c r="BX1" s="943"/>
      <c r="BY1" s="943"/>
      <c r="BZ1" s="944"/>
      <c r="CA1" s="22" t="s">
        <v>1</v>
      </c>
      <c r="CB1" s="22" t="s">
        <v>2</v>
      </c>
    </row>
    <row r="2" spans="1:80" ht="30" customHeight="1" x14ac:dyDescent="0.2">
      <c r="A2" s="945"/>
      <c r="B2" s="946"/>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6"/>
      <c r="AM2" s="946"/>
      <c r="AN2" s="946"/>
      <c r="AO2" s="946"/>
      <c r="AP2" s="946"/>
      <c r="AQ2" s="946"/>
      <c r="AR2" s="946"/>
      <c r="AS2" s="946"/>
      <c r="AT2" s="946"/>
      <c r="AU2" s="946"/>
      <c r="AV2" s="946"/>
      <c r="AW2" s="946"/>
      <c r="AX2" s="946"/>
      <c r="AY2" s="946"/>
      <c r="AZ2" s="946"/>
      <c r="BA2" s="946"/>
      <c r="BB2" s="946"/>
      <c r="BC2" s="946"/>
      <c r="BD2" s="946"/>
      <c r="BE2" s="946"/>
      <c r="BF2" s="946"/>
      <c r="BG2" s="946"/>
      <c r="BH2" s="946"/>
      <c r="BI2" s="946"/>
      <c r="BJ2" s="946"/>
      <c r="BK2" s="946"/>
      <c r="BL2" s="946"/>
      <c r="BM2" s="946"/>
      <c r="BN2" s="946"/>
      <c r="BO2" s="946"/>
      <c r="BP2" s="946"/>
      <c r="BQ2" s="946"/>
      <c r="BR2" s="946"/>
      <c r="BS2" s="946"/>
      <c r="BT2" s="946"/>
      <c r="BU2" s="946"/>
      <c r="BV2" s="946"/>
      <c r="BW2" s="946"/>
      <c r="BX2" s="946"/>
      <c r="BY2" s="946"/>
      <c r="BZ2" s="947"/>
      <c r="CA2" s="23" t="s">
        <v>3</v>
      </c>
      <c r="CB2" s="24">
        <v>1</v>
      </c>
    </row>
    <row r="3" spans="1:80" ht="30" customHeight="1" x14ac:dyDescent="0.2">
      <c r="A3" s="945" t="s">
        <v>1086</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946"/>
      <c r="AM3" s="946"/>
      <c r="AN3" s="946"/>
      <c r="AO3" s="946"/>
      <c r="AP3" s="946"/>
      <c r="AQ3" s="946"/>
      <c r="AR3" s="946"/>
      <c r="AS3" s="946"/>
      <c r="AT3" s="946"/>
      <c r="AU3" s="946"/>
      <c r="AV3" s="946"/>
      <c r="AW3" s="946"/>
      <c r="AX3" s="946"/>
      <c r="AY3" s="946"/>
      <c r="AZ3" s="946"/>
      <c r="BA3" s="946"/>
      <c r="BB3" s="946"/>
      <c r="BC3" s="946"/>
      <c r="BD3" s="946"/>
      <c r="BE3" s="946"/>
      <c r="BF3" s="946"/>
      <c r="BG3" s="946"/>
      <c r="BH3" s="946"/>
      <c r="BI3" s="946"/>
      <c r="BJ3" s="946"/>
      <c r="BK3" s="946"/>
      <c r="BL3" s="946"/>
      <c r="BM3" s="946"/>
      <c r="BN3" s="946"/>
      <c r="BO3" s="946"/>
      <c r="BP3" s="946"/>
      <c r="BQ3" s="946"/>
      <c r="BR3" s="946"/>
      <c r="BS3" s="946"/>
      <c r="BT3" s="946"/>
      <c r="BU3" s="946"/>
      <c r="BV3" s="946"/>
      <c r="BW3" s="946"/>
      <c r="BX3" s="946"/>
      <c r="BY3" s="946"/>
      <c r="BZ3" s="947"/>
      <c r="CA3" s="22" t="s">
        <v>4</v>
      </c>
      <c r="CB3" s="25" t="s">
        <v>5</v>
      </c>
    </row>
    <row r="4" spans="1:80" ht="30" customHeight="1" x14ac:dyDescent="0.2">
      <c r="A4" s="786"/>
      <c r="B4" s="19"/>
      <c r="C4" s="19"/>
      <c r="D4" s="19"/>
      <c r="E4" s="19"/>
      <c r="F4" s="19"/>
      <c r="G4" s="19"/>
      <c r="H4" s="19"/>
      <c r="I4" s="19"/>
      <c r="J4" s="19"/>
      <c r="K4" s="19"/>
      <c r="L4" s="19"/>
      <c r="M4" s="19"/>
      <c r="N4" s="7"/>
      <c r="O4" s="7"/>
      <c r="P4" s="19"/>
      <c r="Q4" s="19"/>
      <c r="R4" s="19"/>
      <c r="S4" s="19"/>
      <c r="T4" s="19"/>
      <c r="U4" s="20"/>
      <c r="V4" s="20"/>
      <c r="W4" s="20"/>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367"/>
      <c r="BX4" s="21"/>
      <c r="BY4" s="21"/>
      <c r="BZ4" s="368"/>
      <c r="CA4" s="22" t="s">
        <v>6</v>
      </c>
      <c r="CB4" s="26" t="s">
        <v>7</v>
      </c>
    </row>
    <row r="5" spans="1:80" s="1" customFormat="1" ht="57.75" customHeight="1" x14ac:dyDescent="0.25">
      <c r="A5" s="870" t="s">
        <v>8</v>
      </c>
      <c r="B5" s="870" t="s">
        <v>9</v>
      </c>
      <c r="C5" s="870" t="s">
        <v>10</v>
      </c>
      <c r="D5" s="870"/>
      <c r="E5" s="870" t="s">
        <v>11</v>
      </c>
      <c r="F5" s="870" t="s">
        <v>12</v>
      </c>
      <c r="G5" s="870" t="s">
        <v>13</v>
      </c>
      <c r="H5" s="948" t="s">
        <v>14</v>
      </c>
      <c r="I5" s="948"/>
      <c r="J5" s="870" t="s">
        <v>11</v>
      </c>
      <c r="K5" s="962" t="s">
        <v>15</v>
      </c>
      <c r="L5" s="963"/>
      <c r="M5" s="870" t="s">
        <v>16</v>
      </c>
      <c r="N5" s="870" t="s">
        <v>17</v>
      </c>
      <c r="O5" s="870" t="s">
        <v>18</v>
      </c>
      <c r="P5" s="870" t="s">
        <v>19</v>
      </c>
      <c r="Q5" s="870" t="s">
        <v>20</v>
      </c>
      <c r="R5" s="956" t="s">
        <v>21</v>
      </c>
      <c r="S5" s="957"/>
      <c r="T5" s="958"/>
      <c r="U5" s="949" t="s">
        <v>22</v>
      </c>
      <c r="V5" s="950"/>
      <c r="W5" s="951"/>
      <c r="X5" s="956" t="s">
        <v>23</v>
      </c>
      <c r="Y5" s="957"/>
      <c r="Z5" s="958"/>
      <c r="AA5" s="956" t="s">
        <v>937</v>
      </c>
      <c r="AB5" s="957"/>
      <c r="AC5" s="958"/>
      <c r="AD5" s="956" t="s">
        <v>24</v>
      </c>
      <c r="AE5" s="957"/>
      <c r="AF5" s="958"/>
      <c r="AG5" s="956" t="s">
        <v>938</v>
      </c>
      <c r="AH5" s="957"/>
      <c r="AI5" s="958"/>
      <c r="AJ5" s="956" t="s">
        <v>939</v>
      </c>
      <c r="AK5" s="957"/>
      <c r="AL5" s="958"/>
      <c r="AM5" s="956" t="s">
        <v>1084</v>
      </c>
      <c r="AN5" s="957"/>
      <c r="AO5" s="958"/>
      <c r="AP5" s="956" t="s">
        <v>940</v>
      </c>
      <c r="AQ5" s="957"/>
      <c r="AR5" s="958"/>
      <c r="AS5" s="956" t="s">
        <v>941</v>
      </c>
      <c r="AT5" s="957"/>
      <c r="AU5" s="958"/>
      <c r="AV5" s="956" t="s">
        <v>942</v>
      </c>
      <c r="AW5" s="957"/>
      <c r="AX5" s="958"/>
      <c r="AY5" s="956" t="s">
        <v>943</v>
      </c>
      <c r="AZ5" s="957"/>
      <c r="BA5" s="958"/>
      <c r="BB5" s="949" t="s">
        <v>25</v>
      </c>
      <c r="BC5" s="950"/>
      <c r="BD5" s="951"/>
      <c r="BE5" s="949" t="s">
        <v>26</v>
      </c>
      <c r="BF5" s="950"/>
      <c r="BG5" s="951"/>
      <c r="BH5" s="956" t="s">
        <v>27</v>
      </c>
      <c r="BI5" s="957"/>
      <c r="BJ5" s="958"/>
      <c r="BK5" s="959" t="s">
        <v>28</v>
      </c>
      <c r="BL5" s="960"/>
      <c r="BM5" s="961"/>
      <c r="BN5" s="956" t="s">
        <v>29</v>
      </c>
      <c r="BO5" s="957"/>
      <c r="BP5" s="958"/>
      <c r="BQ5" s="949" t="s">
        <v>944</v>
      </c>
      <c r="BR5" s="950"/>
      <c r="BS5" s="951"/>
      <c r="BT5" s="949" t="s">
        <v>945</v>
      </c>
      <c r="BU5" s="950"/>
      <c r="BV5" s="951"/>
      <c r="BW5" s="952" t="s">
        <v>946</v>
      </c>
      <c r="BX5" s="953"/>
      <c r="BY5" s="954"/>
      <c r="BZ5" s="955" t="s">
        <v>30</v>
      </c>
      <c r="CA5" s="955"/>
      <c r="CB5" s="955"/>
    </row>
    <row r="6" spans="1:80" s="1" customFormat="1" ht="36" customHeight="1" x14ac:dyDescent="0.25">
      <c r="A6" s="870"/>
      <c r="B6" s="870"/>
      <c r="C6" s="870"/>
      <c r="D6" s="870"/>
      <c r="E6" s="870"/>
      <c r="F6" s="870"/>
      <c r="G6" s="870"/>
      <c r="H6" s="948"/>
      <c r="I6" s="948"/>
      <c r="J6" s="870"/>
      <c r="K6" s="700" t="s">
        <v>31</v>
      </c>
      <c r="L6" s="28" t="s">
        <v>32</v>
      </c>
      <c r="M6" s="870"/>
      <c r="N6" s="870"/>
      <c r="O6" s="870"/>
      <c r="P6" s="870"/>
      <c r="Q6" s="870"/>
      <c r="R6" s="29" t="s">
        <v>33</v>
      </c>
      <c r="S6" s="30" t="s">
        <v>34</v>
      </c>
      <c r="T6" s="30" t="s">
        <v>35</v>
      </c>
      <c r="U6" s="29" t="s">
        <v>33</v>
      </c>
      <c r="V6" s="30" t="s">
        <v>34</v>
      </c>
      <c r="W6" s="30" t="s">
        <v>35</v>
      </c>
      <c r="X6" s="29" t="s">
        <v>33</v>
      </c>
      <c r="Y6" s="30" t="s">
        <v>34</v>
      </c>
      <c r="Z6" s="30" t="s">
        <v>35</v>
      </c>
      <c r="AA6" s="29" t="s">
        <v>33</v>
      </c>
      <c r="AB6" s="30" t="s">
        <v>34</v>
      </c>
      <c r="AC6" s="30" t="s">
        <v>35</v>
      </c>
      <c r="AD6" s="29" t="s">
        <v>33</v>
      </c>
      <c r="AE6" s="30" t="s">
        <v>34</v>
      </c>
      <c r="AF6" s="30" t="s">
        <v>35</v>
      </c>
      <c r="AG6" s="29" t="s">
        <v>33</v>
      </c>
      <c r="AH6" s="30" t="s">
        <v>34</v>
      </c>
      <c r="AI6" s="30" t="s">
        <v>35</v>
      </c>
      <c r="AJ6" s="29" t="s">
        <v>33</v>
      </c>
      <c r="AK6" s="30" t="s">
        <v>34</v>
      </c>
      <c r="AL6" s="30" t="s">
        <v>35</v>
      </c>
      <c r="AM6" s="29" t="s">
        <v>33</v>
      </c>
      <c r="AN6" s="30" t="s">
        <v>34</v>
      </c>
      <c r="AO6" s="30" t="s">
        <v>35</v>
      </c>
      <c r="AP6" s="29" t="s">
        <v>33</v>
      </c>
      <c r="AQ6" s="30" t="s">
        <v>34</v>
      </c>
      <c r="AR6" s="30" t="s">
        <v>35</v>
      </c>
      <c r="AS6" s="29" t="s">
        <v>33</v>
      </c>
      <c r="AT6" s="30" t="s">
        <v>34</v>
      </c>
      <c r="AU6" s="30" t="s">
        <v>35</v>
      </c>
      <c r="AV6" s="29" t="s">
        <v>33</v>
      </c>
      <c r="AW6" s="30" t="s">
        <v>34</v>
      </c>
      <c r="AX6" s="30" t="s">
        <v>35</v>
      </c>
      <c r="AY6" s="29" t="s">
        <v>33</v>
      </c>
      <c r="AZ6" s="30" t="s">
        <v>34</v>
      </c>
      <c r="BA6" s="30" t="s">
        <v>35</v>
      </c>
      <c r="BB6" s="29" t="s">
        <v>33</v>
      </c>
      <c r="BC6" s="30" t="s">
        <v>34</v>
      </c>
      <c r="BD6" s="30" t="s">
        <v>35</v>
      </c>
      <c r="BE6" s="29" t="s">
        <v>33</v>
      </c>
      <c r="BF6" s="30" t="s">
        <v>34</v>
      </c>
      <c r="BG6" s="30" t="s">
        <v>35</v>
      </c>
      <c r="BH6" s="29" t="s">
        <v>33</v>
      </c>
      <c r="BI6" s="30" t="s">
        <v>34</v>
      </c>
      <c r="BJ6" s="30" t="s">
        <v>35</v>
      </c>
      <c r="BK6" s="29" t="s">
        <v>33</v>
      </c>
      <c r="BL6" s="30" t="s">
        <v>34</v>
      </c>
      <c r="BM6" s="30" t="s">
        <v>35</v>
      </c>
      <c r="BN6" s="29" t="s">
        <v>33</v>
      </c>
      <c r="BO6" s="30" t="s">
        <v>34</v>
      </c>
      <c r="BP6" s="30" t="s">
        <v>35</v>
      </c>
      <c r="BQ6" s="29" t="s">
        <v>33</v>
      </c>
      <c r="BR6" s="30" t="s">
        <v>34</v>
      </c>
      <c r="BS6" s="30" t="s">
        <v>35</v>
      </c>
      <c r="BT6" s="29" t="s">
        <v>33</v>
      </c>
      <c r="BU6" s="30" t="s">
        <v>34</v>
      </c>
      <c r="BV6" s="30" t="s">
        <v>35</v>
      </c>
      <c r="BW6" s="29" t="s">
        <v>33</v>
      </c>
      <c r="BX6" s="30" t="s">
        <v>34</v>
      </c>
      <c r="BY6" s="30" t="s">
        <v>35</v>
      </c>
      <c r="BZ6" s="29" t="s">
        <v>33</v>
      </c>
      <c r="CA6" s="30" t="s">
        <v>34</v>
      </c>
      <c r="CB6" s="30" t="s">
        <v>35</v>
      </c>
    </row>
    <row r="7" spans="1:80" s="2" customFormat="1" ht="30" hidden="1" customHeight="1" x14ac:dyDescent="0.25">
      <c r="A7" s="31" t="s">
        <v>36</v>
      </c>
      <c r="B7" s="32"/>
      <c r="C7" s="33"/>
      <c r="D7" s="32"/>
      <c r="E7" s="32"/>
      <c r="F7" s="32"/>
      <c r="G7" s="32"/>
      <c r="H7" s="33"/>
      <c r="I7" s="32"/>
      <c r="J7" s="32"/>
      <c r="K7" s="32"/>
      <c r="L7" s="32"/>
      <c r="M7" s="32"/>
      <c r="N7" s="33"/>
      <c r="O7" s="33">
        <v>0</v>
      </c>
      <c r="P7" s="32"/>
      <c r="Q7" s="3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5"/>
      <c r="CA7" s="475"/>
      <c r="CB7" s="475"/>
    </row>
    <row r="8" spans="1:80" s="2" customFormat="1" ht="31.5" customHeight="1" x14ac:dyDescent="0.25">
      <c r="A8" s="787">
        <v>5</v>
      </c>
      <c r="B8" s="34" t="s">
        <v>37</v>
      </c>
      <c r="C8" s="35"/>
      <c r="D8" s="34"/>
      <c r="E8" s="34"/>
      <c r="F8" s="34"/>
      <c r="G8" s="34"/>
      <c r="H8" s="35"/>
      <c r="I8" s="34"/>
      <c r="J8" s="34"/>
      <c r="K8" s="34"/>
      <c r="L8" s="34"/>
      <c r="M8" s="34"/>
      <c r="N8" s="35"/>
      <c r="O8" s="35"/>
      <c r="P8" s="34"/>
      <c r="Q8" s="34"/>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4"/>
      <c r="CA8" s="434"/>
      <c r="CB8" s="434"/>
    </row>
    <row r="9" spans="1:80" s="2" customFormat="1" ht="26.25" customHeight="1" x14ac:dyDescent="0.25">
      <c r="A9" s="159"/>
      <c r="B9" s="37">
        <v>28</v>
      </c>
      <c r="C9" s="38" t="s">
        <v>38</v>
      </c>
      <c r="D9" s="39"/>
      <c r="E9" s="39"/>
      <c r="F9" s="39"/>
      <c r="G9" s="39"/>
      <c r="H9" s="40"/>
      <c r="I9" s="39"/>
      <c r="J9" s="39"/>
      <c r="K9" s="39"/>
      <c r="L9" s="39"/>
      <c r="M9" s="39"/>
      <c r="N9" s="40"/>
      <c r="O9" s="40"/>
      <c r="P9" s="39"/>
      <c r="Q9" s="39"/>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412"/>
      <c r="BO9" s="412"/>
      <c r="BP9" s="412"/>
      <c r="BQ9" s="412"/>
      <c r="BR9" s="412"/>
      <c r="BS9" s="412"/>
      <c r="BT9" s="412"/>
      <c r="BU9" s="412"/>
      <c r="BV9" s="412"/>
      <c r="BW9" s="412"/>
      <c r="BX9" s="412"/>
      <c r="BY9" s="412"/>
      <c r="BZ9" s="417"/>
      <c r="CA9" s="417"/>
      <c r="CB9" s="417"/>
    </row>
    <row r="10" spans="1:80" s="2" customFormat="1" ht="30" customHeight="1" x14ac:dyDescent="0.25">
      <c r="A10" s="205"/>
      <c r="B10" s="530"/>
      <c r="C10" s="382"/>
      <c r="D10" s="382"/>
      <c r="E10" s="382"/>
      <c r="F10" s="382"/>
      <c r="G10" s="529">
        <v>89</v>
      </c>
      <c r="H10" s="81" t="s">
        <v>39</v>
      </c>
      <c r="I10" s="81"/>
      <c r="J10" s="81"/>
      <c r="K10" s="81"/>
      <c r="L10" s="81"/>
      <c r="M10" s="81"/>
      <c r="N10" s="866"/>
      <c r="O10" s="81"/>
      <c r="P10" s="81"/>
      <c r="Q10" s="81" t="s">
        <v>947</v>
      </c>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row>
    <row r="11" spans="1:80" ht="102.75" customHeight="1" x14ac:dyDescent="0.2">
      <c r="A11" s="205"/>
      <c r="B11" s="205"/>
      <c r="C11" s="714" t="s">
        <v>40</v>
      </c>
      <c r="D11" s="709" t="s">
        <v>41</v>
      </c>
      <c r="E11" s="714">
        <v>0</v>
      </c>
      <c r="F11" s="714">
        <v>2</v>
      </c>
      <c r="G11" s="43"/>
      <c r="H11" s="713">
        <v>282</v>
      </c>
      <c r="I11" s="729" t="s">
        <v>42</v>
      </c>
      <c r="J11" s="44" t="s">
        <v>43</v>
      </c>
      <c r="K11" s="45">
        <v>2</v>
      </c>
      <c r="L11" s="45">
        <v>2</v>
      </c>
      <c r="M11" s="46">
        <f>'[1]ENERO 2018 (2)'!N10</f>
        <v>2017003630112</v>
      </c>
      <c r="N11" s="57" t="s">
        <v>44</v>
      </c>
      <c r="O11" s="704" t="s">
        <v>45</v>
      </c>
      <c r="P11" s="729" t="s">
        <v>46</v>
      </c>
      <c r="Q11" s="57" t="s">
        <v>47</v>
      </c>
      <c r="R11" s="401">
        <v>0</v>
      </c>
      <c r="S11" s="401"/>
      <c r="T11" s="401"/>
      <c r="U11" s="401">
        <v>0</v>
      </c>
      <c r="V11" s="401"/>
      <c r="W11" s="401"/>
      <c r="X11" s="401">
        <v>0</v>
      </c>
      <c r="Y11" s="401"/>
      <c r="Z11" s="401"/>
      <c r="AA11" s="401">
        <v>0</v>
      </c>
      <c r="AB11" s="401"/>
      <c r="AC11" s="401"/>
      <c r="AD11" s="401">
        <v>0</v>
      </c>
      <c r="AE11" s="401"/>
      <c r="AF11" s="401"/>
      <c r="AG11" s="401">
        <v>0</v>
      </c>
      <c r="AH11" s="401"/>
      <c r="AI11" s="401"/>
      <c r="AJ11" s="401">
        <v>0</v>
      </c>
      <c r="AK11" s="401"/>
      <c r="AL11" s="401"/>
      <c r="AM11" s="401"/>
      <c r="AN11" s="401"/>
      <c r="AO11" s="401"/>
      <c r="AP11" s="401"/>
      <c r="AQ11" s="401"/>
      <c r="AR11" s="401"/>
      <c r="AS11" s="401">
        <v>0</v>
      </c>
      <c r="AT11" s="401"/>
      <c r="AU11" s="401"/>
      <c r="AV11" s="401">
        <v>0</v>
      </c>
      <c r="AW11" s="401"/>
      <c r="AX11" s="401"/>
      <c r="AY11" s="401"/>
      <c r="AZ11" s="401"/>
      <c r="BA11" s="401"/>
      <c r="BB11" s="401"/>
      <c r="BC11" s="401"/>
      <c r="BD11" s="401"/>
      <c r="BE11" s="401">
        <v>0</v>
      </c>
      <c r="BF11" s="401"/>
      <c r="BG11" s="401"/>
      <c r="BH11" s="401">
        <v>0</v>
      </c>
      <c r="BI11" s="401"/>
      <c r="BJ11" s="401"/>
      <c r="BK11" s="48">
        <f>80000000+30000000</f>
        <v>110000000</v>
      </c>
      <c r="BL11" s="48">
        <v>110000000</v>
      </c>
      <c r="BM11" s="48">
        <v>75000000</v>
      </c>
      <c r="BN11" s="402"/>
      <c r="BO11" s="402"/>
      <c r="BP11" s="402"/>
      <c r="BQ11" s="401">
        <v>0</v>
      </c>
      <c r="BR11" s="403"/>
      <c r="BS11" s="403"/>
      <c r="BT11" s="403"/>
      <c r="BU11" s="403"/>
      <c r="BV11" s="403"/>
      <c r="BW11" s="403">
        <v>0</v>
      </c>
      <c r="BX11" s="403"/>
      <c r="BY11" s="403"/>
      <c r="BZ11" s="401">
        <f t="shared" ref="BZ11:CB19" si="0">R11+U11+X11+AA11+AD11+AG11+AJ11+AM11+AP11+AS11+AV11+AY11+BB11+BE11+BH11+BK11+BN11+BQ11+BT11+BW11</f>
        <v>110000000</v>
      </c>
      <c r="CA11" s="401">
        <f t="shared" si="0"/>
        <v>110000000</v>
      </c>
      <c r="CB11" s="401">
        <f t="shared" si="0"/>
        <v>75000000</v>
      </c>
    </row>
    <row r="12" spans="1:80" ht="80.25" customHeight="1" x14ac:dyDescent="0.2">
      <c r="A12" s="205"/>
      <c r="B12" s="42"/>
      <c r="C12" s="727" t="s">
        <v>40</v>
      </c>
      <c r="D12" s="729" t="s">
        <v>48</v>
      </c>
      <c r="E12" s="57"/>
      <c r="F12" s="57"/>
      <c r="G12" s="49"/>
      <c r="H12" s="57">
        <v>283</v>
      </c>
      <c r="I12" s="729" t="s">
        <v>49</v>
      </c>
      <c r="J12" s="44" t="s">
        <v>43</v>
      </c>
      <c r="K12" s="45">
        <v>1</v>
      </c>
      <c r="L12" s="45">
        <v>0</v>
      </c>
      <c r="M12" s="46">
        <f>'[1]ENERO 2018 (2)'!N11</f>
        <v>2017003630114</v>
      </c>
      <c r="N12" s="57" t="s">
        <v>44</v>
      </c>
      <c r="O12" s="44" t="s">
        <v>50</v>
      </c>
      <c r="P12" s="729" t="s">
        <v>51</v>
      </c>
      <c r="Q12" s="57" t="s">
        <v>52</v>
      </c>
      <c r="R12" s="401">
        <v>0</v>
      </c>
      <c r="S12" s="401"/>
      <c r="T12" s="401"/>
      <c r="U12" s="401">
        <v>0</v>
      </c>
      <c r="V12" s="401"/>
      <c r="W12" s="401"/>
      <c r="X12" s="401">
        <v>0</v>
      </c>
      <c r="Y12" s="401"/>
      <c r="Z12" s="401"/>
      <c r="AA12" s="401">
        <v>0</v>
      </c>
      <c r="AB12" s="401"/>
      <c r="AC12" s="401"/>
      <c r="AD12" s="401">
        <v>0</v>
      </c>
      <c r="AE12" s="401"/>
      <c r="AF12" s="401"/>
      <c r="AG12" s="401">
        <v>0</v>
      </c>
      <c r="AH12" s="401"/>
      <c r="AI12" s="401"/>
      <c r="AJ12" s="401">
        <v>0</v>
      </c>
      <c r="AK12" s="401"/>
      <c r="AL12" s="401"/>
      <c r="AM12" s="401"/>
      <c r="AN12" s="401"/>
      <c r="AO12" s="401"/>
      <c r="AP12" s="401"/>
      <c r="AQ12" s="401"/>
      <c r="AR12" s="401"/>
      <c r="AS12" s="401">
        <v>0</v>
      </c>
      <c r="AT12" s="401"/>
      <c r="AU12" s="401"/>
      <c r="AV12" s="401">
        <v>0</v>
      </c>
      <c r="AW12" s="401"/>
      <c r="AX12" s="401"/>
      <c r="AY12" s="401"/>
      <c r="AZ12" s="401"/>
      <c r="BA12" s="401"/>
      <c r="BB12" s="401"/>
      <c r="BC12" s="401"/>
      <c r="BD12" s="401"/>
      <c r="BE12" s="401">
        <v>0</v>
      </c>
      <c r="BF12" s="401"/>
      <c r="BG12" s="401"/>
      <c r="BH12" s="401">
        <v>0</v>
      </c>
      <c r="BI12" s="401"/>
      <c r="BJ12" s="401"/>
      <c r="BK12" s="48">
        <f>35000000+50000000</f>
        <v>85000000</v>
      </c>
      <c r="BL12" s="48">
        <v>4440000</v>
      </c>
      <c r="BM12" s="48"/>
      <c r="BN12" s="402"/>
      <c r="BO12" s="402"/>
      <c r="BP12" s="402"/>
      <c r="BQ12" s="401">
        <v>0</v>
      </c>
      <c r="BR12" s="403"/>
      <c r="BS12" s="403"/>
      <c r="BT12" s="403"/>
      <c r="BU12" s="403"/>
      <c r="BV12" s="403"/>
      <c r="BW12" s="403">
        <v>0</v>
      </c>
      <c r="BX12" s="403"/>
      <c r="BY12" s="403"/>
      <c r="BZ12" s="401">
        <f t="shared" si="0"/>
        <v>85000000</v>
      </c>
      <c r="CA12" s="401">
        <f t="shared" si="0"/>
        <v>4440000</v>
      </c>
      <c r="CB12" s="401">
        <f t="shared" si="0"/>
        <v>0</v>
      </c>
    </row>
    <row r="13" spans="1:80" ht="92.25" customHeight="1" x14ac:dyDescent="0.2">
      <c r="A13" s="205"/>
      <c r="B13" s="42"/>
      <c r="C13" s="727">
        <v>38</v>
      </c>
      <c r="D13" s="729" t="s">
        <v>53</v>
      </c>
      <c r="E13" s="57"/>
      <c r="F13" s="57"/>
      <c r="G13" s="49"/>
      <c r="H13" s="57">
        <v>284</v>
      </c>
      <c r="I13" s="729" t="s">
        <v>54</v>
      </c>
      <c r="J13" s="44">
        <v>1</v>
      </c>
      <c r="K13" s="45">
        <v>1</v>
      </c>
      <c r="L13" s="45">
        <v>0</v>
      </c>
      <c r="M13" s="46">
        <f>'[1]ENERO 2018 (2)'!N12</f>
        <v>2017003630116</v>
      </c>
      <c r="N13" s="57" t="s">
        <v>44</v>
      </c>
      <c r="O13" s="44" t="s">
        <v>55</v>
      </c>
      <c r="P13" s="729" t="s">
        <v>56</v>
      </c>
      <c r="Q13" s="57" t="s">
        <v>52</v>
      </c>
      <c r="R13" s="401">
        <v>0</v>
      </c>
      <c r="S13" s="401"/>
      <c r="T13" s="401"/>
      <c r="U13" s="401">
        <v>0</v>
      </c>
      <c r="V13" s="401"/>
      <c r="W13" s="401"/>
      <c r="X13" s="401">
        <v>0</v>
      </c>
      <c r="Y13" s="401"/>
      <c r="Z13" s="401"/>
      <c r="AA13" s="401">
        <v>0</v>
      </c>
      <c r="AB13" s="401"/>
      <c r="AC13" s="401"/>
      <c r="AD13" s="401">
        <v>0</v>
      </c>
      <c r="AE13" s="401"/>
      <c r="AF13" s="401"/>
      <c r="AG13" s="401">
        <v>0</v>
      </c>
      <c r="AH13" s="401"/>
      <c r="AI13" s="401"/>
      <c r="AJ13" s="401">
        <v>0</v>
      </c>
      <c r="AK13" s="401"/>
      <c r="AL13" s="401"/>
      <c r="AM13" s="401"/>
      <c r="AN13" s="401"/>
      <c r="AO13" s="401"/>
      <c r="AP13" s="401"/>
      <c r="AQ13" s="401"/>
      <c r="AR13" s="401"/>
      <c r="AS13" s="401">
        <v>0</v>
      </c>
      <c r="AT13" s="401"/>
      <c r="AU13" s="401"/>
      <c r="AV13" s="401">
        <v>0</v>
      </c>
      <c r="AW13" s="401"/>
      <c r="AX13" s="401"/>
      <c r="AY13" s="401"/>
      <c r="AZ13" s="401"/>
      <c r="BA13" s="401"/>
      <c r="BB13" s="401"/>
      <c r="BC13" s="401"/>
      <c r="BD13" s="401"/>
      <c r="BE13" s="401">
        <v>0</v>
      </c>
      <c r="BF13" s="401"/>
      <c r="BG13" s="401"/>
      <c r="BH13" s="401">
        <v>0</v>
      </c>
      <c r="BI13" s="401"/>
      <c r="BJ13" s="401"/>
      <c r="BK13" s="675">
        <f>83000000+90000000+120000000</f>
        <v>293000000</v>
      </c>
      <c r="BL13" s="48"/>
      <c r="BM13" s="48"/>
      <c r="BN13" s="402"/>
      <c r="BO13" s="402"/>
      <c r="BP13" s="402"/>
      <c r="BQ13" s="401">
        <v>0</v>
      </c>
      <c r="BR13" s="403"/>
      <c r="BS13" s="403"/>
      <c r="BT13" s="403"/>
      <c r="BU13" s="403"/>
      <c r="BV13" s="403"/>
      <c r="BW13" s="403">
        <v>0</v>
      </c>
      <c r="BX13" s="403"/>
      <c r="BY13" s="403"/>
      <c r="BZ13" s="401">
        <f t="shared" si="0"/>
        <v>293000000</v>
      </c>
      <c r="CA13" s="401">
        <f t="shared" si="0"/>
        <v>0</v>
      </c>
      <c r="CB13" s="401">
        <f t="shared" si="0"/>
        <v>0</v>
      </c>
    </row>
    <row r="14" spans="1:80" ht="93.75" customHeight="1" x14ac:dyDescent="0.2">
      <c r="A14" s="205"/>
      <c r="B14" s="42"/>
      <c r="C14" s="727">
        <v>38</v>
      </c>
      <c r="D14" s="729" t="s">
        <v>53</v>
      </c>
      <c r="E14" s="57"/>
      <c r="F14" s="57"/>
      <c r="G14" s="49"/>
      <c r="H14" s="57">
        <v>285</v>
      </c>
      <c r="I14" s="729" t="s">
        <v>57</v>
      </c>
      <c r="J14" s="44">
        <v>1</v>
      </c>
      <c r="K14" s="45">
        <v>1</v>
      </c>
      <c r="L14" s="110">
        <v>0.52</v>
      </c>
      <c r="M14" s="46">
        <f>'[1]ENERO 2018 (2)'!N13</f>
        <v>2017003630115</v>
      </c>
      <c r="N14" s="57" t="s">
        <v>44</v>
      </c>
      <c r="O14" s="44" t="s">
        <v>58</v>
      </c>
      <c r="P14" s="729" t="s">
        <v>59</v>
      </c>
      <c r="Q14" s="57" t="s">
        <v>52</v>
      </c>
      <c r="R14" s="401">
        <v>0</v>
      </c>
      <c r="S14" s="401"/>
      <c r="T14" s="401"/>
      <c r="U14" s="401">
        <v>0</v>
      </c>
      <c r="V14" s="401"/>
      <c r="W14" s="401"/>
      <c r="X14" s="401">
        <v>0</v>
      </c>
      <c r="Y14" s="401"/>
      <c r="Z14" s="401"/>
      <c r="AA14" s="401">
        <v>0</v>
      </c>
      <c r="AB14" s="401"/>
      <c r="AC14" s="401"/>
      <c r="AD14" s="401">
        <v>0</v>
      </c>
      <c r="AE14" s="401"/>
      <c r="AF14" s="401"/>
      <c r="AG14" s="401">
        <v>0</v>
      </c>
      <c r="AH14" s="401"/>
      <c r="AI14" s="401"/>
      <c r="AJ14" s="401">
        <v>0</v>
      </c>
      <c r="AK14" s="401"/>
      <c r="AL14" s="401"/>
      <c r="AM14" s="401"/>
      <c r="AN14" s="401"/>
      <c r="AO14" s="401"/>
      <c r="AP14" s="401"/>
      <c r="AQ14" s="401"/>
      <c r="AR14" s="401"/>
      <c r="AS14" s="401">
        <v>0</v>
      </c>
      <c r="AT14" s="401"/>
      <c r="AU14" s="401"/>
      <c r="AV14" s="401">
        <v>0</v>
      </c>
      <c r="AW14" s="401"/>
      <c r="AX14" s="401"/>
      <c r="AY14" s="401"/>
      <c r="AZ14" s="401"/>
      <c r="BA14" s="401"/>
      <c r="BB14" s="401"/>
      <c r="BC14" s="401"/>
      <c r="BD14" s="401"/>
      <c r="BE14" s="401">
        <v>0</v>
      </c>
      <c r="BF14" s="401"/>
      <c r="BG14" s="401"/>
      <c r="BH14" s="401">
        <v>0</v>
      </c>
      <c r="BI14" s="401"/>
      <c r="BJ14" s="401"/>
      <c r="BK14" s="675">
        <f>70000000+30000000+110000000+45000000</f>
        <v>255000000</v>
      </c>
      <c r="BL14" s="48">
        <v>132636000</v>
      </c>
      <c r="BM14" s="48">
        <v>100920000</v>
      </c>
      <c r="BN14" s="402"/>
      <c r="BO14" s="402"/>
      <c r="BP14" s="402"/>
      <c r="BQ14" s="401">
        <v>0</v>
      </c>
      <c r="BR14" s="403"/>
      <c r="BS14" s="403"/>
      <c r="BT14" s="403"/>
      <c r="BU14" s="403"/>
      <c r="BV14" s="403"/>
      <c r="BW14" s="403">
        <v>0</v>
      </c>
      <c r="BX14" s="403"/>
      <c r="BY14" s="403"/>
      <c r="BZ14" s="401">
        <f t="shared" si="0"/>
        <v>255000000</v>
      </c>
      <c r="CA14" s="401">
        <f t="shared" si="0"/>
        <v>132636000</v>
      </c>
      <c r="CB14" s="401">
        <f t="shared" si="0"/>
        <v>100920000</v>
      </c>
    </row>
    <row r="15" spans="1:80" ht="56.25" customHeight="1" x14ac:dyDescent="0.2">
      <c r="A15" s="205"/>
      <c r="B15" s="42"/>
      <c r="C15" s="727">
        <v>38</v>
      </c>
      <c r="D15" s="729" t="s">
        <v>53</v>
      </c>
      <c r="E15" s="57"/>
      <c r="F15" s="57"/>
      <c r="G15" s="49"/>
      <c r="H15" s="57">
        <v>280</v>
      </c>
      <c r="I15" s="729" t="s">
        <v>60</v>
      </c>
      <c r="J15" s="44">
        <v>0</v>
      </c>
      <c r="K15" s="45">
        <v>1</v>
      </c>
      <c r="L15" s="112">
        <v>0.5</v>
      </c>
      <c r="M15" s="884">
        <f>'[1]ENERO 2018 (2)'!N14</f>
        <v>2017003630113</v>
      </c>
      <c r="N15" s="895" t="s">
        <v>44</v>
      </c>
      <c r="O15" s="895" t="s">
        <v>61</v>
      </c>
      <c r="P15" s="890" t="s">
        <v>948</v>
      </c>
      <c r="Q15" s="57" t="s">
        <v>52</v>
      </c>
      <c r="R15" s="401">
        <v>0</v>
      </c>
      <c r="S15" s="401"/>
      <c r="T15" s="401"/>
      <c r="U15" s="401">
        <v>0</v>
      </c>
      <c r="V15" s="401"/>
      <c r="W15" s="401"/>
      <c r="X15" s="401">
        <v>0</v>
      </c>
      <c r="Y15" s="401"/>
      <c r="Z15" s="401"/>
      <c r="AA15" s="401">
        <v>0</v>
      </c>
      <c r="AB15" s="401"/>
      <c r="AC15" s="401"/>
      <c r="AD15" s="401">
        <v>0</v>
      </c>
      <c r="AE15" s="401"/>
      <c r="AF15" s="401"/>
      <c r="AG15" s="401">
        <v>0</v>
      </c>
      <c r="AH15" s="401"/>
      <c r="AI15" s="401"/>
      <c r="AJ15" s="401">
        <v>0</v>
      </c>
      <c r="AK15" s="401"/>
      <c r="AL15" s="401"/>
      <c r="AM15" s="401"/>
      <c r="AN15" s="401"/>
      <c r="AO15" s="401"/>
      <c r="AP15" s="401"/>
      <c r="AQ15" s="401"/>
      <c r="AR15" s="401"/>
      <c r="AS15" s="401">
        <v>0</v>
      </c>
      <c r="AT15" s="401"/>
      <c r="AU15" s="401"/>
      <c r="AV15" s="401">
        <v>0</v>
      </c>
      <c r="AW15" s="401"/>
      <c r="AX15" s="401"/>
      <c r="AY15" s="401"/>
      <c r="AZ15" s="401"/>
      <c r="BA15" s="401"/>
      <c r="BB15" s="401"/>
      <c r="BC15" s="401"/>
      <c r="BD15" s="401"/>
      <c r="BE15" s="401">
        <v>0</v>
      </c>
      <c r="BF15" s="401"/>
      <c r="BG15" s="401"/>
      <c r="BH15" s="401">
        <v>0</v>
      </c>
      <c r="BI15" s="401"/>
      <c r="BJ15" s="401"/>
      <c r="BK15" s="673">
        <f>25000000</f>
        <v>25000000</v>
      </c>
      <c r="BL15" s="135">
        <v>12000000</v>
      </c>
      <c r="BM15" s="135">
        <v>12000000</v>
      </c>
      <c r="BN15" s="48"/>
      <c r="BO15" s="48"/>
      <c r="BP15" s="48"/>
      <c r="BQ15" s="401">
        <v>0</v>
      </c>
      <c r="BR15" s="403"/>
      <c r="BS15" s="403"/>
      <c r="BT15" s="403"/>
      <c r="BU15" s="403"/>
      <c r="BV15" s="403"/>
      <c r="BW15" s="403">
        <v>0</v>
      </c>
      <c r="BX15" s="403"/>
      <c r="BY15" s="403"/>
      <c r="BZ15" s="401">
        <f t="shared" si="0"/>
        <v>25000000</v>
      </c>
      <c r="CA15" s="401">
        <f t="shared" si="0"/>
        <v>12000000</v>
      </c>
      <c r="CB15" s="401">
        <f t="shared" si="0"/>
        <v>12000000</v>
      </c>
    </row>
    <row r="16" spans="1:80" ht="56.25" customHeight="1" x14ac:dyDescent="0.2">
      <c r="A16" s="205"/>
      <c r="B16" s="42"/>
      <c r="C16" s="713"/>
      <c r="D16" s="707"/>
      <c r="E16" s="713"/>
      <c r="F16" s="713"/>
      <c r="G16" s="51"/>
      <c r="H16" s="57">
        <v>281</v>
      </c>
      <c r="I16" s="729" t="s">
        <v>63</v>
      </c>
      <c r="J16" s="44">
        <v>0</v>
      </c>
      <c r="K16" s="45">
        <v>1</v>
      </c>
      <c r="L16" s="112">
        <v>0.5</v>
      </c>
      <c r="M16" s="885"/>
      <c r="N16" s="883"/>
      <c r="O16" s="883"/>
      <c r="P16" s="891"/>
      <c r="Q16" s="57" t="s">
        <v>52</v>
      </c>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673">
        <f>84000000+50000000</f>
        <v>134000000</v>
      </c>
      <c r="BL16" s="385">
        <v>72600000</v>
      </c>
      <c r="BM16" s="385">
        <v>51360000</v>
      </c>
      <c r="BN16" s="48"/>
      <c r="BO16" s="48"/>
      <c r="BP16" s="48"/>
      <c r="BQ16" s="401"/>
      <c r="BR16" s="403"/>
      <c r="BS16" s="403"/>
      <c r="BT16" s="403"/>
      <c r="BU16" s="403"/>
      <c r="BV16" s="403"/>
      <c r="BW16" s="403"/>
      <c r="BX16" s="403"/>
      <c r="BY16" s="403"/>
      <c r="BZ16" s="401">
        <f t="shared" si="0"/>
        <v>134000000</v>
      </c>
      <c r="CA16" s="401">
        <f t="shared" si="0"/>
        <v>72600000</v>
      </c>
      <c r="CB16" s="401">
        <f t="shared" si="0"/>
        <v>51360000</v>
      </c>
    </row>
    <row r="17" spans="1:80" ht="56.25" customHeight="1" x14ac:dyDescent="0.2">
      <c r="A17" s="205"/>
      <c r="B17" s="42"/>
      <c r="C17" s="702"/>
      <c r="D17" s="708"/>
      <c r="E17" s="702"/>
      <c r="F17" s="702"/>
      <c r="G17" s="51"/>
      <c r="H17" s="57">
        <v>286</v>
      </c>
      <c r="I17" s="729" t="s">
        <v>64</v>
      </c>
      <c r="J17" s="44">
        <v>1</v>
      </c>
      <c r="K17" s="769" t="s">
        <v>949</v>
      </c>
      <c r="L17" s="45">
        <v>0</v>
      </c>
      <c r="M17" s="885"/>
      <c r="N17" s="883"/>
      <c r="O17" s="883"/>
      <c r="P17" s="891"/>
      <c r="Q17" s="57" t="s">
        <v>52</v>
      </c>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673">
        <f>85000000+80000000-165000000</f>
        <v>0</v>
      </c>
      <c r="BL17" s="135"/>
      <c r="BM17" s="135"/>
      <c r="BN17" s="48"/>
      <c r="BO17" s="48"/>
      <c r="BP17" s="48"/>
      <c r="BQ17" s="401"/>
      <c r="BR17" s="403"/>
      <c r="BS17" s="403"/>
      <c r="BT17" s="403"/>
      <c r="BU17" s="403"/>
      <c r="BV17" s="403"/>
      <c r="BW17" s="403"/>
      <c r="BX17" s="403"/>
      <c r="BY17" s="403"/>
      <c r="BZ17" s="401">
        <f t="shared" si="0"/>
        <v>0</v>
      </c>
      <c r="CA17" s="401">
        <f t="shared" si="0"/>
        <v>0</v>
      </c>
      <c r="CB17" s="401">
        <f t="shared" si="0"/>
        <v>0</v>
      </c>
    </row>
    <row r="18" spans="1:80" ht="56.25" customHeight="1" x14ac:dyDescent="0.2">
      <c r="A18" s="205"/>
      <c r="B18" s="42"/>
      <c r="C18" s="702"/>
      <c r="D18" s="708"/>
      <c r="E18" s="702"/>
      <c r="F18" s="702"/>
      <c r="G18" s="51"/>
      <c r="H18" s="57">
        <v>287</v>
      </c>
      <c r="I18" s="729" t="s">
        <v>65</v>
      </c>
      <c r="J18" s="44">
        <v>1</v>
      </c>
      <c r="K18" s="769">
        <v>1</v>
      </c>
      <c r="L18" s="110">
        <v>0.65</v>
      </c>
      <c r="M18" s="885"/>
      <c r="N18" s="883"/>
      <c r="O18" s="883"/>
      <c r="P18" s="891"/>
      <c r="Q18" s="57" t="s">
        <v>52</v>
      </c>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135">
        <f>109000000+60000000</f>
        <v>169000000</v>
      </c>
      <c r="BL18" s="135">
        <v>65610000</v>
      </c>
      <c r="BM18" s="135">
        <v>49550000</v>
      </c>
      <c r="BN18" s="48"/>
      <c r="BO18" s="48"/>
      <c r="BP18" s="48"/>
      <c r="BQ18" s="401"/>
      <c r="BR18" s="403"/>
      <c r="BS18" s="403"/>
      <c r="BT18" s="403"/>
      <c r="BU18" s="403"/>
      <c r="BV18" s="403"/>
      <c r="BW18" s="403"/>
      <c r="BX18" s="403"/>
      <c r="BY18" s="403"/>
      <c r="BZ18" s="401">
        <f t="shared" si="0"/>
        <v>169000000</v>
      </c>
      <c r="CA18" s="401">
        <f t="shared" si="0"/>
        <v>65610000</v>
      </c>
      <c r="CB18" s="401">
        <f t="shared" si="0"/>
        <v>49550000</v>
      </c>
    </row>
    <row r="19" spans="1:80" ht="56.25" customHeight="1" x14ac:dyDescent="0.2">
      <c r="A19" s="205"/>
      <c r="B19" s="42"/>
      <c r="C19" s="702"/>
      <c r="D19" s="708"/>
      <c r="E19" s="702"/>
      <c r="F19" s="702"/>
      <c r="G19" s="53"/>
      <c r="H19" s="57">
        <v>289</v>
      </c>
      <c r="I19" s="729" t="s">
        <v>66</v>
      </c>
      <c r="J19" s="44" t="s">
        <v>43</v>
      </c>
      <c r="K19" s="769">
        <v>1</v>
      </c>
      <c r="L19" s="54"/>
      <c r="M19" s="886"/>
      <c r="N19" s="898"/>
      <c r="O19" s="898"/>
      <c r="P19" s="892"/>
      <c r="Q19" s="57" t="s">
        <v>67</v>
      </c>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135"/>
      <c r="BL19" s="135"/>
      <c r="BM19" s="135"/>
      <c r="BN19" s="48"/>
      <c r="BO19" s="48"/>
      <c r="BP19" s="48"/>
      <c r="BQ19" s="401"/>
      <c r="BR19" s="403"/>
      <c r="BS19" s="403"/>
      <c r="BT19" s="676">
        <f>5000000000-5000000000</f>
        <v>0</v>
      </c>
      <c r="BU19" s="403"/>
      <c r="BV19" s="403"/>
      <c r="BW19" s="403"/>
      <c r="BX19" s="403"/>
      <c r="BY19" s="403"/>
      <c r="BZ19" s="401">
        <f t="shared" si="0"/>
        <v>0</v>
      </c>
      <c r="CA19" s="401">
        <f t="shared" si="0"/>
        <v>0</v>
      </c>
      <c r="CB19" s="401">
        <f t="shared" si="0"/>
        <v>0</v>
      </c>
    </row>
    <row r="20" spans="1:80" ht="30" customHeight="1" x14ac:dyDescent="0.2">
      <c r="A20" s="205"/>
      <c r="B20" s="55"/>
      <c r="C20" s="714"/>
      <c r="D20" s="709"/>
      <c r="E20" s="714"/>
      <c r="F20" s="714"/>
      <c r="G20" s="58"/>
      <c r="H20" s="59"/>
      <c r="I20" s="58"/>
      <c r="J20" s="60"/>
      <c r="K20" s="60"/>
      <c r="L20" s="60"/>
      <c r="M20" s="60"/>
      <c r="N20" s="60"/>
      <c r="O20" s="59"/>
      <c r="P20" s="58"/>
      <c r="Q20" s="59"/>
      <c r="R20" s="410">
        <f t="shared" ref="R20:BY20" si="1">SUM(R11:R19)</f>
        <v>0</v>
      </c>
      <c r="S20" s="410">
        <f t="shared" si="1"/>
        <v>0</v>
      </c>
      <c r="T20" s="410">
        <f t="shared" si="1"/>
        <v>0</v>
      </c>
      <c r="U20" s="410">
        <f t="shared" si="1"/>
        <v>0</v>
      </c>
      <c r="V20" s="410">
        <f t="shared" si="1"/>
        <v>0</v>
      </c>
      <c r="W20" s="410">
        <f t="shared" si="1"/>
        <v>0</v>
      </c>
      <c r="X20" s="410">
        <f t="shared" si="1"/>
        <v>0</v>
      </c>
      <c r="Y20" s="410">
        <f t="shared" si="1"/>
        <v>0</v>
      </c>
      <c r="Z20" s="410">
        <f t="shared" si="1"/>
        <v>0</v>
      </c>
      <c r="AA20" s="410">
        <f t="shared" si="1"/>
        <v>0</v>
      </c>
      <c r="AB20" s="410">
        <f t="shared" si="1"/>
        <v>0</v>
      </c>
      <c r="AC20" s="410">
        <f t="shared" si="1"/>
        <v>0</v>
      </c>
      <c r="AD20" s="410">
        <f t="shared" si="1"/>
        <v>0</v>
      </c>
      <c r="AE20" s="410">
        <f t="shared" si="1"/>
        <v>0</v>
      </c>
      <c r="AF20" s="410">
        <f t="shared" si="1"/>
        <v>0</v>
      </c>
      <c r="AG20" s="410">
        <f t="shared" si="1"/>
        <v>0</v>
      </c>
      <c r="AH20" s="410">
        <f t="shared" si="1"/>
        <v>0</v>
      </c>
      <c r="AI20" s="410">
        <f t="shared" si="1"/>
        <v>0</v>
      </c>
      <c r="AJ20" s="410">
        <f t="shared" si="1"/>
        <v>0</v>
      </c>
      <c r="AK20" s="410">
        <f t="shared" si="1"/>
        <v>0</v>
      </c>
      <c r="AL20" s="410">
        <f t="shared" si="1"/>
        <v>0</v>
      </c>
      <c r="AM20" s="410">
        <f t="shared" si="1"/>
        <v>0</v>
      </c>
      <c r="AN20" s="410">
        <f t="shared" si="1"/>
        <v>0</v>
      </c>
      <c r="AO20" s="410">
        <f t="shared" si="1"/>
        <v>0</v>
      </c>
      <c r="AP20" s="410">
        <f t="shared" si="1"/>
        <v>0</v>
      </c>
      <c r="AQ20" s="410">
        <f t="shared" si="1"/>
        <v>0</v>
      </c>
      <c r="AR20" s="410">
        <f t="shared" si="1"/>
        <v>0</v>
      </c>
      <c r="AS20" s="410">
        <f t="shared" si="1"/>
        <v>0</v>
      </c>
      <c r="AT20" s="410">
        <f t="shared" si="1"/>
        <v>0</v>
      </c>
      <c r="AU20" s="410">
        <f t="shared" si="1"/>
        <v>0</v>
      </c>
      <c r="AV20" s="410">
        <f t="shared" si="1"/>
        <v>0</v>
      </c>
      <c r="AW20" s="410">
        <f t="shared" si="1"/>
        <v>0</v>
      </c>
      <c r="AX20" s="410">
        <f t="shared" si="1"/>
        <v>0</v>
      </c>
      <c r="AY20" s="410">
        <f t="shared" si="1"/>
        <v>0</v>
      </c>
      <c r="AZ20" s="410">
        <f t="shared" si="1"/>
        <v>0</v>
      </c>
      <c r="BA20" s="410">
        <f t="shared" si="1"/>
        <v>0</v>
      </c>
      <c r="BB20" s="410">
        <f t="shared" si="1"/>
        <v>0</v>
      </c>
      <c r="BC20" s="410">
        <f t="shared" si="1"/>
        <v>0</v>
      </c>
      <c r="BD20" s="410">
        <f t="shared" si="1"/>
        <v>0</v>
      </c>
      <c r="BE20" s="410">
        <f t="shared" si="1"/>
        <v>0</v>
      </c>
      <c r="BF20" s="410">
        <f t="shared" si="1"/>
        <v>0</v>
      </c>
      <c r="BG20" s="410">
        <f t="shared" si="1"/>
        <v>0</v>
      </c>
      <c r="BH20" s="410">
        <f t="shared" si="1"/>
        <v>0</v>
      </c>
      <c r="BI20" s="410">
        <f t="shared" si="1"/>
        <v>0</v>
      </c>
      <c r="BJ20" s="410">
        <f t="shared" si="1"/>
        <v>0</v>
      </c>
      <c r="BK20" s="410">
        <f t="shared" si="1"/>
        <v>1071000000</v>
      </c>
      <c r="BL20" s="410">
        <f t="shared" si="1"/>
        <v>397286000</v>
      </c>
      <c r="BM20" s="410">
        <f t="shared" si="1"/>
        <v>288830000</v>
      </c>
      <c r="BN20" s="410">
        <f t="shared" si="1"/>
        <v>0</v>
      </c>
      <c r="BO20" s="410">
        <f t="shared" si="1"/>
        <v>0</v>
      </c>
      <c r="BP20" s="410">
        <f t="shared" si="1"/>
        <v>0</v>
      </c>
      <c r="BQ20" s="410">
        <f t="shared" si="1"/>
        <v>0</v>
      </c>
      <c r="BR20" s="410">
        <f t="shared" si="1"/>
        <v>0</v>
      </c>
      <c r="BS20" s="410">
        <f t="shared" si="1"/>
        <v>0</v>
      </c>
      <c r="BT20" s="410">
        <f t="shared" si="1"/>
        <v>0</v>
      </c>
      <c r="BU20" s="410">
        <f t="shared" si="1"/>
        <v>0</v>
      </c>
      <c r="BV20" s="410">
        <f t="shared" si="1"/>
        <v>0</v>
      </c>
      <c r="BW20" s="410">
        <f t="shared" si="1"/>
        <v>0</v>
      </c>
      <c r="BX20" s="410">
        <f t="shared" si="1"/>
        <v>0</v>
      </c>
      <c r="BY20" s="410">
        <f t="shared" si="1"/>
        <v>0</v>
      </c>
      <c r="BZ20" s="410">
        <f>SUM(BZ11:BZ19)</f>
        <v>1071000000</v>
      </c>
      <c r="CA20" s="410">
        <f t="shared" ref="CA20:CB20" si="2">SUM(CA11:CA19)</f>
        <v>397286000</v>
      </c>
      <c r="CB20" s="410">
        <f t="shared" si="2"/>
        <v>288830000</v>
      </c>
    </row>
    <row r="21" spans="1:80" ht="30" customHeight="1" x14ac:dyDescent="0.2">
      <c r="A21" s="207"/>
      <c r="B21" s="62"/>
      <c r="C21" s="63"/>
      <c r="D21" s="62"/>
      <c r="E21" s="63"/>
      <c r="F21" s="63"/>
      <c r="G21" s="62"/>
      <c r="H21" s="63"/>
      <c r="I21" s="62"/>
      <c r="J21" s="64"/>
      <c r="K21" s="64"/>
      <c r="L21" s="64"/>
      <c r="M21" s="64"/>
      <c r="N21" s="64"/>
      <c r="O21" s="63"/>
      <c r="P21" s="62"/>
      <c r="Q21" s="63"/>
      <c r="R21" s="416">
        <f t="shared" ref="R21:CB21" si="3">R20</f>
        <v>0</v>
      </c>
      <c r="S21" s="416">
        <f t="shared" si="3"/>
        <v>0</v>
      </c>
      <c r="T21" s="416">
        <f t="shared" si="3"/>
        <v>0</v>
      </c>
      <c r="U21" s="416">
        <f t="shared" si="3"/>
        <v>0</v>
      </c>
      <c r="V21" s="416">
        <f t="shared" si="3"/>
        <v>0</v>
      </c>
      <c r="W21" s="416">
        <f t="shared" si="3"/>
        <v>0</v>
      </c>
      <c r="X21" s="416">
        <f t="shared" si="3"/>
        <v>0</v>
      </c>
      <c r="Y21" s="416">
        <f t="shared" si="3"/>
        <v>0</v>
      </c>
      <c r="Z21" s="416">
        <f t="shared" si="3"/>
        <v>0</v>
      </c>
      <c r="AA21" s="416">
        <f t="shared" si="3"/>
        <v>0</v>
      </c>
      <c r="AB21" s="416">
        <f t="shared" si="3"/>
        <v>0</v>
      </c>
      <c r="AC21" s="416">
        <f t="shared" si="3"/>
        <v>0</v>
      </c>
      <c r="AD21" s="416">
        <f t="shared" si="3"/>
        <v>0</v>
      </c>
      <c r="AE21" s="416">
        <f t="shared" si="3"/>
        <v>0</v>
      </c>
      <c r="AF21" s="416">
        <f t="shared" si="3"/>
        <v>0</v>
      </c>
      <c r="AG21" s="416">
        <f t="shared" si="3"/>
        <v>0</v>
      </c>
      <c r="AH21" s="416">
        <f t="shared" si="3"/>
        <v>0</v>
      </c>
      <c r="AI21" s="416">
        <f t="shared" si="3"/>
        <v>0</v>
      </c>
      <c r="AJ21" s="416">
        <f t="shared" si="3"/>
        <v>0</v>
      </c>
      <c r="AK21" s="416">
        <f t="shared" si="3"/>
        <v>0</v>
      </c>
      <c r="AL21" s="416">
        <f t="shared" si="3"/>
        <v>0</v>
      </c>
      <c r="AM21" s="416">
        <f t="shared" si="3"/>
        <v>0</v>
      </c>
      <c r="AN21" s="416">
        <f t="shared" si="3"/>
        <v>0</v>
      </c>
      <c r="AO21" s="416">
        <f t="shared" si="3"/>
        <v>0</v>
      </c>
      <c r="AP21" s="416">
        <f t="shared" si="3"/>
        <v>0</v>
      </c>
      <c r="AQ21" s="416">
        <f t="shared" si="3"/>
        <v>0</v>
      </c>
      <c r="AR21" s="416">
        <f t="shared" si="3"/>
        <v>0</v>
      </c>
      <c r="AS21" s="416">
        <f t="shared" si="3"/>
        <v>0</v>
      </c>
      <c r="AT21" s="416">
        <f t="shared" si="3"/>
        <v>0</v>
      </c>
      <c r="AU21" s="416">
        <f t="shared" si="3"/>
        <v>0</v>
      </c>
      <c r="AV21" s="416">
        <f t="shared" si="3"/>
        <v>0</v>
      </c>
      <c r="AW21" s="416">
        <f t="shared" si="3"/>
        <v>0</v>
      </c>
      <c r="AX21" s="416">
        <f t="shared" si="3"/>
        <v>0</v>
      </c>
      <c r="AY21" s="416">
        <f t="shared" si="3"/>
        <v>0</v>
      </c>
      <c r="AZ21" s="416">
        <f t="shared" si="3"/>
        <v>0</v>
      </c>
      <c r="BA21" s="416">
        <f t="shared" si="3"/>
        <v>0</v>
      </c>
      <c r="BB21" s="416">
        <f t="shared" si="3"/>
        <v>0</v>
      </c>
      <c r="BC21" s="416">
        <f t="shared" si="3"/>
        <v>0</v>
      </c>
      <c r="BD21" s="416">
        <f t="shared" si="3"/>
        <v>0</v>
      </c>
      <c r="BE21" s="416">
        <f t="shared" si="3"/>
        <v>0</v>
      </c>
      <c r="BF21" s="416">
        <f t="shared" si="3"/>
        <v>0</v>
      </c>
      <c r="BG21" s="416">
        <f t="shared" si="3"/>
        <v>0</v>
      </c>
      <c r="BH21" s="416">
        <f t="shared" si="3"/>
        <v>0</v>
      </c>
      <c r="BI21" s="416">
        <f t="shared" si="3"/>
        <v>0</v>
      </c>
      <c r="BJ21" s="416">
        <f t="shared" si="3"/>
        <v>0</v>
      </c>
      <c r="BK21" s="416">
        <f t="shared" si="3"/>
        <v>1071000000</v>
      </c>
      <c r="BL21" s="416">
        <f t="shared" si="3"/>
        <v>397286000</v>
      </c>
      <c r="BM21" s="416">
        <f t="shared" si="3"/>
        <v>288830000</v>
      </c>
      <c r="BN21" s="416">
        <f t="shared" si="3"/>
        <v>0</v>
      </c>
      <c r="BO21" s="416">
        <f t="shared" si="3"/>
        <v>0</v>
      </c>
      <c r="BP21" s="416">
        <f t="shared" si="3"/>
        <v>0</v>
      </c>
      <c r="BQ21" s="416">
        <f t="shared" si="3"/>
        <v>0</v>
      </c>
      <c r="BR21" s="416">
        <f t="shared" si="3"/>
        <v>0</v>
      </c>
      <c r="BS21" s="416">
        <f t="shared" si="3"/>
        <v>0</v>
      </c>
      <c r="BT21" s="416">
        <f t="shared" si="3"/>
        <v>0</v>
      </c>
      <c r="BU21" s="416">
        <f t="shared" si="3"/>
        <v>0</v>
      </c>
      <c r="BV21" s="416">
        <f t="shared" si="3"/>
        <v>0</v>
      </c>
      <c r="BW21" s="416">
        <f t="shared" si="3"/>
        <v>0</v>
      </c>
      <c r="BX21" s="416">
        <f t="shared" si="3"/>
        <v>0</v>
      </c>
      <c r="BY21" s="416">
        <f t="shared" si="3"/>
        <v>0</v>
      </c>
      <c r="BZ21" s="416">
        <f t="shared" si="3"/>
        <v>1071000000</v>
      </c>
      <c r="CA21" s="416">
        <f t="shared" si="3"/>
        <v>397286000</v>
      </c>
      <c r="CB21" s="416">
        <f t="shared" si="3"/>
        <v>288830000</v>
      </c>
    </row>
    <row r="22" spans="1:80" ht="30" customHeight="1" x14ac:dyDescent="0.2">
      <c r="A22" s="65"/>
      <c r="B22" s="65"/>
      <c r="C22" s="66"/>
      <c r="D22" s="65"/>
      <c r="E22" s="66"/>
      <c r="F22" s="66"/>
      <c r="G22" s="65"/>
      <c r="H22" s="66"/>
      <c r="I22" s="65"/>
      <c r="J22" s="67"/>
      <c r="K22" s="67"/>
      <c r="L22" s="67"/>
      <c r="M22" s="67"/>
      <c r="N22" s="67"/>
      <c r="O22" s="66"/>
      <c r="P22" s="65"/>
      <c r="Q22" s="66"/>
      <c r="R22" s="422">
        <f t="shared" ref="R22:CB22" si="4">+R21</f>
        <v>0</v>
      </c>
      <c r="S22" s="422">
        <f t="shared" si="4"/>
        <v>0</v>
      </c>
      <c r="T22" s="422">
        <f t="shared" si="4"/>
        <v>0</v>
      </c>
      <c r="U22" s="422">
        <f t="shared" si="4"/>
        <v>0</v>
      </c>
      <c r="V22" s="422">
        <f t="shared" si="4"/>
        <v>0</v>
      </c>
      <c r="W22" s="422">
        <f t="shared" si="4"/>
        <v>0</v>
      </c>
      <c r="X22" s="422">
        <f t="shared" si="4"/>
        <v>0</v>
      </c>
      <c r="Y22" s="422">
        <f t="shared" si="4"/>
        <v>0</v>
      </c>
      <c r="Z22" s="422">
        <f t="shared" si="4"/>
        <v>0</v>
      </c>
      <c r="AA22" s="422">
        <f t="shared" si="4"/>
        <v>0</v>
      </c>
      <c r="AB22" s="422">
        <f t="shared" si="4"/>
        <v>0</v>
      </c>
      <c r="AC22" s="422">
        <f t="shared" si="4"/>
        <v>0</v>
      </c>
      <c r="AD22" s="422">
        <f t="shared" si="4"/>
        <v>0</v>
      </c>
      <c r="AE22" s="422">
        <f t="shared" si="4"/>
        <v>0</v>
      </c>
      <c r="AF22" s="422">
        <f t="shared" si="4"/>
        <v>0</v>
      </c>
      <c r="AG22" s="422">
        <f t="shared" si="4"/>
        <v>0</v>
      </c>
      <c r="AH22" s="422">
        <f t="shared" si="4"/>
        <v>0</v>
      </c>
      <c r="AI22" s="422">
        <f t="shared" si="4"/>
        <v>0</v>
      </c>
      <c r="AJ22" s="422">
        <f t="shared" si="4"/>
        <v>0</v>
      </c>
      <c r="AK22" s="422">
        <f t="shared" si="4"/>
        <v>0</v>
      </c>
      <c r="AL22" s="422">
        <f t="shared" si="4"/>
        <v>0</v>
      </c>
      <c r="AM22" s="422">
        <f t="shared" si="4"/>
        <v>0</v>
      </c>
      <c r="AN22" s="422">
        <f t="shared" si="4"/>
        <v>0</v>
      </c>
      <c r="AO22" s="422">
        <f t="shared" si="4"/>
        <v>0</v>
      </c>
      <c r="AP22" s="422">
        <f t="shared" si="4"/>
        <v>0</v>
      </c>
      <c r="AQ22" s="422">
        <f t="shared" si="4"/>
        <v>0</v>
      </c>
      <c r="AR22" s="422">
        <f t="shared" si="4"/>
        <v>0</v>
      </c>
      <c r="AS22" s="422">
        <f t="shared" si="4"/>
        <v>0</v>
      </c>
      <c r="AT22" s="422">
        <f t="shared" si="4"/>
        <v>0</v>
      </c>
      <c r="AU22" s="422">
        <f t="shared" si="4"/>
        <v>0</v>
      </c>
      <c r="AV22" s="422">
        <f t="shared" si="4"/>
        <v>0</v>
      </c>
      <c r="AW22" s="422">
        <f t="shared" si="4"/>
        <v>0</v>
      </c>
      <c r="AX22" s="422">
        <f t="shared" si="4"/>
        <v>0</v>
      </c>
      <c r="AY22" s="422">
        <f t="shared" si="4"/>
        <v>0</v>
      </c>
      <c r="AZ22" s="422">
        <f t="shared" si="4"/>
        <v>0</v>
      </c>
      <c r="BA22" s="422">
        <f t="shared" si="4"/>
        <v>0</v>
      </c>
      <c r="BB22" s="422">
        <f t="shared" si="4"/>
        <v>0</v>
      </c>
      <c r="BC22" s="422">
        <f t="shared" si="4"/>
        <v>0</v>
      </c>
      <c r="BD22" s="422">
        <f t="shared" si="4"/>
        <v>0</v>
      </c>
      <c r="BE22" s="422">
        <f t="shared" si="4"/>
        <v>0</v>
      </c>
      <c r="BF22" s="422">
        <f t="shared" si="4"/>
        <v>0</v>
      </c>
      <c r="BG22" s="422">
        <f t="shared" si="4"/>
        <v>0</v>
      </c>
      <c r="BH22" s="422">
        <f t="shared" si="4"/>
        <v>0</v>
      </c>
      <c r="BI22" s="422">
        <f t="shared" si="4"/>
        <v>0</v>
      </c>
      <c r="BJ22" s="422">
        <f t="shared" si="4"/>
        <v>0</v>
      </c>
      <c r="BK22" s="422">
        <f t="shared" si="4"/>
        <v>1071000000</v>
      </c>
      <c r="BL22" s="422">
        <f t="shared" si="4"/>
        <v>397286000</v>
      </c>
      <c r="BM22" s="422">
        <f t="shared" si="4"/>
        <v>288830000</v>
      </c>
      <c r="BN22" s="422">
        <f t="shared" si="4"/>
        <v>0</v>
      </c>
      <c r="BO22" s="422">
        <f t="shared" si="4"/>
        <v>0</v>
      </c>
      <c r="BP22" s="422">
        <f t="shared" si="4"/>
        <v>0</v>
      </c>
      <c r="BQ22" s="422">
        <f t="shared" si="4"/>
        <v>0</v>
      </c>
      <c r="BR22" s="422">
        <f t="shared" si="4"/>
        <v>0</v>
      </c>
      <c r="BS22" s="422">
        <f t="shared" si="4"/>
        <v>0</v>
      </c>
      <c r="BT22" s="422">
        <f t="shared" si="4"/>
        <v>0</v>
      </c>
      <c r="BU22" s="422">
        <f t="shared" si="4"/>
        <v>0</v>
      </c>
      <c r="BV22" s="422">
        <f t="shared" si="4"/>
        <v>0</v>
      </c>
      <c r="BW22" s="422">
        <f t="shared" si="4"/>
        <v>0</v>
      </c>
      <c r="BX22" s="422">
        <f t="shared" si="4"/>
        <v>0</v>
      </c>
      <c r="BY22" s="422">
        <f t="shared" si="4"/>
        <v>0</v>
      </c>
      <c r="BZ22" s="422">
        <f t="shared" si="4"/>
        <v>1071000000</v>
      </c>
      <c r="CA22" s="422">
        <f t="shared" si="4"/>
        <v>397286000</v>
      </c>
      <c r="CB22" s="422">
        <f t="shared" si="4"/>
        <v>288830000</v>
      </c>
    </row>
    <row r="23" spans="1:80" ht="30" customHeight="1" x14ac:dyDescent="0.2">
      <c r="A23" s="68"/>
      <c r="B23" s="68"/>
      <c r="C23" s="69"/>
      <c r="D23" s="68"/>
      <c r="E23" s="69"/>
      <c r="F23" s="69"/>
      <c r="G23" s="68"/>
      <c r="H23" s="69"/>
      <c r="I23" s="68"/>
      <c r="J23" s="70"/>
      <c r="K23" s="70"/>
      <c r="L23" s="70"/>
      <c r="M23" s="70"/>
      <c r="N23" s="70"/>
      <c r="O23" s="69"/>
      <c r="P23" s="68"/>
      <c r="Q23" s="69"/>
      <c r="R23" s="423">
        <f t="shared" ref="R23:CB23" si="5">R22</f>
        <v>0</v>
      </c>
      <c r="S23" s="423">
        <f t="shared" si="5"/>
        <v>0</v>
      </c>
      <c r="T23" s="423">
        <f t="shared" si="5"/>
        <v>0</v>
      </c>
      <c r="U23" s="423">
        <f t="shared" si="5"/>
        <v>0</v>
      </c>
      <c r="V23" s="423">
        <f t="shared" si="5"/>
        <v>0</v>
      </c>
      <c r="W23" s="423">
        <f t="shared" si="5"/>
        <v>0</v>
      </c>
      <c r="X23" s="423">
        <f t="shared" si="5"/>
        <v>0</v>
      </c>
      <c r="Y23" s="423">
        <f t="shared" si="5"/>
        <v>0</v>
      </c>
      <c r="Z23" s="423">
        <f t="shared" si="5"/>
        <v>0</v>
      </c>
      <c r="AA23" s="423">
        <f t="shared" si="5"/>
        <v>0</v>
      </c>
      <c r="AB23" s="423">
        <f t="shared" si="5"/>
        <v>0</v>
      </c>
      <c r="AC23" s="423">
        <f t="shared" si="5"/>
        <v>0</v>
      </c>
      <c r="AD23" s="423">
        <f t="shared" si="5"/>
        <v>0</v>
      </c>
      <c r="AE23" s="423">
        <f t="shared" si="5"/>
        <v>0</v>
      </c>
      <c r="AF23" s="423">
        <f t="shared" si="5"/>
        <v>0</v>
      </c>
      <c r="AG23" s="423">
        <f t="shared" si="5"/>
        <v>0</v>
      </c>
      <c r="AH23" s="423">
        <f t="shared" si="5"/>
        <v>0</v>
      </c>
      <c r="AI23" s="423">
        <f t="shared" si="5"/>
        <v>0</v>
      </c>
      <c r="AJ23" s="423">
        <f t="shared" si="5"/>
        <v>0</v>
      </c>
      <c r="AK23" s="423">
        <f t="shared" si="5"/>
        <v>0</v>
      </c>
      <c r="AL23" s="423">
        <f t="shared" si="5"/>
        <v>0</v>
      </c>
      <c r="AM23" s="423">
        <f t="shared" si="5"/>
        <v>0</v>
      </c>
      <c r="AN23" s="423">
        <f t="shared" si="5"/>
        <v>0</v>
      </c>
      <c r="AO23" s="423">
        <f t="shared" si="5"/>
        <v>0</v>
      </c>
      <c r="AP23" s="423">
        <f t="shared" si="5"/>
        <v>0</v>
      </c>
      <c r="AQ23" s="423">
        <f t="shared" si="5"/>
        <v>0</v>
      </c>
      <c r="AR23" s="423">
        <f t="shared" si="5"/>
        <v>0</v>
      </c>
      <c r="AS23" s="423">
        <f t="shared" si="5"/>
        <v>0</v>
      </c>
      <c r="AT23" s="423">
        <f t="shared" si="5"/>
        <v>0</v>
      </c>
      <c r="AU23" s="423">
        <f t="shared" si="5"/>
        <v>0</v>
      </c>
      <c r="AV23" s="423">
        <f t="shared" si="5"/>
        <v>0</v>
      </c>
      <c r="AW23" s="423">
        <f t="shared" si="5"/>
        <v>0</v>
      </c>
      <c r="AX23" s="423">
        <f t="shared" si="5"/>
        <v>0</v>
      </c>
      <c r="AY23" s="423">
        <f t="shared" si="5"/>
        <v>0</v>
      </c>
      <c r="AZ23" s="423">
        <f t="shared" si="5"/>
        <v>0</v>
      </c>
      <c r="BA23" s="423">
        <f t="shared" si="5"/>
        <v>0</v>
      </c>
      <c r="BB23" s="423">
        <f t="shared" si="5"/>
        <v>0</v>
      </c>
      <c r="BC23" s="423">
        <f t="shared" si="5"/>
        <v>0</v>
      </c>
      <c r="BD23" s="423">
        <f t="shared" si="5"/>
        <v>0</v>
      </c>
      <c r="BE23" s="423">
        <f t="shared" si="5"/>
        <v>0</v>
      </c>
      <c r="BF23" s="423">
        <f t="shared" si="5"/>
        <v>0</v>
      </c>
      <c r="BG23" s="423">
        <f t="shared" si="5"/>
        <v>0</v>
      </c>
      <c r="BH23" s="423">
        <f t="shared" si="5"/>
        <v>0</v>
      </c>
      <c r="BI23" s="423">
        <f t="shared" si="5"/>
        <v>0</v>
      </c>
      <c r="BJ23" s="423">
        <f t="shared" si="5"/>
        <v>0</v>
      </c>
      <c r="BK23" s="423">
        <f t="shared" si="5"/>
        <v>1071000000</v>
      </c>
      <c r="BL23" s="423">
        <f t="shared" si="5"/>
        <v>397286000</v>
      </c>
      <c r="BM23" s="423">
        <f t="shared" si="5"/>
        <v>288830000</v>
      </c>
      <c r="BN23" s="423">
        <f t="shared" si="5"/>
        <v>0</v>
      </c>
      <c r="BO23" s="423">
        <f t="shared" si="5"/>
        <v>0</v>
      </c>
      <c r="BP23" s="423">
        <f t="shared" si="5"/>
        <v>0</v>
      </c>
      <c r="BQ23" s="423">
        <f t="shared" si="5"/>
        <v>0</v>
      </c>
      <c r="BR23" s="423">
        <f t="shared" si="5"/>
        <v>0</v>
      </c>
      <c r="BS23" s="423">
        <f t="shared" si="5"/>
        <v>0</v>
      </c>
      <c r="BT23" s="423">
        <f t="shared" si="5"/>
        <v>0</v>
      </c>
      <c r="BU23" s="423">
        <f t="shared" si="5"/>
        <v>0</v>
      </c>
      <c r="BV23" s="423">
        <f t="shared" si="5"/>
        <v>0</v>
      </c>
      <c r="BW23" s="423">
        <f t="shared" si="5"/>
        <v>0</v>
      </c>
      <c r="BX23" s="423">
        <f t="shared" si="5"/>
        <v>0</v>
      </c>
      <c r="BY23" s="423">
        <f t="shared" si="5"/>
        <v>0</v>
      </c>
      <c r="BZ23" s="423">
        <f t="shared" si="5"/>
        <v>1071000000</v>
      </c>
      <c r="CA23" s="423">
        <f t="shared" si="5"/>
        <v>397286000</v>
      </c>
      <c r="CB23" s="423">
        <f t="shared" si="5"/>
        <v>288830000</v>
      </c>
    </row>
    <row r="24" spans="1:80" ht="30" customHeight="1" x14ac:dyDescent="0.2">
      <c r="A24" s="71"/>
      <c r="B24" s="72"/>
      <c r="C24" s="150"/>
      <c r="D24" s="72"/>
      <c r="E24" s="150"/>
      <c r="F24" s="150"/>
      <c r="G24" s="72"/>
      <c r="H24" s="150"/>
      <c r="I24" s="72"/>
      <c r="J24" s="73"/>
      <c r="K24" s="73"/>
      <c r="L24" s="73"/>
      <c r="M24" s="73"/>
      <c r="N24" s="73"/>
      <c r="O24" s="150"/>
      <c r="P24" s="72"/>
      <c r="Q24" s="150"/>
      <c r="R24" s="405"/>
      <c r="S24" s="405"/>
      <c r="T24" s="405"/>
      <c r="U24" s="406"/>
      <c r="V24" s="406"/>
      <c r="W24" s="406"/>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6"/>
      <c r="AZ24" s="406"/>
      <c r="BA24" s="406"/>
      <c r="BB24" s="406"/>
      <c r="BC24" s="406"/>
      <c r="BD24" s="406"/>
      <c r="BE24" s="405"/>
      <c r="BF24" s="405"/>
      <c r="BG24" s="405"/>
      <c r="BH24" s="405"/>
      <c r="BI24" s="405"/>
      <c r="BJ24" s="405"/>
      <c r="BK24" s="407"/>
      <c r="BL24" s="407"/>
      <c r="BM24" s="407"/>
      <c r="BN24" s="408"/>
      <c r="BO24" s="408"/>
      <c r="BP24" s="408"/>
      <c r="BQ24" s="405"/>
      <c r="BR24" s="405"/>
      <c r="BS24" s="405"/>
      <c r="BT24" s="405"/>
      <c r="BU24" s="405"/>
      <c r="BV24" s="405"/>
      <c r="BW24" s="406"/>
      <c r="BX24" s="406"/>
      <c r="BY24" s="406"/>
      <c r="BZ24" s="405"/>
      <c r="CA24" s="405"/>
      <c r="CB24" s="409"/>
    </row>
    <row r="25" spans="1:80" s="2" customFormat="1" ht="30" customHeight="1" x14ac:dyDescent="0.25">
      <c r="A25" s="31" t="s">
        <v>68</v>
      </c>
      <c r="B25" s="32"/>
      <c r="C25" s="33"/>
      <c r="D25" s="32"/>
      <c r="E25" s="32"/>
      <c r="F25" s="32"/>
      <c r="G25" s="32"/>
      <c r="H25" s="33"/>
      <c r="I25" s="32"/>
      <c r="J25" s="32"/>
      <c r="K25" s="32"/>
      <c r="L25" s="32"/>
      <c r="M25" s="32"/>
      <c r="N25" s="33"/>
      <c r="O25" s="33"/>
      <c r="P25" s="32"/>
      <c r="Q25" s="33"/>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3"/>
      <c r="BL25" s="473"/>
      <c r="BM25" s="473"/>
      <c r="BN25" s="474"/>
      <c r="BO25" s="474"/>
      <c r="BP25" s="474"/>
      <c r="BQ25" s="472"/>
      <c r="BR25" s="472"/>
      <c r="BS25" s="472"/>
      <c r="BT25" s="472"/>
      <c r="BU25" s="472"/>
      <c r="BV25" s="472"/>
      <c r="BW25" s="472"/>
      <c r="BX25" s="472"/>
      <c r="BY25" s="472"/>
      <c r="BZ25" s="475" t="s">
        <v>69</v>
      </c>
      <c r="CA25" s="475" t="s">
        <v>69</v>
      </c>
      <c r="CB25" s="475" t="s">
        <v>69</v>
      </c>
    </row>
    <row r="26" spans="1:80" ht="30" customHeight="1" x14ac:dyDescent="0.2">
      <c r="A26" s="787">
        <v>5</v>
      </c>
      <c r="B26" s="34" t="s">
        <v>37</v>
      </c>
      <c r="C26" s="35"/>
      <c r="D26" s="34"/>
      <c r="E26" s="34"/>
      <c r="F26" s="34"/>
      <c r="G26" s="34"/>
      <c r="H26" s="35"/>
      <c r="I26" s="34"/>
      <c r="J26" s="34"/>
      <c r="K26" s="34"/>
      <c r="L26" s="34"/>
      <c r="M26" s="34"/>
      <c r="N26" s="35"/>
      <c r="O26" s="35"/>
      <c r="P26" s="34"/>
      <c r="Q26" s="34"/>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c r="BB26" s="432"/>
      <c r="BC26" s="432"/>
      <c r="BD26" s="432"/>
      <c r="BE26" s="432"/>
      <c r="BF26" s="432"/>
      <c r="BG26" s="432"/>
      <c r="BH26" s="432"/>
      <c r="BI26" s="432"/>
      <c r="BJ26" s="432"/>
      <c r="BK26" s="433"/>
      <c r="BL26" s="433"/>
      <c r="BM26" s="433"/>
      <c r="BN26" s="432"/>
      <c r="BO26" s="432"/>
      <c r="BP26" s="432"/>
      <c r="BQ26" s="432"/>
      <c r="BR26" s="432"/>
      <c r="BS26" s="432"/>
      <c r="BT26" s="432"/>
      <c r="BU26" s="432"/>
      <c r="BV26" s="432"/>
      <c r="BW26" s="432"/>
      <c r="BX26" s="432"/>
      <c r="BY26" s="432"/>
      <c r="BZ26" s="434"/>
      <c r="CA26" s="434"/>
      <c r="CB26" s="434"/>
    </row>
    <row r="27" spans="1:80" ht="30" customHeight="1" x14ac:dyDescent="0.2">
      <c r="A27" s="76"/>
      <c r="B27" s="38">
        <v>26</v>
      </c>
      <c r="C27" s="38" t="s">
        <v>70</v>
      </c>
      <c r="D27" s="39"/>
      <c r="E27" s="39"/>
      <c r="F27" s="39"/>
      <c r="G27" s="39"/>
      <c r="H27" s="40"/>
      <c r="I27" s="39"/>
      <c r="J27" s="39"/>
      <c r="K27" s="39"/>
      <c r="L27" s="39"/>
      <c r="M27" s="39"/>
      <c r="N27" s="40"/>
      <c r="O27" s="40"/>
      <c r="P27" s="39"/>
      <c r="Q27" s="39"/>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3"/>
      <c r="BL27" s="413"/>
      <c r="BM27" s="413"/>
      <c r="BN27" s="412"/>
      <c r="BO27" s="412"/>
      <c r="BP27" s="412"/>
      <c r="BQ27" s="412"/>
      <c r="BR27" s="412"/>
      <c r="BS27" s="412"/>
      <c r="BT27" s="412"/>
      <c r="BU27" s="412"/>
      <c r="BV27" s="412"/>
      <c r="BW27" s="412"/>
      <c r="BX27" s="412"/>
      <c r="BY27" s="412"/>
      <c r="BZ27" s="417"/>
      <c r="CA27" s="417"/>
      <c r="CB27" s="417"/>
    </row>
    <row r="28" spans="1:80" ht="30" customHeight="1" x14ac:dyDescent="0.2">
      <c r="A28" s="42"/>
      <c r="B28" s="76"/>
      <c r="C28" s="397"/>
      <c r="D28" s="76"/>
      <c r="E28" s="76"/>
      <c r="F28" s="76"/>
      <c r="G28" s="78">
        <v>83</v>
      </c>
      <c r="H28" s="79" t="s">
        <v>71</v>
      </c>
      <c r="I28" s="80"/>
      <c r="J28" s="80"/>
      <c r="K28" s="80"/>
      <c r="L28" s="80"/>
      <c r="M28" s="80"/>
      <c r="N28" s="173"/>
      <c r="O28" s="173"/>
      <c r="P28" s="80"/>
      <c r="Q28" s="80"/>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414"/>
      <c r="BL28" s="414"/>
      <c r="BM28" s="414"/>
      <c r="BN28" s="267"/>
      <c r="BO28" s="267"/>
      <c r="BP28" s="267"/>
      <c r="BQ28" s="267"/>
      <c r="BR28" s="267"/>
      <c r="BS28" s="267"/>
      <c r="BT28" s="267"/>
      <c r="BU28" s="267"/>
      <c r="BV28" s="267"/>
      <c r="BW28" s="267"/>
      <c r="BX28" s="267"/>
      <c r="BY28" s="267"/>
      <c r="BZ28" s="269"/>
      <c r="CA28" s="269"/>
      <c r="CB28" s="269"/>
    </row>
    <row r="29" spans="1:80" ht="75" x14ac:dyDescent="0.2">
      <c r="A29" s="42"/>
      <c r="B29" s="42"/>
      <c r="C29" s="532">
        <v>37</v>
      </c>
      <c r="D29" s="708" t="s">
        <v>72</v>
      </c>
      <c r="E29" s="705" t="s">
        <v>73</v>
      </c>
      <c r="F29" s="711">
        <v>0.6</v>
      </c>
      <c r="G29" s="729"/>
      <c r="H29" s="57">
        <v>246</v>
      </c>
      <c r="I29" s="729" t="s">
        <v>74</v>
      </c>
      <c r="J29" s="44" t="s">
        <v>43</v>
      </c>
      <c r="K29" s="45">
        <v>13</v>
      </c>
      <c r="L29" s="45">
        <v>13</v>
      </c>
      <c r="M29" s="46">
        <v>2017003630021</v>
      </c>
      <c r="N29" s="57" t="s">
        <v>44</v>
      </c>
      <c r="O29" s="57" t="s">
        <v>75</v>
      </c>
      <c r="P29" s="729" t="s">
        <v>950</v>
      </c>
      <c r="Q29" s="57" t="s">
        <v>52</v>
      </c>
      <c r="R29" s="401">
        <v>0</v>
      </c>
      <c r="S29" s="401"/>
      <c r="T29" s="401"/>
      <c r="U29" s="401">
        <v>0</v>
      </c>
      <c r="V29" s="401"/>
      <c r="W29" s="401"/>
      <c r="X29" s="401">
        <v>0</v>
      </c>
      <c r="Y29" s="401"/>
      <c r="Z29" s="401"/>
      <c r="AA29" s="401">
        <v>0</v>
      </c>
      <c r="AB29" s="401"/>
      <c r="AC29" s="401"/>
      <c r="AD29" s="401">
        <v>0</v>
      </c>
      <c r="AE29" s="401"/>
      <c r="AF29" s="401"/>
      <c r="AG29" s="401">
        <v>0</v>
      </c>
      <c r="AH29" s="401"/>
      <c r="AI29" s="401"/>
      <c r="AJ29" s="401">
        <v>0</v>
      </c>
      <c r="AK29" s="401"/>
      <c r="AL29" s="401"/>
      <c r="AM29" s="401"/>
      <c r="AN29" s="401"/>
      <c r="AO29" s="401"/>
      <c r="AP29" s="401"/>
      <c r="AQ29" s="401"/>
      <c r="AR29" s="401"/>
      <c r="AS29" s="401">
        <v>0</v>
      </c>
      <c r="AT29" s="401"/>
      <c r="AU29" s="401"/>
      <c r="AV29" s="401">
        <v>0</v>
      </c>
      <c r="AW29" s="401"/>
      <c r="AX29" s="401"/>
      <c r="AY29" s="401"/>
      <c r="AZ29" s="401"/>
      <c r="BA29" s="401"/>
      <c r="BB29" s="401"/>
      <c r="BC29" s="401"/>
      <c r="BD29" s="401"/>
      <c r="BE29" s="401">
        <v>0</v>
      </c>
      <c r="BF29" s="401"/>
      <c r="BG29" s="401"/>
      <c r="BH29" s="401">
        <v>0</v>
      </c>
      <c r="BI29" s="403"/>
      <c r="BJ29" s="403"/>
      <c r="BK29" s="404">
        <v>18000000</v>
      </c>
      <c r="BL29" s="404">
        <v>16500000</v>
      </c>
      <c r="BM29" s="404">
        <v>15966000</v>
      </c>
      <c r="BN29" s="404"/>
      <c r="BO29" s="404"/>
      <c r="BP29" s="404"/>
      <c r="BQ29" s="401">
        <v>0</v>
      </c>
      <c r="BR29" s="403"/>
      <c r="BS29" s="403"/>
      <c r="BT29" s="403"/>
      <c r="BU29" s="403"/>
      <c r="BV29" s="403"/>
      <c r="BW29" s="403">
        <v>0</v>
      </c>
      <c r="BX29" s="403"/>
      <c r="BY29" s="403"/>
      <c r="BZ29" s="401">
        <f>R29+U29+X29+AA29+AD29+AG29+AJ29+AM29+AP29+AS29+AV29+AY29+BB29+BE29+BH29+BK29+BN29+BQ29+BT29+BW29</f>
        <v>18000000</v>
      </c>
      <c r="CA29" s="401">
        <f t="shared" ref="CA29:CB29" si="6">S29+V29+Y29+AB29+AE29+AH29+AK29+AN29+AQ29+AT29+AW29+AZ29+BC29+BF29+BI29+BL29+BO29+BR29+BU29+BX29</f>
        <v>16500000</v>
      </c>
      <c r="CB29" s="401">
        <f t="shared" si="6"/>
        <v>15966000</v>
      </c>
    </row>
    <row r="30" spans="1:80" ht="30" customHeight="1" x14ac:dyDescent="0.2">
      <c r="A30" s="42"/>
      <c r="B30" s="42"/>
      <c r="C30" s="531"/>
      <c r="D30" s="709"/>
      <c r="E30" s="714"/>
      <c r="F30" s="714"/>
      <c r="G30" s="58"/>
      <c r="H30" s="58"/>
      <c r="I30" s="58"/>
      <c r="J30" s="58"/>
      <c r="K30" s="58"/>
      <c r="L30" s="58"/>
      <c r="M30" s="58"/>
      <c r="N30" s="59"/>
      <c r="O30" s="58"/>
      <c r="P30" s="58"/>
      <c r="Q30" s="58"/>
      <c r="R30" s="460">
        <f t="shared" ref="R30:BY30" si="7">SUM(R29)</f>
        <v>0</v>
      </c>
      <c r="S30" s="460">
        <f t="shared" si="7"/>
        <v>0</v>
      </c>
      <c r="T30" s="460">
        <f t="shared" si="7"/>
        <v>0</v>
      </c>
      <c r="U30" s="460">
        <f t="shared" si="7"/>
        <v>0</v>
      </c>
      <c r="V30" s="460">
        <f t="shared" si="7"/>
        <v>0</v>
      </c>
      <c r="W30" s="460">
        <f t="shared" si="7"/>
        <v>0</v>
      </c>
      <c r="X30" s="460">
        <f t="shared" si="7"/>
        <v>0</v>
      </c>
      <c r="Y30" s="460">
        <f t="shared" si="7"/>
        <v>0</v>
      </c>
      <c r="Z30" s="460">
        <f t="shared" si="7"/>
        <v>0</v>
      </c>
      <c r="AA30" s="460">
        <f t="shared" si="7"/>
        <v>0</v>
      </c>
      <c r="AB30" s="460">
        <f t="shared" si="7"/>
        <v>0</v>
      </c>
      <c r="AC30" s="460">
        <f t="shared" si="7"/>
        <v>0</v>
      </c>
      <c r="AD30" s="460">
        <f t="shared" si="7"/>
        <v>0</v>
      </c>
      <c r="AE30" s="460">
        <f t="shared" si="7"/>
        <v>0</v>
      </c>
      <c r="AF30" s="460">
        <f t="shared" si="7"/>
        <v>0</v>
      </c>
      <c r="AG30" s="460">
        <f t="shared" si="7"/>
        <v>0</v>
      </c>
      <c r="AH30" s="460">
        <f t="shared" si="7"/>
        <v>0</v>
      </c>
      <c r="AI30" s="460">
        <f t="shared" si="7"/>
        <v>0</v>
      </c>
      <c r="AJ30" s="460">
        <f t="shared" si="7"/>
        <v>0</v>
      </c>
      <c r="AK30" s="460">
        <f t="shared" si="7"/>
        <v>0</v>
      </c>
      <c r="AL30" s="460">
        <f t="shared" si="7"/>
        <v>0</v>
      </c>
      <c r="AM30" s="460">
        <f t="shared" si="7"/>
        <v>0</v>
      </c>
      <c r="AN30" s="460">
        <f t="shared" si="7"/>
        <v>0</v>
      </c>
      <c r="AO30" s="460">
        <f t="shared" si="7"/>
        <v>0</v>
      </c>
      <c r="AP30" s="460">
        <f t="shared" si="7"/>
        <v>0</v>
      </c>
      <c r="AQ30" s="460">
        <f t="shared" si="7"/>
        <v>0</v>
      </c>
      <c r="AR30" s="460">
        <f t="shared" si="7"/>
        <v>0</v>
      </c>
      <c r="AS30" s="460">
        <f t="shared" si="7"/>
        <v>0</v>
      </c>
      <c r="AT30" s="460">
        <f t="shared" si="7"/>
        <v>0</v>
      </c>
      <c r="AU30" s="460">
        <f t="shared" si="7"/>
        <v>0</v>
      </c>
      <c r="AV30" s="460">
        <f t="shared" si="7"/>
        <v>0</v>
      </c>
      <c r="AW30" s="460">
        <f t="shared" si="7"/>
        <v>0</v>
      </c>
      <c r="AX30" s="460">
        <f t="shared" si="7"/>
        <v>0</v>
      </c>
      <c r="AY30" s="460">
        <f t="shared" si="7"/>
        <v>0</v>
      </c>
      <c r="AZ30" s="460">
        <f t="shared" si="7"/>
        <v>0</v>
      </c>
      <c r="BA30" s="460">
        <f t="shared" si="7"/>
        <v>0</v>
      </c>
      <c r="BB30" s="460">
        <f t="shared" si="7"/>
        <v>0</v>
      </c>
      <c r="BC30" s="460">
        <f t="shared" si="7"/>
        <v>0</v>
      </c>
      <c r="BD30" s="460">
        <f t="shared" si="7"/>
        <v>0</v>
      </c>
      <c r="BE30" s="460">
        <f t="shared" si="7"/>
        <v>0</v>
      </c>
      <c r="BF30" s="460">
        <f t="shared" si="7"/>
        <v>0</v>
      </c>
      <c r="BG30" s="460">
        <f t="shared" si="7"/>
        <v>0</v>
      </c>
      <c r="BH30" s="460">
        <f t="shared" si="7"/>
        <v>0</v>
      </c>
      <c r="BI30" s="460">
        <f t="shared" si="7"/>
        <v>0</v>
      </c>
      <c r="BJ30" s="460">
        <f t="shared" si="7"/>
        <v>0</v>
      </c>
      <c r="BK30" s="460">
        <f t="shared" si="7"/>
        <v>18000000</v>
      </c>
      <c r="BL30" s="460">
        <f t="shared" si="7"/>
        <v>16500000</v>
      </c>
      <c r="BM30" s="460">
        <f t="shared" si="7"/>
        <v>15966000</v>
      </c>
      <c r="BN30" s="460">
        <f t="shared" si="7"/>
        <v>0</v>
      </c>
      <c r="BO30" s="460">
        <f t="shared" si="7"/>
        <v>0</v>
      </c>
      <c r="BP30" s="460">
        <f t="shared" si="7"/>
        <v>0</v>
      </c>
      <c r="BQ30" s="460">
        <f t="shared" si="7"/>
        <v>0</v>
      </c>
      <c r="BR30" s="460">
        <f t="shared" si="7"/>
        <v>0</v>
      </c>
      <c r="BS30" s="460">
        <f t="shared" si="7"/>
        <v>0</v>
      </c>
      <c r="BT30" s="460">
        <f t="shared" si="7"/>
        <v>0</v>
      </c>
      <c r="BU30" s="460">
        <f t="shared" si="7"/>
        <v>0</v>
      </c>
      <c r="BV30" s="460">
        <f t="shared" si="7"/>
        <v>0</v>
      </c>
      <c r="BW30" s="460">
        <f t="shared" si="7"/>
        <v>0</v>
      </c>
      <c r="BX30" s="460">
        <f t="shared" si="7"/>
        <v>0</v>
      </c>
      <c r="BY30" s="460">
        <f t="shared" si="7"/>
        <v>0</v>
      </c>
      <c r="BZ30" s="460">
        <f>SUM(BZ29)</f>
        <v>18000000</v>
      </c>
      <c r="CA30" s="460">
        <f t="shared" ref="CA30:CB30" si="8">SUM(CA29)</f>
        <v>16500000</v>
      </c>
      <c r="CB30" s="460">
        <f t="shared" si="8"/>
        <v>15966000</v>
      </c>
    </row>
    <row r="31" spans="1:80" ht="30" customHeight="1" x14ac:dyDescent="0.2">
      <c r="A31" s="42"/>
      <c r="B31" s="42"/>
      <c r="C31" s="137"/>
      <c r="D31" s="72"/>
      <c r="E31" s="150"/>
      <c r="F31" s="150"/>
      <c r="G31" s="72"/>
      <c r="H31" s="150"/>
      <c r="I31" s="72"/>
      <c r="J31" s="73"/>
      <c r="K31" s="83"/>
      <c r="L31" s="83"/>
      <c r="M31" s="83"/>
      <c r="N31" s="150"/>
      <c r="O31" s="150"/>
      <c r="P31" s="72"/>
      <c r="Q31" s="150"/>
      <c r="R31" s="405"/>
      <c r="S31" s="405"/>
      <c r="T31" s="405"/>
      <c r="U31" s="406"/>
      <c r="V31" s="406"/>
      <c r="W31" s="406"/>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6"/>
      <c r="AZ31" s="406"/>
      <c r="BA31" s="406"/>
      <c r="BB31" s="406"/>
      <c r="BC31" s="406"/>
      <c r="BD31" s="406"/>
      <c r="BE31" s="405"/>
      <c r="BF31" s="405"/>
      <c r="BG31" s="405"/>
      <c r="BH31" s="405"/>
      <c r="BI31" s="405"/>
      <c r="BJ31" s="405"/>
      <c r="BK31" s="407"/>
      <c r="BL31" s="407"/>
      <c r="BM31" s="407"/>
      <c r="BN31" s="408"/>
      <c r="BO31" s="408"/>
      <c r="BP31" s="408"/>
      <c r="BQ31" s="405"/>
      <c r="BR31" s="405"/>
      <c r="BS31" s="405"/>
      <c r="BT31" s="405"/>
      <c r="BU31" s="405"/>
      <c r="BV31" s="405"/>
      <c r="BW31" s="406"/>
      <c r="BX31" s="406"/>
      <c r="BY31" s="406"/>
      <c r="BZ31" s="409"/>
      <c r="CA31" s="409"/>
      <c r="CB31" s="409"/>
    </row>
    <row r="32" spans="1:80" ht="30" customHeight="1" x14ac:dyDescent="0.2">
      <c r="A32" s="42"/>
      <c r="B32" s="42"/>
      <c r="C32" s="713"/>
      <c r="D32" s="707"/>
      <c r="E32" s="713"/>
      <c r="F32" s="713"/>
      <c r="G32" s="140">
        <v>84</v>
      </c>
      <c r="H32" s="79" t="s">
        <v>77</v>
      </c>
      <c r="I32" s="58"/>
      <c r="J32" s="58"/>
      <c r="K32" s="58"/>
      <c r="L32" s="58"/>
      <c r="M32" s="58"/>
      <c r="N32" s="59"/>
      <c r="O32" s="58"/>
      <c r="P32" s="58"/>
      <c r="Q32" s="58"/>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row>
    <row r="33" spans="1:80" ht="60" x14ac:dyDescent="0.2">
      <c r="A33" s="42"/>
      <c r="B33" s="42"/>
      <c r="C33" s="702">
        <v>37</v>
      </c>
      <c r="D33" s="708" t="s">
        <v>72</v>
      </c>
      <c r="E33" s="705" t="s">
        <v>73</v>
      </c>
      <c r="F33" s="711">
        <v>0.6</v>
      </c>
      <c r="G33" s="729"/>
      <c r="H33" s="57">
        <v>248</v>
      </c>
      <c r="I33" s="729" t="s">
        <v>78</v>
      </c>
      <c r="J33" s="44" t="s">
        <v>43</v>
      </c>
      <c r="K33" s="45">
        <v>12</v>
      </c>
      <c r="L33" s="45">
        <v>12</v>
      </c>
      <c r="M33" s="46">
        <v>2017003630053</v>
      </c>
      <c r="N33" s="57" t="s">
        <v>44</v>
      </c>
      <c r="O33" s="57" t="s">
        <v>79</v>
      </c>
      <c r="P33" s="729" t="s">
        <v>951</v>
      </c>
      <c r="Q33" s="57" t="s">
        <v>52</v>
      </c>
      <c r="R33" s="401">
        <v>0</v>
      </c>
      <c r="S33" s="401"/>
      <c r="T33" s="401"/>
      <c r="U33" s="401">
        <v>0</v>
      </c>
      <c r="V33" s="401"/>
      <c r="W33" s="401"/>
      <c r="X33" s="401">
        <v>0</v>
      </c>
      <c r="Y33" s="401"/>
      <c r="Z33" s="401"/>
      <c r="AA33" s="401">
        <v>0</v>
      </c>
      <c r="AB33" s="401"/>
      <c r="AC33" s="401"/>
      <c r="AD33" s="401">
        <v>0</v>
      </c>
      <c r="AE33" s="401"/>
      <c r="AF33" s="401"/>
      <c r="AG33" s="401">
        <v>0</v>
      </c>
      <c r="AH33" s="401"/>
      <c r="AI33" s="401"/>
      <c r="AJ33" s="401">
        <v>0</v>
      </c>
      <c r="AK33" s="401"/>
      <c r="AL33" s="401"/>
      <c r="AM33" s="401"/>
      <c r="AN33" s="401"/>
      <c r="AO33" s="401"/>
      <c r="AP33" s="401"/>
      <c r="AQ33" s="401"/>
      <c r="AR33" s="401"/>
      <c r="AS33" s="401">
        <v>0</v>
      </c>
      <c r="AT33" s="401"/>
      <c r="AU33" s="401"/>
      <c r="AV33" s="401">
        <v>0</v>
      </c>
      <c r="AW33" s="401"/>
      <c r="AX33" s="401"/>
      <c r="AY33" s="401"/>
      <c r="AZ33" s="401"/>
      <c r="BA33" s="401"/>
      <c r="BB33" s="401"/>
      <c r="BC33" s="401"/>
      <c r="BD33" s="401"/>
      <c r="BE33" s="401">
        <v>0</v>
      </c>
      <c r="BF33" s="401"/>
      <c r="BG33" s="401"/>
      <c r="BH33" s="401">
        <v>0</v>
      </c>
      <c r="BI33" s="401"/>
      <c r="BJ33" s="401"/>
      <c r="BK33" s="402">
        <v>29000000</v>
      </c>
      <c r="BL33" s="402">
        <v>26000000</v>
      </c>
      <c r="BM33" s="402">
        <v>24982000</v>
      </c>
      <c r="BN33" s="402"/>
      <c r="BO33" s="402"/>
      <c r="BP33" s="402"/>
      <c r="BQ33" s="401">
        <v>0</v>
      </c>
      <c r="BR33" s="403"/>
      <c r="BS33" s="403"/>
      <c r="BT33" s="403"/>
      <c r="BU33" s="403"/>
      <c r="BV33" s="403"/>
      <c r="BW33" s="403">
        <v>0</v>
      </c>
      <c r="BX33" s="403"/>
      <c r="BY33" s="403"/>
      <c r="BZ33" s="401">
        <f>R33+U33+X33+AA33+AD33+AG33+AJ33+AM33+AP33+AS33+AV33+AY33+BB33+BE33+BH33+BK33+BN33+BQ33+BT33+BW33</f>
        <v>29000000</v>
      </c>
      <c r="CA33" s="401">
        <f t="shared" ref="CA33:CB33" si="9">S33+V33+Y33+AB33+AE33+AH33+AK33+AN33+AQ33+AT33+AW33+AZ33+BC33+BF33+BI33+BL33+BO33+BR33+BU33+BX33</f>
        <v>26000000</v>
      </c>
      <c r="CB33" s="401">
        <f t="shared" si="9"/>
        <v>24982000</v>
      </c>
    </row>
    <row r="34" spans="1:80" s="2" customFormat="1" ht="30" customHeight="1" x14ac:dyDescent="0.25">
      <c r="A34" s="42"/>
      <c r="B34" s="55"/>
      <c r="C34" s="714"/>
      <c r="D34" s="709"/>
      <c r="E34" s="714"/>
      <c r="F34" s="714"/>
      <c r="G34" s="58"/>
      <c r="H34" s="59"/>
      <c r="I34" s="58"/>
      <c r="J34" s="60"/>
      <c r="K34" s="84"/>
      <c r="L34" s="84"/>
      <c r="M34" s="84"/>
      <c r="N34" s="60"/>
      <c r="O34" s="59"/>
      <c r="P34" s="58"/>
      <c r="Q34" s="59"/>
      <c r="R34" s="410">
        <f t="shared" ref="R34:CB34" si="10">R33</f>
        <v>0</v>
      </c>
      <c r="S34" s="410">
        <f t="shared" si="10"/>
        <v>0</v>
      </c>
      <c r="T34" s="410">
        <f t="shared" si="10"/>
        <v>0</v>
      </c>
      <c r="U34" s="410">
        <f t="shared" si="10"/>
        <v>0</v>
      </c>
      <c r="V34" s="410">
        <f t="shared" si="10"/>
        <v>0</v>
      </c>
      <c r="W34" s="410">
        <f t="shared" si="10"/>
        <v>0</v>
      </c>
      <c r="X34" s="410">
        <f t="shared" si="10"/>
        <v>0</v>
      </c>
      <c r="Y34" s="410">
        <f t="shared" si="10"/>
        <v>0</v>
      </c>
      <c r="Z34" s="410">
        <f t="shared" si="10"/>
        <v>0</v>
      </c>
      <c r="AA34" s="410">
        <f t="shared" si="10"/>
        <v>0</v>
      </c>
      <c r="AB34" s="410">
        <f t="shared" si="10"/>
        <v>0</v>
      </c>
      <c r="AC34" s="410">
        <f t="shared" si="10"/>
        <v>0</v>
      </c>
      <c r="AD34" s="410">
        <f t="shared" si="10"/>
        <v>0</v>
      </c>
      <c r="AE34" s="410">
        <f t="shared" si="10"/>
        <v>0</v>
      </c>
      <c r="AF34" s="410">
        <f t="shared" si="10"/>
        <v>0</v>
      </c>
      <c r="AG34" s="410">
        <f t="shared" si="10"/>
        <v>0</v>
      </c>
      <c r="AH34" s="410">
        <f t="shared" si="10"/>
        <v>0</v>
      </c>
      <c r="AI34" s="410">
        <f t="shared" si="10"/>
        <v>0</v>
      </c>
      <c r="AJ34" s="410">
        <f t="shared" si="10"/>
        <v>0</v>
      </c>
      <c r="AK34" s="410">
        <f t="shared" si="10"/>
        <v>0</v>
      </c>
      <c r="AL34" s="410">
        <f t="shared" si="10"/>
        <v>0</v>
      </c>
      <c r="AM34" s="410">
        <f t="shared" si="10"/>
        <v>0</v>
      </c>
      <c r="AN34" s="410">
        <f t="shared" si="10"/>
        <v>0</v>
      </c>
      <c r="AO34" s="410">
        <f t="shared" si="10"/>
        <v>0</v>
      </c>
      <c r="AP34" s="410">
        <f t="shared" si="10"/>
        <v>0</v>
      </c>
      <c r="AQ34" s="410">
        <f t="shared" si="10"/>
        <v>0</v>
      </c>
      <c r="AR34" s="410">
        <f t="shared" si="10"/>
        <v>0</v>
      </c>
      <c r="AS34" s="410">
        <f t="shared" si="10"/>
        <v>0</v>
      </c>
      <c r="AT34" s="410">
        <f t="shared" si="10"/>
        <v>0</v>
      </c>
      <c r="AU34" s="410">
        <f t="shared" si="10"/>
        <v>0</v>
      </c>
      <c r="AV34" s="410">
        <f t="shared" si="10"/>
        <v>0</v>
      </c>
      <c r="AW34" s="410">
        <f t="shared" si="10"/>
        <v>0</v>
      </c>
      <c r="AX34" s="410">
        <f t="shared" si="10"/>
        <v>0</v>
      </c>
      <c r="AY34" s="410">
        <f t="shared" si="10"/>
        <v>0</v>
      </c>
      <c r="AZ34" s="410">
        <f t="shared" si="10"/>
        <v>0</v>
      </c>
      <c r="BA34" s="410">
        <f t="shared" si="10"/>
        <v>0</v>
      </c>
      <c r="BB34" s="410">
        <f t="shared" si="10"/>
        <v>0</v>
      </c>
      <c r="BC34" s="410">
        <f t="shared" si="10"/>
        <v>0</v>
      </c>
      <c r="BD34" s="410">
        <f t="shared" si="10"/>
        <v>0</v>
      </c>
      <c r="BE34" s="410">
        <f t="shared" si="10"/>
        <v>0</v>
      </c>
      <c r="BF34" s="410">
        <f t="shared" si="10"/>
        <v>0</v>
      </c>
      <c r="BG34" s="410">
        <f t="shared" si="10"/>
        <v>0</v>
      </c>
      <c r="BH34" s="410">
        <f t="shared" si="10"/>
        <v>0</v>
      </c>
      <c r="BI34" s="410">
        <f t="shared" si="10"/>
        <v>0</v>
      </c>
      <c r="BJ34" s="410">
        <f t="shared" si="10"/>
        <v>0</v>
      </c>
      <c r="BK34" s="410">
        <f t="shared" si="10"/>
        <v>29000000</v>
      </c>
      <c r="BL34" s="410">
        <f t="shared" si="10"/>
        <v>26000000</v>
      </c>
      <c r="BM34" s="410">
        <f t="shared" si="10"/>
        <v>24982000</v>
      </c>
      <c r="BN34" s="410">
        <f t="shared" si="10"/>
        <v>0</v>
      </c>
      <c r="BO34" s="410">
        <f t="shared" si="10"/>
        <v>0</v>
      </c>
      <c r="BP34" s="410">
        <f t="shared" si="10"/>
        <v>0</v>
      </c>
      <c r="BQ34" s="410">
        <f t="shared" si="10"/>
        <v>0</v>
      </c>
      <c r="BR34" s="410">
        <f t="shared" si="10"/>
        <v>0</v>
      </c>
      <c r="BS34" s="410">
        <f t="shared" si="10"/>
        <v>0</v>
      </c>
      <c r="BT34" s="410">
        <f t="shared" si="10"/>
        <v>0</v>
      </c>
      <c r="BU34" s="410">
        <f t="shared" si="10"/>
        <v>0</v>
      </c>
      <c r="BV34" s="410">
        <f t="shared" si="10"/>
        <v>0</v>
      </c>
      <c r="BW34" s="410">
        <f t="shared" si="10"/>
        <v>0</v>
      </c>
      <c r="BX34" s="410">
        <f t="shared" si="10"/>
        <v>0</v>
      </c>
      <c r="BY34" s="410">
        <f t="shared" si="10"/>
        <v>0</v>
      </c>
      <c r="BZ34" s="410">
        <f t="shared" si="10"/>
        <v>29000000</v>
      </c>
      <c r="CA34" s="410">
        <f t="shared" si="10"/>
        <v>26000000</v>
      </c>
      <c r="CB34" s="410">
        <f t="shared" si="10"/>
        <v>24982000</v>
      </c>
    </row>
    <row r="35" spans="1:80" ht="30" customHeight="1" x14ac:dyDescent="0.2">
      <c r="A35" s="42"/>
      <c r="B35" s="85"/>
      <c r="C35" s="86"/>
      <c r="D35" s="85"/>
      <c r="E35" s="86"/>
      <c r="F35" s="86"/>
      <c r="G35" s="85"/>
      <c r="H35" s="86"/>
      <c r="I35" s="85"/>
      <c r="J35" s="87"/>
      <c r="K35" s="88"/>
      <c r="L35" s="88"/>
      <c r="M35" s="88"/>
      <c r="N35" s="87"/>
      <c r="O35" s="86"/>
      <c r="P35" s="85"/>
      <c r="Q35" s="86"/>
      <c r="R35" s="411">
        <f t="shared" ref="R35:CB35" si="11">R30+R34</f>
        <v>0</v>
      </c>
      <c r="S35" s="411">
        <f t="shared" si="11"/>
        <v>0</v>
      </c>
      <c r="T35" s="411">
        <f t="shared" si="11"/>
        <v>0</v>
      </c>
      <c r="U35" s="411">
        <f t="shared" si="11"/>
        <v>0</v>
      </c>
      <c r="V35" s="411">
        <f t="shared" si="11"/>
        <v>0</v>
      </c>
      <c r="W35" s="411">
        <f t="shared" si="11"/>
        <v>0</v>
      </c>
      <c r="X35" s="411">
        <f t="shared" si="11"/>
        <v>0</v>
      </c>
      <c r="Y35" s="411">
        <f t="shared" si="11"/>
        <v>0</v>
      </c>
      <c r="Z35" s="411">
        <f t="shared" si="11"/>
        <v>0</v>
      </c>
      <c r="AA35" s="411">
        <f t="shared" si="11"/>
        <v>0</v>
      </c>
      <c r="AB35" s="411">
        <f t="shared" si="11"/>
        <v>0</v>
      </c>
      <c r="AC35" s="411">
        <f t="shared" si="11"/>
        <v>0</v>
      </c>
      <c r="AD35" s="411">
        <f t="shared" si="11"/>
        <v>0</v>
      </c>
      <c r="AE35" s="411">
        <f t="shared" si="11"/>
        <v>0</v>
      </c>
      <c r="AF35" s="411">
        <f t="shared" si="11"/>
        <v>0</v>
      </c>
      <c r="AG35" s="411">
        <f t="shared" si="11"/>
        <v>0</v>
      </c>
      <c r="AH35" s="411">
        <f t="shared" si="11"/>
        <v>0</v>
      </c>
      <c r="AI35" s="411">
        <f t="shared" si="11"/>
        <v>0</v>
      </c>
      <c r="AJ35" s="411">
        <f t="shared" si="11"/>
        <v>0</v>
      </c>
      <c r="AK35" s="411">
        <f t="shared" si="11"/>
        <v>0</v>
      </c>
      <c r="AL35" s="411">
        <f t="shared" si="11"/>
        <v>0</v>
      </c>
      <c r="AM35" s="411">
        <f t="shared" si="11"/>
        <v>0</v>
      </c>
      <c r="AN35" s="411">
        <f t="shared" si="11"/>
        <v>0</v>
      </c>
      <c r="AO35" s="411">
        <f t="shared" si="11"/>
        <v>0</v>
      </c>
      <c r="AP35" s="411">
        <f t="shared" si="11"/>
        <v>0</v>
      </c>
      <c r="AQ35" s="411">
        <f t="shared" si="11"/>
        <v>0</v>
      </c>
      <c r="AR35" s="411">
        <f t="shared" si="11"/>
        <v>0</v>
      </c>
      <c r="AS35" s="411">
        <f t="shared" si="11"/>
        <v>0</v>
      </c>
      <c r="AT35" s="411">
        <f t="shared" si="11"/>
        <v>0</v>
      </c>
      <c r="AU35" s="411">
        <f t="shared" si="11"/>
        <v>0</v>
      </c>
      <c r="AV35" s="411">
        <f t="shared" si="11"/>
        <v>0</v>
      </c>
      <c r="AW35" s="411">
        <f t="shared" si="11"/>
        <v>0</v>
      </c>
      <c r="AX35" s="411">
        <f t="shared" si="11"/>
        <v>0</v>
      </c>
      <c r="AY35" s="411">
        <f t="shared" si="11"/>
        <v>0</v>
      </c>
      <c r="AZ35" s="411">
        <f t="shared" si="11"/>
        <v>0</v>
      </c>
      <c r="BA35" s="411">
        <f t="shared" si="11"/>
        <v>0</v>
      </c>
      <c r="BB35" s="411">
        <f t="shared" si="11"/>
        <v>0</v>
      </c>
      <c r="BC35" s="411">
        <f t="shared" si="11"/>
        <v>0</v>
      </c>
      <c r="BD35" s="411">
        <f t="shared" si="11"/>
        <v>0</v>
      </c>
      <c r="BE35" s="411">
        <f t="shared" si="11"/>
        <v>0</v>
      </c>
      <c r="BF35" s="411">
        <f t="shared" si="11"/>
        <v>0</v>
      </c>
      <c r="BG35" s="411">
        <f t="shared" si="11"/>
        <v>0</v>
      </c>
      <c r="BH35" s="411">
        <f t="shared" si="11"/>
        <v>0</v>
      </c>
      <c r="BI35" s="411">
        <f t="shared" si="11"/>
        <v>0</v>
      </c>
      <c r="BJ35" s="411">
        <f t="shared" si="11"/>
        <v>0</v>
      </c>
      <c r="BK35" s="411">
        <f t="shared" si="11"/>
        <v>47000000</v>
      </c>
      <c r="BL35" s="411">
        <f t="shared" si="11"/>
        <v>42500000</v>
      </c>
      <c r="BM35" s="411">
        <f t="shared" si="11"/>
        <v>40948000</v>
      </c>
      <c r="BN35" s="411">
        <f t="shared" si="11"/>
        <v>0</v>
      </c>
      <c r="BO35" s="411">
        <f t="shared" si="11"/>
        <v>0</v>
      </c>
      <c r="BP35" s="411">
        <f t="shared" si="11"/>
        <v>0</v>
      </c>
      <c r="BQ35" s="411">
        <f t="shared" si="11"/>
        <v>0</v>
      </c>
      <c r="BR35" s="411">
        <f t="shared" si="11"/>
        <v>0</v>
      </c>
      <c r="BS35" s="411">
        <f t="shared" si="11"/>
        <v>0</v>
      </c>
      <c r="BT35" s="411">
        <f t="shared" si="11"/>
        <v>0</v>
      </c>
      <c r="BU35" s="411">
        <f t="shared" si="11"/>
        <v>0</v>
      </c>
      <c r="BV35" s="411">
        <f t="shared" si="11"/>
        <v>0</v>
      </c>
      <c r="BW35" s="411">
        <f t="shared" si="11"/>
        <v>0</v>
      </c>
      <c r="BX35" s="411">
        <f t="shared" si="11"/>
        <v>0</v>
      </c>
      <c r="BY35" s="411">
        <f t="shared" si="11"/>
        <v>0</v>
      </c>
      <c r="BZ35" s="411">
        <f t="shared" si="11"/>
        <v>47000000</v>
      </c>
      <c r="CA35" s="411">
        <f t="shared" si="11"/>
        <v>42500000</v>
      </c>
      <c r="CB35" s="788">
        <f t="shared" si="11"/>
        <v>40948000</v>
      </c>
    </row>
    <row r="36" spans="1:80" ht="30" customHeight="1" x14ac:dyDescent="0.2">
      <c r="A36" s="42"/>
      <c r="B36" s="72"/>
      <c r="C36" s="150"/>
      <c r="D36" s="72"/>
      <c r="E36" s="150"/>
      <c r="F36" s="150"/>
      <c r="G36" s="72"/>
      <c r="H36" s="150"/>
      <c r="I36" s="72"/>
      <c r="J36" s="73"/>
      <c r="K36" s="83"/>
      <c r="L36" s="83"/>
      <c r="M36" s="83"/>
      <c r="N36" s="73"/>
      <c r="O36" s="150"/>
      <c r="P36" s="72"/>
      <c r="Q36" s="150"/>
      <c r="R36" s="405"/>
      <c r="S36" s="405"/>
      <c r="T36" s="405"/>
      <c r="U36" s="406"/>
      <c r="V36" s="406"/>
      <c r="W36" s="406"/>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6"/>
      <c r="AZ36" s="406"/>
      <c r="BA36" s="406"/>
      <c r="BB36" s="406"/>
      <c r="BC36" s="406"/>
      <c r="BD36" s="406"/>
      <c r="BE36" s="405"/>
      <c r="BF36" s="405"/>
      <c r="BG36" s="405"/>
      <c r="BH36" s="405"/>
      <c r="BI36" s="405"/>
      <c r="BJ36" s="405"/>
      <c r="BK36" s="407"/>
      <c r="BL36" s="407"/>
      <c r="BM36" s="407"/>
      <c r="BN36" s="405"/>
      <c r="BO36" s="405"/>
      <c r="BP36" s="405"/>
      <c r="BQ36" s="405"/>
      <c r="BR36" s="405"/>
      <c r="BS36" s="405"/>
      <c r="BT36" s="405"/>
      <c r="BU36" s="405"/>
      <c r="BV36" s="405"/>
      <c r="BW36" s="406"/>
      <c r="BX36" s="406"/>
      <c r="BY36" s="406"/>
      <c r="BZ36" s="405"/>
      <c r="CA36" s="405"/>
      <c r="CB36" s="409"/>
    </row>
    <row r="37" spans="1:80" ht="30" customHeight="1" x14ac:dyDescent="0.2">
      <c r="A37" s="42"/>
      <c r="B37" s="38">
        <v>27</v>
      </c>
      <c r="C37" s="38" t="s">
        <v>81</v>
      </c>
      <c r="D37" s="39"/>
      <c r="E37" s="39"/>
      <c r="F37" s="39"/>
      <c r="G37" s="39"/>
      <c r="H37" s="40"/>
      <c r="I37" s="39"/>
      <c r="J37" s="39"/>
      <c r="K37" s="90"/>
      <c r="L37" s="90"/>
      <c r="M37" s="90"/>
      <c r="N37" s="40"/>
      <c r="O37" s="40"/>
      <c r="P37" s="39"/>
      <c r="Q37" s="39"/>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2"/>
      <c r="BI37" s="412"/>
      <c r="BJ37" s="412"/>
      <c r="BK37" s="413"/>
      <c r="BL37" s="413"/>
      <c r="BM37" s="413"/>
      <c r="BN37" s="412"/>
      <c r="BO37" s="412"/>
      <c r="BP37" s="412"/>
      <c r="BQ37" s="412"/>
      <c r="BR37" s="412"/>
      <c r="BS37" s="412"/>
      <c r="BT37" s="412"/>
      <c r="BU37" s="412"/>
      <c r="BV37" s="412"/>
      <c r="BW37" s="412"/>
      <c r="BX37" s="412"/>
      <c r="BY37" s="412"/>
      <c r="BZ37" s="412"/>
      <c r="CA37" s="412"/>
      <c r="CB37" s="417"/>
    </row>
    <row r="38" spans="1:80" ht="30" customHeight="1" x14ac:dyDescent="0.2">
      <c r="A38" s="42"/>
      <c r="B38" s="43"/>
      <c r="C38" s="713"/>
      <c r="D38" s="43"/>
      <c r="E38" s="43"/>
      <c r="F38" s="43"/>
      <c r="G38" s="78">
        <v>85</v>
      </c>
      <c r="H38" s="79" t="s">
        <v>82</v>
      </c>
      <c r="I38" s="80"/>
      <c r="J38" s="80"/>
      <c r="K38" s="91"/>
      <c r="L38" s="91"/>
      <c r="M38" s="91"/>
      <c r="N38" s="173"/>
      <c r="O38" s="173"/>
      <c r="P38" s="80"/>
      <c r="Q38" s="80"/>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414"/>
      <c r="BL38" s="414"/>
      <c r="BM38" s="414"/>
      <c r="BN38" s="267"/>
      <c r="BO38" s="267"/>
      <c r="BP38" s="267"/>
      <c r="BQ38" s="267"/>
      <c r="BR38" s="267"/>
      <c r="BS38" s="267"/>
      <c r="BT38" s="267"/>
      <c r="BU38" s="267"/>
      <c r="BV38" s="267"/>
      <c r="BW38" s="267"/>
      <c r="BX38" s="267"/>
      <c r="BY38" s="267"/>
      <c r="BZ38" s="269"/>
      <c r="CA38" s="269"/>
      <c r="CB38" s="269"/>
    </row>
    <row r="39" spans="1:80" ht="64.5" customHeight="1" x14ac:dyDescent="0.2">
      <c r="A39" s="42"/>
      <c r="B39" s="49"/>
      <c r="C39" s="702">
        <v>37</v>
      </c>
      <c r="D39" s="708" t="s">
        <v>72</v>
      </c>
      <c r="E39" s="705" t="s">
        <v>73</v>
      </c>
      <c r="F39" s="711">
        <v>0.6</v>
      </c>
      <c r="G39" s="707"/>
      <c r="H39" s="713">
        <v>249</v>
      </c>
      <c r="I39" s="729" t="s">
        <v>83</v>
      </c>
      <c r="J39" s="44">
        <v>1</v>
      </c>
      <c r="K39" s="45">
        <v>1</v>
      </c>
      <c r="L39" s="110">
        <v>0.77</v>
      </c>
      <c r="M39" s="46">
        <v>2017003630052</v>
      </c>
      <c r="N39" s="44" t="s">
        <v>84</v>
      </c>
      <c r="O39" s="57" t="s">
        <v>85</v>
      </c>
      <c r="P39" s="729" t="s">
        <v>86</v>
      </c>
      <c r="Q39" s="57" t="s">
        <v>52</v>
      </c>
      <c r="R39" s="401">
        <v>0</v>
      </c>
      <c r="S39" s="401"/>
      <c r="T39" s="401"/>
      <c r="U39" s="401">
        <v>0</v>
      </c>
      <c r="V39" s="401"/>
      <c r="W39" s="401"/>
      <c r="X39" s="401">
        <v>0</v>
      </c>
      <c r="Y39" s="401"/>
      <c r="Z39" s="401"/>
      <c r="AA39" s="401">
        <v>0</v>
      </c>
      <c r="AB39" s="401"/>
      <c r="AC39" s="401"/>
      <c r="AD39" s="401">
        <v>0</v>
      </c>
      <c r="AE39" s="401"/>
      <c r="AF39" s="401"/>
      <c r="AG39" s="401">
        <v>0</v>
      </c>
      <c r="AH39" s="401"/>
      <c r="AI39" s="401"/>
      <c r="AJ39" s="401">
        <v>0</v>
      </c>
      <c r="AK39" s="401"/>
      <c r="AL39" s="401"/>
      <c r="AM39" s="401"/>
      <c r="AN39" s="401"/>
      <c r="AO39" s="401"/>
      <c r="AP39" s="401"/>
      <c r="AQ39" s="401"/>
      <c r="AR39" s="401"/>
      <c r="AS39" s="401">
        <v>0</v>
      </c>
      <c r="AT39" s="401"/>
      <c r="AU39" s="401"/>
      <c r="AV39" s="401">
        <v>0</v>
      </c>
      <c r="AW39" s="401"/>
      <c r="AX39" s="401"/>
      <c r="AY39" s="401"/>
      <c r="AZ39" s="401"/>
      <c r="BA39" s="401"/>
      <c r="BB39" s="401"/>
      <c r="BC39" s="401"/>
      <c r="BD39" s="401"/>
      <c r="BE39" s="401">
        <v>0</v>
      </c>
      <c r="BF39" s="401"/>
      <c r="BG39" s="401"/>
      <c r="BH39" s="401">
        <v>0</v>
      </c>
      <c r="BI39" s="401"/>
      <c r="BJ39" s="401"/>
      <c r="BK39" s="402">
        <v>120000000</v>
      </c>
      <c r="BL39" s="402">
        <v>92627280</v>
      </c>
      <c r="BM39" s="402">
        <v>9959902</v>
      </c>
      <c r="BN39" s="415"/>
      <c r="BO39" s="415"/>
      <c r="BP39" s="415"/>
      <c r="BQ39" s="401">
        <v>0</v>
      </c>
      <c r="BR39" s="403"/>
      <c r="BS39" s="403"/>
      <c r="BT39" s="403"/>
      <c r="BU39" s="403"/>
      <c r="BV39" s="403"/>
      <c r="BW39" s="403">
        <v>0</v>
      </c>
      <c r="BX39" s="403"/>
      <c r="BY39" s="403"/>
      <c r="BZ39" s="401">
        <f>R39+U39+X39+AA39+AD39+AG39+AJ39+AM39+AP39+AS39+AV39+AY39+BB39+BE39+BH39+BK39+BN39+BQ39+BT39+BW39</f>
        <v>120000000</v>
      </c>
      <c r="CA39" s="401">
        <f t="shared" ref="CA39:CB39" si="12">S39+V39+Y39+AB39+AE39+AH39+AK39+AN39+AQ39+AT39+AW39+AZ39+BC39+BF39+BI39+BL39+BO39+BR39+BU39+BX39</f>
        <v>92627280</v>
      </c>
      <c r="CB39" s="401">
        <f t="shared" si="12"/>
        <v>9959902</v>
      </c>
    </row>
    <row r="40" spans="1:80" ht="30" customHeight="1" x14ac:dyDescent="0.2">
      <c r="A40" s="42"/>
      <c r="B40" s="92"/>
      <c r="C40" s="714"/>
      <c r="D40" s="709"/>
      <c r="E40" s="714"/>
      <c r="F40" s="714"/>
      <c r="G40" s="93"/>
      <c r="H40" s="94"/>
      <c r="I40" s="58"/>
      <c r="J40" s="60"/>
      <c r="K40" s="84"/>
      <c r="L40" s="84"/>
      <c r="M40" s="84"/>
      <c r="N40" s="60"/>
      <c r="O40" s="59"/>
      <c r="P40" s="58"/>
      <c r="Q40" s="59"/>
      <c r="R40" s="410">
        <f t="shared" ref="R40:BY40" si="13">SUM(R39)</f>
        <v>0</v>
      </c>
      <c r="S40" s="410">
        <f t="shared" si="13"/>
        <v>0</v>
      </c>
      <c r="T40" s="410">
        <f t="shared" si="13"/>
        <v>0</v>
      </c>
      <c r="U40" s="410">
        <f t="shared" si="13"/>
        <v>0</v>
      </c>
      <c r="V40" s="410">
        <f t="shared" si="13"/>
        <v>0</v>
      </c>
      <c r="W40" s="410">
        <f t="shared" si="13"/>
        <v>0</v>
      </c>
      <c r="X40" s="410">
        <f t="shared" si="13"/>
        <v>0</v>
      </c>
      <c r="Y40" s="410">
        <f t="shared" si="13"/>
        <v>0</v>
      </c>
      <c r="Z40" s="410">
        <f t="shared" si="13"/>
        <v>0</v>
      </c>
      <c r="AA40" s="410">
        <f t="shared" si="13"/>
        <v>0</v>
      </c>
      <c r="AB40" s="410">
        <f t="shared" si="13"/>
        <v>0</v>
      </c>
      <c r="AC40" s="410">
        <f t="shared" si="13"/>
        <v>0</v>
      </c>
      <c r="AD40" s="410">
        <f t="shared" si="13"/>
        <v>0</v>
      </c>
      <c r="AE40" s="410">
        <f t="shared" si="13"/>
        <v>0</v>
      </c>
      <c r="AF40" s="410">
        <f t="shared" si="13"/>
        <v>0</v>
      </c>
      <c r="AG40" s="410">
        <f t="shared" si="13"/>
        <v>0</v>
      </c>
      <c r="AH40" s="410">
        <f t="shared" si="13"/>
        <v>0</v>
      </c>
      <c r="AI40" s="410">
        <f t="shared" si="13"/>
        <v>0</v>
      </c>
      <c r="AJ40" s="410">
        <f t="shared" si="13"/>
        <v>0</v>
      </c>
      <c r="AK40" s="410">
        <f t="shared" si="13"/>
        <v>0</v>
      </c>
      <c r="AL40" s="410">
        <f t="shared" si="13"/>
        <v>0</v>
      </c>
      <c r="AM40" s="410">
        <f t="shared" si="13"/>
        <v>0</v>
      </c>
      <c r="AN40" s="410">
        <f t="shared" si="13"/>
        <v>0</v>
      </c>
      <c r="AO40" s="410">
        <f t="shared" si="13"/>
        <v>0</v>
      </c>
      <c r="AP40" s="410">
        <f t="shared" si="13"/>
        <v>0</v>
      </c>
      <c r="AQ40" s="410">
        <f t="shared" si="13"/>
        <v>0</v>
      </c>
      <c r="AR40" s="410">
        <f t="shared" si="13"/>
        <v>0</v>
      </c>
      <c r="AS40" s="410">
        <f t="shared" si="13"/>
        <v>0</v>
      </c>
      <c r="AT40" s="410">
        <f t="shared" si="13"/>
        <v>0</v>
      </c>
      <c r="AU40" s="410">
        <f t="shared" si="13"/>
        <v>0</v>
      </c>
      <c r="AV40" s="410">
        <f t="shared" si="13"/>
        <v>0</v>
      </c>
      <c r="AW40" s="410">
        <f t="shared" si="13"/>
        <v>0</v>
      </c>
      <c r="AX40" s="410">
        <f t="shared" si="13"/>
        <v>0</v>
      </c>
      <c r="AY40" s="410">
        <f t="shared" si="13"/>
        <v>0</v>
      </c>
      <c r="AZ40" s="410">
        <f t="shared" si="13"/>
        <v>0</v>
      </c>
      <c r="BA40" s="410">
        <f t="shared" si="13"/>
        <v>0</v>
      </c>
      <c r="BB40" s="410">
        <f t="shared" si="13"/>
        <v>0</v>
      </c>
      <c r="BC40" s="410">
        <f t="shared" si="13"/>
        <v>0</v>
      </c>
      <c r="BD40" s="410">
        <f t="shared" si="13"/>
        <v>0</v>
      </c>
      <c r="BE40" s="410">
        <f t="shared" si="13"/>
        <v>0</v>
      </c>
      <c r="BF40" s="410">
        <f t="shared" si="13"/>
        <v>0</v>
      </c>
      <c r="BG40" s="410">
        <f t="shared" si="13"/>
        <v>0</v>
      </c>
      <c r="BH40" s="410">
        <f t="shared" si="13"/>
        <v>0</v>
      </c>
      <c r="BI40" s="410">
        <f t="shared" si="13"/>
        <v>0</v>
      </c>
      <c r="BJ40" s="410">
        <f t="shared" si="13"/>
        <v>0</v>
      </c>
      <c r="BK40" s="410">
        <f t="shared" si="13"/>
        <v>120000000</v>
      </c>
      <c r="BL40" s="410">
        <f t="shared" si="13"/>
        <v>92627280</v>
      </c>
      <c r="BM40" s="410">
        <f t="shared" si="13"/>
        <v>9959902</v>
      </c>
      <c r="BN40" s="410">
        <f t="shared" si="13"/>
        <v>0</v>
      </c>
      <c r="BO40" s="410">
        <f t="shared" si="13"/>
        <v>0</v>
      </c>
      <c r="BP40" s="410">
        <f t="shared" si="13"/>
        <v>0</v>
      </c>
      <c r="BQ40" s="410">
        <f t="shared" si="13"/>
        <v>0</v>
      </c>
      <c r="BR40" s="410">
        <f t="shared" si="13"/>
        <v>0</v>
      </c>
      <c r="BS40" s="410">
        <f t="shared" si="13"/>
        <v>0</v>
      </c>
      <c r="BT40" s="410">
        <f t="shared" si="13"/>
        <v>0</v>
      </c>
      <c r="BU40" s="410">
        <f t="shared" si="13"/>
        <v>0</v>
      </c>
      <c r="BV40" s="410">
        <f t="shared" si="13"/>
        <v>0</v>
      </c>
      <c r="BW40" s="410">
        <f t="shared" si="13"/>
        <v>0</v>
      </c>
      <c r="BX40" s="410">
        <f t="shared" si="13"/>
        <v>0</v>
      </c>
      <c r="BY40" s="410">
        <f t="shared" si="13"/>
        <v>0</v>
      </c>
      <c r="BZ40" s="410">
        <f t="shared" ref="BZ40:CB40" si="14">SUM(BZ39)</f>
        <v>120000000</v>
      </c>
      <c r="CA40" s="410">
        <f t="shared" si="14"/>
        <v>92627280</v>
      </c>
      <c r="CB40" s="410">
        <f t="shared" si="14"/>
        <v>9959902</v>
      </c>
    </row>
    <row r="41" spans="1:80" ht="30" customHeight="1" x14ac:dyDescent="0.2">
      <c r="A41" s="42"/>
      <c r="B41" s="95"/>
      <c r="C41" s="96"/>
      <c r="D41" s="85"/>
      <c r="E41" s="86"/>
      <c r="F41" s="97"/>
      <c r="G41" s="98"/>
      <c r="H41" s="99"/>
      <c r="I41" s="62"/>
      <c r="J41" s="64"/>
      <c r="K41" s="100"/>
      <c r="L41" s="100"/>
      <c r="M41" s="100"/>
      <c r="N41" s="64"/>
      <c r="O41" s="63"/>
      <c r="P41" s="62"/>
      <c r="Q41" s="63"/>
      <c r="R41" s="416">
        <f t="shared" ref="R41:CB41" si="15">R40</f>
        <v>0</v>
      </c>
      <c r="S41" s="416">
        <f t="shared" si="15"/>
        <v>0</v>
      </c>
      <c r="T41" s="416">
        <f t="shared" si="15"/>
        <v>0</v>
      </c>
      <c r="U41" s="416">
        <f t="shared" si="15"/>
        <v>0</v>
      </c>
      <c r="V41" s="416">
        <f t="shared" si="15"/>
        <v>0</v>
      </c>
      <c r="W41" s="416">
        <f t="shared" si="15"/>
        <v>0</v>
      </c>
      <c r="X41" s="416">
        <f t="shared" si="15"/>
        <v>0</v>
      </c>
      <c r="Y41" s="416">
        <f t="shared" si="15"/>
        <v>0</v>
      </c>
      <c r="Z41" s="416">
        <f t="shared" si="15"/>
        <v>0</v>
      </c>
      <c r="AA41" s="416">
        <f t="shared" si="15"/>
        <v>0</v>
      </c>
      <c r="AB41" s="416">
        <f t="shared" si="15"/>
        <v>0</v>
      </c>
      <c r="AC41" s="416">
        <f t="shared" si="15"/>
        <v>0</v>
      </c>
      <c r="AD41" s="416">
        <f t="shared" si="15"/>
        <v>0</v>
      </c>
      <c r="AE41" s="416">
        <f t="shared" si="15"/>
        <v>0</v>
      </c>
      <c r="AF41" s="416">
        <f t="shared" si="15"/>
        <v>0</v>
      </c>
      <c r="AG41" s="416">
        <f t="shared" si="15"/>
        <v>0</v>
      </c>
      <c r="AH41" s="416">
        <f t="shared" si="15"/>
        <v>0</v>
      </c>
      <c r="AI41" s="416">
        <f t="shared" si="15"/>
        <v>0</v>
      </c>
      <c r="AJ41" s="416">
        <f t="shared" si="15"/>
        <v>0</v>
      </c>
      <c r="AK41" s="416">
        <f t="shared" si="15"/>
        <v>0</v>
      </c>
      <c r="AL41" s="416">
        <f t="shared" si="15"/>
        <v>0</v>
      </c>
      <c r="AM41" s="416">
        <f t="shared" si="15"/>
        <v>0</v>
      </c>
      <c r="AN41" s="416">
        <f t="shared" si="15"/>
        <v>0</v>
      </c>
      <c r="AO41" s="416">
        <f t="shared" si="15"/>
        <v>0</v>
      </c>
      <c r="AP41" s="416">
        <f t="shared" si="15"/>
        <v>0</v>
      </c>
      <c r="AQ41" s="416">
        <f t="shared" si="15"/>
        <v>0</v>
      </c>
      <c r="AR41" s="416">
        <f t="shared" si="15"/>
        <v>0</v>
      </c>
      <c r="AS41" s="416">
        <f t="shared" si="15"/>
        <v>0</v>
      </c>
      <c r="AT41" s="416">
        <f t="shared" si="15"/>
        <v>0</v>
      </c>
      <c r="AU41" s="416">
        <f t="shared" si="15"/>
        <v>0</v>
      </c>
      <c r="AV41" s="416">
        <f t="shared" si="15"/>
        <v>0</v>
      </c>
      <c r="AW41" s="416">
        <f t="shared" si="15"/>
        <v>0</v>
      </c>
      <c r="AX41" s="416">
        <f t="shared" si="15"/>
        <v>0</v>
      </c>
      <c r="AY41" s="416">
        <f t="shared" si="15"/>
        <v>0</v>
      </c>
      <c r="AZ41" s="416">
        <f t="shared" si="15"/>
        <v>0</v>
      </c>
      <c r="BA41" s="416">
        <f t="shared" si="15"/>
        <v>0</v>
      </c>
      <c r="BB41" s="416">
        <f t="shared" si="15"/>
        <v>0</v>
      </c>
      <c r="BC41" s="416">
        <f t="shared" si="15"/>
        <v>0</v>
      </c>
      <c r="BD41" s="416">
        <f t="shared" si="15"/>
        <v>0</v>
      </c>
      <c r="BE41" s="416">
        <f t="shared" si="15"/>
        <v>0</v>
      </c>
      <c r="BF41" s="416">
        <f t="shared" si="15"/>
        <v>0</v>
      </c>
      <c r="BG41" s="416">
        <f t="shared" si="15"/>
        <v>0</v>
      </c>
      <c r="BH41" s="416">
        <f t="shared" si="15"/>
        <v>0</v>
      </c>
      <c r="BI41" s="416">
        <f t="shared" si="15"/>
        <v>0</v>
      </c>
      <c r="BJ41" s="416">
        <f t="shared" si="15"/>
        <v>0</v>
      </c>
      <c r="BK41" s="416">
        <f t="shared" si="15"/>
        <v>120000000</v>
      </c>
      <c r="BL41" s="416">
        <f t="shared" si="15"/>
        <v>92627280</v>
      </c>
      <c r="BM41" s="416">
        <f t="shared" si="15"/>
        <v>9959902</v>
      </c>
      <c r="BN41" s="416">
        <f t="shared" si="15"/>
        <v>0</v>
      </c>
      <c r="BO41" s="416">
        <f t="shared" si="15"/>
        <v>0</v>
      </c>
      <c r="BP41" s="416">
        <f t="shared" si="15"/>
        <v>0</v>
      </c>
      <c r="BQ41" s="416">
        <f t="shared" si="15"/>
        <v>0</v>
      </c>
      <c r="BR41" s="416">
        <f t="shared" si="15"/>
        <v>0</v>
      </c>
      <c r="BS41" s="416">
        <f t="shared" si="15"/>
        <v>0</v>
      </c>
      <c r="BT41" s="416">
        <f t="shared" si="15"/>
        <v>0</v>
      </c>
      <c r="BU41" s="416">
        <f t="shared" si="15"/>
        <v>0</v>
      </c>
      <c r="BV41" s="416">
        <f t="shared" si="15"/>
        <v>0</v>
      </c>
      <c r="BW41" s="416">
        <f t="shared" si="15"/>
        <v>0</v>
      </c>
      <c r="BX41" s="416">
        <f t="shared" si="15"/>
        <v>0</v>
      </c>
      <c r="BY41" s="416">
        <f t="shared" si="15"/>
        <v>0</v>
      </c>
      <c r="BZ41" s="416">
        <f t="shared" si="15"/>
        <v>120000000</v>
      </c>
      <c r="CA41" s="416">
        <f t="shared" si="15"/>
        <v>92627280</v>
      </c>
      <c r="CB41" s="416">
        <f t="shared" si="15"/>
        <v>9959902</v>
      </c>
    </row>
    <row r="42" spans="1:80" ht="30" customHeight="1" x14ac:dyDescent="0.2">
      <c r="A42" s="42"/>
      <c r="B42" s="72"/>
      <c r="C42" s="150"/>
      <c r="D42" s="72"/>
      <c r="E42" s="150"/>
      <c r="F42" s="150"/>
      <c r="G42" s="101"/>
      <c r="H42" s="400"/>
      <c r="I42" s="72"/>
      <c r="J42" s="73"/>
      <c r="K42" s="83"/>
      <c r="L42" s="83"/>
      <c r="M42" s="83"/>
      <c r="N42" s="73"/>
      <c r="O42" s="150"/>
      <c r="P42" s="72"/>
      <c r="Q42" s="150"/>
      <c r="R42" s="405"/>
      <c r="S42" s="405"/>
      <c r="T42" s="405"/>
      <c r="U42" s="406"/>
      <c r="V42" s="406"/>
      <c r="W42" s="406"/>
      <c r="X42" s="405"/>
      <c r="Y42" s="405"/>
      <c r="Z42" s="405"/>
      <c r="AA42" s="405"/>
      <c r="AB42" s="405"/>
      <c r="AC42" s="405"/>
      <c r="AD42" s="405"/>
      <c r="AE42" s="405"/>
      <c r="AF42" s="405"/>
      <c r="AG42" s="405"/>
      <c r="AH42" s="405"/>
      <c r="AI42" s="405"/>
      <c r="AJ42" s="405"/>
      <c r="AK42" s="405"/>
      <c r="AL42" s="405"/>
      <c r="AM42" s="405"/>
      <c r="AN42" s="405"/>
      <c r="AO42" s="405"/>
      <c r="AP42" s="405"/>
      <c r="AQ42" s="405"/>
      <c r="AR42" s="405"/>
      <c r="AS42" s="405"/>
      <c r="AT42" s="405"/>
      <c r="AU42" s="405"/>
      <c r="AV42" s="405"/>
      <c r="AW42" s="405"/>
      <c r="AX42" s="405"/>
      <c r="AY42" s="406"/>
      <c r="AZ42" s="406"/>
      <c r="BA42" s="406"/>
      <c r="BB42" s="406"/>
      <c r="BC42" s="406"/>
      <c r="BD42" s="406"/>
      <c r="BE42" s="405"/>
      <c r="BF42" s="405"/>
      <c r="BG42" s="405"/>
      <c r="BH42" s="405"/>
      <c r="BI42" s="405"/>
      <c r="BJ42" s="405"/>
      <c r="BK42" s="407"/>
      <c r="BL42" s="407"/>
      <c r="BM42" s="407"/>
      <c r="BN42" s="408"/>
      <c r="BO42" s="408"/>
      <c r="BP42" s="408"/>
      <c r="BQ42" s="405"/>
      <c r="BR42" s="405"/>
      <c r="BS42" s="405"/>
      <c r="BT42" s="405"/>
      <c r="BU42" s="405"/>
      <c r="BV42" s="405"/>
      <c r="BW42" s="405"/>
      <c r="BX42" s="405"/>
      <c r="BY42" s="405"/>
      <c r="BZ42" s="405"/>
      <c r="CA42" s="405"/>
      <c r="CB42" s="409"/>
    </row>
    <row r="43" spans="1:80" ht="30" customHeight="1" x14ac:dyDescent="0.2">
      <c r="A43" s="42"/>
      <c r="B43" s="102">
        <v>28</v>
      </c>
      <c r="C43" s="103" t="s">
        <v>38</v>
      </c>
      <c r="D43" s="39"/>
      <c r="E43" s="39"/>
      <c r="F43" s="39"/>
      <c r="G43" s="39"/>
      <c r="H43" s="40"/>
      <c r="I43" s="39"/>
      <c r="J43" s="39"/>
      <c r="K43" s="90"/>
      <c r="L43" s="90"/>
      <c r="M43" s="90"/>
      <c r="N43" s="40"/>
      <c r="O43" s="40"/>
      <c r="P43" s="39"/>
      <c r="Q43" s="39"/>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2"/>
      <c r="AW43" s="412"/>
      <c r="AX43" s="412"/>
      <c r="AY43" s="412"/>
      <c r="AZ43" s="412"/>
      <c r="BA43" s="412"/>
      <c r="BB43" s="412"/>
      <c r="BC43" s="412"/>
      <c r="BD43" s="412"/>
      <c r="BE43" s="412"/>
      <c r="BF43" s="412"/>
      <c r="BG43" s="412"/>
      <c r="BH43" s="412"/>
      <c r="BI43" s="412"/>
      <c r="BJ43" s="412"/>
      <c r="BK43" s="413"/>
      <c r="BL43" s="413"/>
      <c r="BM43" s="413"/>
      <c r="BN43" s="412"/>
      <c r="BO43" s="412"/>
      <c r="BP43" s="412"/>
      <c r="BQ43" s="412"/>
      <c r="BR43" s="412"/>
      <c r="BS43" s="412"/>
      <c r="BT43" s="412"/>
      <c r="BU43" s="412"/>
      <c r="BV43" s="412"/>
      <c r="BW43" s="412"/>
      <c r="BX43" s="412"/>
      <c r="BY43" s="412"/>
      <c r="BZ43" s="417"/>
      <c r="CA43" s="417"/>
      <c r="CB43" s="417"/>
    </row>
    <row r="44" spans="1:80" ht="30" customHeight="1" x14ac:dyDescent="0.2">
      <c r="A44" s="42"/>
      <c r="B44" s="43"/>
      <c r="C44" s="533"/>
      <c r="D44" s="101"/>
      <c r="E44" s="400"/>
      <c r="F44" s="719"/>
      <c r="G44" s="534">
        <v>87</v>
      </c>
      <c r="H44" s="104" t="s">
        <v>87</v>
      </c>
      <c r="I44" s="105"/>
      <c r="J44" s="105"/>
      <c r="K44" s="106"/>
      <c r="L44" s="106"/>
      <c r="M44" s="106"/>
      <c r="N44" s="391"/>
      <c r="O44" s="391"/>
      <c r="P44" s="105"/>
      <c r="Q44" s="105"/>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418"/>
      <c r="AW44" s="418"/>
      <c r="AX44" s="418"/>
      <c r="AY44" s="418"/>
      <c r="AZ44" s="418"/>
      <c r="BA44" s="418"/>
      <c r="BB44" s="418"/>
      <c r="BC44" s="418"/>
      <c r="BD44" s="418"/>
      <c r="BE44" s="418"/>
      <c r="BF44" s="418"/>
      <c r="BG44" s="418"/>
      <c r="BH44" s="418"/>
      <c r="BI44" s="418"/>
      <c r="BJ44" s="418"/>
      <c r="BK44" s="419"/>
      <c r="BL44" s="419"/>
      <c r="BM44" s="419"/>
      <c r="BN44" s="418"/>
      <c r="BO44" s="418"/>
      <c r="BP44" s="418"/>
      <c r="BQ44" s="418"/>
      <c r="BR44" s="418"/>
      <c r="BS44" s="418"/>
      <c r="BT44" s="418"/>
      <c r="BU44" s="418"/>
      <c r="BV44" s="418"/>
      <c r="BW44" s="418"/>
      <c r="BX44" s="418"/>
      <c r="BY44" s="418"/>
      <c r="BZ44" s="420"/>
      <c r="CA44" s="420"/>
      <c r="CB44" s="420"/>
    </row>
    <row r="45" spans="1:80" ht="60" customHeight="1" x14ac:dyDescent="0.2">
      <c r="A45" s="42"/>
      <c r="B45" s="49"/>
      <c r="C45" s="883">
        <v>38</v>
      </c>
      <c r="D45" s="891" t="s">
        <v>53</v>
      </c>
      <c r="E45" s="883">
        <v>0</v>
      </c>
      <c r="F45" s="883">
        <v>2</v>
      </c>
      <c r="G45" s="49"/>
      <c r="H45" s="57">
        <v>257</v>
      </c>
      <c r="I45" s="729" t="s">
        <v>88</v>
      </c>
      <c r="J45" s="57">
        <v>0</v>
      </c>
      <c r="K45" s="107">
        <v>1</v>
      </c>
      <c r="L45" s="111">
        <v>0.75</v>
      </c>
      <c r="M45" s="884">
        <v>2017003630022</v>
      </c>
      <c r="N45" s="895" t="s">
        <v>44</v>
      </c>
      <c r="O45" s="895" t="s">
        <v>89</v>
      </c>
      <c r="P45" s="939" t="s">
        <v>952</v>
      </c>
      <c r="Q45" s="109" t="s">
        <v>52</v>
      </c>
      <c r="R45" s="401">
        <v>0</v>
      </c>
      <c r="S45" s="401"/>
      <c r="T45" s="401"/>
      <c r="U45" s="401">
        <v>0</v>
      </c>
      <c r="V45" s="401"/>
      <c r="W45" s="401"/>
      <c r="X45" s="401">
        <v>0</v>
      </c>
      <c r="Y45" s="401"/>
      <c r="Z45" s="401"/>
      <c r="AA45" s="401">
        <v>0</v>
      </c>
      <c r="AB45" s="401"/>
      <c r="AC45" s="401"/>
      <c r="AD45" s="401">
        <v>0</v>
      </c>
      <c r="AE45" s="401"/>
      <c r="AF45" s="401"/>
      <c r="AG45" s="401">
        <v>0</v>
      </c>
      <c r="AH45" s="401"/>
      <c r="AI45" s="401"/>
      <c r="AJ45" s="401">
        <v>0</v>
      </c>
      <c r="AK45" s="401"/>
      <c r="AL45" s="401"/>
      <c r="AM45" s="401"/>
      <c r="AN45" s="401"/>
      <c r="AO45" s="401"/>
      <c r="AP45" s="401"/>
      <c r="AQ45" s="401"/>
      <c r="AR45" s="401"/>
      <c r="AS45" s="401">
        <v>0</v>
      </c>
      <c r="AT45" s="401"/>
      <c r="AU45" s="401"/>
      <c r="AV45" s="401">
        <v>0</v>
      </c>
      <c r="AW45" s="401"/>
      <c r="AX45" s="401"/>
      <c r="AY45" s="401"/>
      <c r="AZ45" s="401"/>
      <c r="BA45" s="401"/>
      <c r="BB45" s="401"/>
      <c r="BC45" s="401"/>
      <c r="BD45" s="401"/>
      <c r="BE45" s="401">
        <v>0</v>
      </c>
      <c r="BF45" s="401"/>
      <c r="BG45" s="401"/>
      <c r="BH45" s="401">
        <v>0</v>
      </c>
      <c r="BI45" s="401"/>
      <c r="BJ45" s="401"/>
      <c r="BK45" s="672">
        <f>62000000+10000000-10000000+43920000</f>
        <v>105920000</v>
      </c>
      <c r="BL45" s="672">
        <v>80040000</v>
      </c>
      <c r="BM45" s="672">
        <v>56740000</v>
      </c>
      <c r="BN45" s="402"/>
      <c r="BO45" s="402"/>
      <c r="BP45" s="402"/>
      <c r="BQ45" s="401"/>
      <c r="BR45" s="403"/>
      <c r="BS45" s="403"/>
      <c r="BT45" s="403"/>
      <c r="BU45" s="403"/>
      <c r="BV45" s="403"/>
      <c r="BW45" s="403">
        <v>0</v>
      </c>
      <c r="BX45" s="403"/>
      <c r="BY45" s="403"/>
      <c r="BZ45" s="401">
        <f t="shared" ref="BZ45:CB60" si="16">R45+U45+X45+AA45+AD45+AG45+AJ45+AM45+AP45+AS45+AV45+AY45+BB45+BE45+BH45+BK45+BN45+BQ45+BT45+BW45</f>
        <v>105920000</v>
      </c>
      <c r="CA45" s="401">
        <f t="shared" si="16"/>
        <v>80040000</v>
      </c>
      <c r="CB45" s="401">
        <f t="shared" si="16"/>
        <v>56740000</v>
      </c>
    </row>
    <row r="46" spans="1:80" ht="81" customHeight="1" x14ac:dyDescent="0.2">
      <c r="A46" s="42"/>
      <c r="B46" s="49"/>
      <c r="C46" s="883"/>
      <c r="D46" s="891"/>
      <c r="E46" s="883"/>
      <c r="F46" s="883"/>
      <c r="G46" s="49"/>
      <c r="H46" s="57">
        <v>258</v>
      </c>
      <c r="I46" s="729" t="s">
        <v>91</v>
      </c>
      <c r="J46" s="57">
        <v>0</v>
      </c>
      <c r="K46" s="107">
        <v>1</v>
      </c>
      <c r="L46" s="111">
        <v>0.56000000000000005</v>
      </c>
      <c r="M46" s="885"/>
      <c r="N46" s="883"/>
      <c r="O46" s="883"/>
      <c r="P46" s="940"/>
      <c r="Q46" s="109" t="s">
        <v>52</v>
      </c>
      <c r="R46" s="401">
        <v>0</v>
      </c>
      <c r="S46" s="401"/>
      <c r="T46" s="401"/>
      <c r="U46" s="401">
        <v>0</v>
      </c>
      <c r="V46" s="401"/>
      <c r="W46" s="401"/>
      <c r="X46" s="401">
        <v>0</v>
      </c>
      <c r="Y46" s="401"/>
      <c r="Z46" s="401"/>
      <c r="AA46" s="401">
        <v>0</v>
      </c>
      <c r="AB46" s="401"/>
      <c r="AC46" s="401"/>
      <c r="AD46" s="401">
        <v>0</v>
      </c>
      <c r="AE46" s="401"/>
      <c r="AF46" s="401"/>
      <c r="AG46" s="401">
        <v>0</v>
      </c>
      <c r="AH46" s="401"/>
      <c r="AI46" s="401"/>
      <c r="AJ46" s="401">
        <v>0</v>
      </c>
      <c r="AK46" s="401"/>
      <c r="AL46" s="401"/>
      <c r="AM46" s="401"/>
      <c r="AN46" s="401"/>
      <c r="AO46" s="401"/>
      <c r="AP46" s="401"/>
      <c r="AQ46" s="401"/>
      <c r="AR46" s="401"/>
      <c r="AS46" s="401">
        <v>0</v>
      </c>
      <c r="AT46" s="401"/>
      <c r="AU46" s="401"/>
      <c r="AV46" s="401">
        <v>0</v>
      </c>
      <c r="AW46" s="401"/>
      <c r="AX46" s="401"/>
      <c r="AY46" s="401"/>
      <c r="AZ46" s="401"/>
      <c r="BA46" s="401"/>
      <c r="BB46" s="401"/>
      <c r="BC46" s="401"/>
      <c r="BD46" s="401"/>
      <c r="BE46" s="401">
        <v>0</v>
      </c>
      <c r="BF46" s="401"/>
      <c r="BG46" s="401"/>
      <c r="BH46" s="401">
        <v>0</v>
      </c>
      <c r="BI46" s="401"/>
      <c r="BJ46" s="401"/>
      <c r="BK46" s="672">
        <v>30000000</v>
      </c>
      <c r="BL46" s="672">
        <v>17000000</v>
      </c>
      <c r="BM46" s="672">
        <v>16000000</v>
      </c>
      <c r="BN46" s="402"/>
      <c r="BO46" s="402"/>
      <c r="BP46" s="402"/>
      <c r="BQ46" s="401">
        <v>0</v>
      </c>
      <c r="BR46" s="403"/>
      <c r="BS46" s="403"/>
      <c r="BT46" s="403"/>
      <c r="BU46" s="403"/>
      <c r="BV46" s="403"/>
      <c r="BW46" s="403">
        <v>0</v>
      </c>
      <c r="BX46" s="403"/>
      <c r="BY46" s="403"/>
      <c r="BZ46" s="401">
        <f t="shared" si="16"/>
        <v>30000000</v>
      </c>
      <c r="CA46" s="401">
        <f t="shared" si="16"/>
        <v>17000000</v>
      </c>
      <c r="CB46" s="401">
        <f t="shared" si="16"/>
        <v>16000000</v>
      </c>
    </row>
    <row r="47" spans="1:80" ht="76.5" customHeight="1" x14ac:dyDescent="0.2">
      <c r="A47" s="42"/>
      <c r="B47" s="49"/>
      <c r="C47" s="883"/>
      <c r="D47" s="891"/>
      <c r="E47" s="883"/>
      <c r="F47" s="883"/>
      <c r="G47" s="49"/>
      <c r="H47" s="57">
        <v>259</v>
      </c>
      <c r="I47" s="729" t="s">
        <v>92</v>
      </c>
      <c r="J47" s="44">
        <v>1</v>
      </c>
      <c r="K47" s="45">
        <v>1</v>
      </c>
      <c r="L47" s="110">
        <v>0.75</v>
      </c>
      <c r="M47" s="885"/>
      <c r="N47" s="883"/>
      <c r="O47" s="883"/>
      <c r="P47" s="940"/>
      <c r="Q47" s="109" t="s">
        <v>52</v>
      </c>
      <c r="R47" s="401">
        <v>0</v>
      </c>
      <c r="S47" s="401"/>
      <c r="T47" s="401"/>
      <c r="U47" s="401">
        <v>0</v>
      </c>
      <c r="V47" s="401"/>
      <c r="W47" s="401"/>
      <c r="X47" s="401">
        <v>0</v>
      </c>
      <c r="Y47" s="401"/>
      <c r="Z47" s="401"/>
      <c r="AA47" s="401">
        <v>0</v>
      </c>
      <c r="AB47" s="401"/>
      <c r="AC47" s="401"/>
      <c r="AD47" s="401">
        <v>0</v>
      </c>
      <c r="AE47" s="401"/>
      <c r="AF47" s="401"/>
      <c r="AG47" s="401">
        <v>0</v>
      </c>
      <c r="AH47" s="401"/>
      <c r="AI47" s="401"/>
      <c r="AJ47" s="401">
        <v>0</v>
      </c>
      <c r="AK47" s="401"/>
      <c r="AL47" s="401"/>
      <c r="AM47" s="401"/>
      <c r="AN47" s="401"/>
      <c r="AO47" s="401"/>
      <c r="AP47" s="401"/>
      <c r="AQ47" s="401"/>
      <c r="AR47" s="401"/>
      <c r="AS47" s="401">
        <v>0</v>
      </c>
      <c r="AT47" s="401"/>
      <c r="AU47" s="401"/>
      <c r="AV47" s="401">
        <v>0</v>
      </c>
      <c r="AW47" s="401"/>
      <c r="AX47" s="401"/>
      <c r="AY47" s="401"/>
      <c r="AZ47" s="401"/>
      <c r="BA47" s="401"/>
      <c r="BB47" s="401"/>
      <c r="BC47" s="401"/>
      <c r="BD47" s="401"/>
      <c r="BE47" s="401">
        <v>0</v>
      </c>
      <c r="BF47" s="401"/>
      <c r="BG47" s="401"/>
      <c r="BH47" s="401">
        <v>0</v>
      </c>
      <c r="BI47" s="401"/>
      <c r="BJ47" s="401"/>
      <c r="BK47" s="673">
        <v>9000000</v>
      </c>
      <c r="BL47" s="673"/>
      <c r="BM47" s="673"/>
      <c r="BN47" s="421"/>
      <c r="BO47" s="421"/>
      <c r="BP47" s="421"/>
      <c r="BQ47" s="401">
        <v>0</v>
      </c>
      <c r="BR47" s="403"/>
      <c r="BS47" s="403"/>
      <c r="BT47" s="403"/>
      <c r="BU47" s="403"/>
      <c r="BV47" s="403"/>
      <c r="BW47" s="403">
        <v>0</v>
      </c>
      <c r="BX47" s="403"/>
      <c r="BY47" s="403"/>
      <c r="BZ47" s="401">
        <f t="shared" si="16"/>
        <v>9000000</v>
      </c>
      <c r="CA47" s="401">
        <f t="shared" si="16"/>
        <v>0</v>
      </c>
      <c r="CB47" s="401">
        <f t="shared" si="16"/>
        <v>0</v>
      </c>
    </row>
    <row r="48" spans="1:80" ht="56.25" customHeight="1" x14ac:dyDescent="0.2">
      <c r="A48" s="42"/>
      <c r="B48" s="49"/>
      <c r="C48" s="883"/>
      <c r="D48" s="891"/>
      <c r="E48" s="883"/>
      <c r="F48" s="883"/>
      <c r="G48" s="49"/>
      <c r="H48" s="57">
        <v>263</v>
      </c>
      <c r="I48" s="729" t="s">
        <v>93</v>
      </c>
      <c r="J48" s="44">
        <v>1</v>
      </c>
      <c r="K48" s="45">
        <v>1</v>
      </c>
      <c r="L48" s="111">
        <v>0.52</v>
      </c>
      <c r="M48" s="885"/>
      <c r="N48" s="883"/>
      <c r="O48" s="883"/>
      <c r="P48" s="940"/>
      <c r="Q48" s="109" t="s">
        <v>52</v>
      </c>
      <c r="R48" s="401">
        <v>0</v>
      </c>
      <c r="S48" s="401"/>
      <c r="T48" s="401"/>
      <c r="U48" s="401">
        <v>0</v>
      </c>
      <c r="V48" s="401"/>
      <c r="W48" s="401"/>
      <c r="X48" s="401">
        <v>0</v>
      </c>
      <c r="Y48" s="401"/>
      <c r="Z48" s="401"/>
      <c r="AA48" s="401">
        <v>0</v>
      </c>
      <c r="AB48" s="401"/>
      <c r="AC48" s="401"/>
      <c r="AD48" s="401">
        <v>0</v>
      </c>
      <c r="AE48" s="401"/>
      <c r="AF48" s="401"/>
      <c r="AG48" s="401">
        <v>0</v>
      </c>
      <c r="AH48" s="401"/>
      <c r="AI48" s="401"/>
      <c r="AJ48" s="401">
        <v>0</v>
      </c>
      <c r="AK48" s="401"/>
      <c r="AL48" s="401"/>
      <c r="AM48" s="401"/>
      <c r="AN48" s="401"/>
      <c r="AO48" s="401"/>
      <c r="AP48" s="401"/>
      <c r="AQ48" s="401"/>
      <c r="AR48" s="401"/>
      <c r="AS48" s="401">
        <v>0</v>
      </c>
      <c r="AT48" s="401"/>
      <c r="AU48" s="401"/>
      <c r="AV48" s="401">
        <v>0</v>
      </c>
      <c r="AW48" s="401"/>
      <c r="AX48" s="401"/>
      <c r="AY48" s="401"/>
      <c r="AZ48" s="401"/>
      <c r="BA48" s="401"/>
      <c r="BB48" s="401"/>
      <c r="BC48" s="401"/>
      <c r="BD48" s="401"/>
      <c r="BE48" s="401">
        <v>0</v>
      </c>
      <c r="BF48" s="401"/>
      <c r="BG48" s="401"/>
      <c r="BH48" s="401">
        <v>0</v>
      </c>
      <c r="BI48" s="401"/>
      <c r="BJ48" s="401"/>
      <c r="BK48" s="673">
        <f>50000000+30000000+17520000</f>
        <v>97520000</v>
      </c>
      <c r="BL48" s="673">
        <v>52499983</v>
      </c>
      <c r="BM48" s="673"/>
      <c r="BN48" s="421"/>
      <c r="BO48" s="421"/>
      <c r="BP48" s="421"/>
      <c r="BQ48" s="401">
        <v>0</v>
      </c>
      <c r="BR48" s="403"/>
      <c r="BS48" s="403"/>
      <c r="BT48" s="403"/>
      <c r="BU48" s="403"/>
      <c r="BV48" s="403"/>
      <c r="BW48" s="403">
        <v>0</v>
      </c>
      <c r="BX48" s="403"/>
      <c r="BY48" s="403"/>
      <c r="BZ48" s="401">
        <f t="shared" si="16"/>
        <v>97520000</v>
      </c>
      <c r="CA48" s="401">
        <f t="shared" si="16"/>
        <v>52499983</v>
      </c>
      <c r="CB48" s="401">
        <f t="shared" si="16"/>
        <v>0</v>
      </c>
    </row>
    <row r="49" spans="1:80" ht="63.75" customHeight="1" x14ac:dyDescent="0.2">
      <c r="A49" s="42"/>
      <c r="B49" s="49"/>
      <c r="C49" s="898"/>
      <c r="D49" s="892"/>
      <c r="E49" s="898"/>
      <c r="F49" s="898"/>
      <c r="G49" s="49"/>
      <c r="H49" s="57">
        <v>261</v>
      </c>
      <c r="I49" s="729" t="s">
        <v>94</v>
      </c>
      <c r="J49" s="44">
        <v>1</v>
      </c>
      <c r="K49" s="45">
        <v>2</v>
      </c>
      <c r="L49" s="112">
        <v>1.5</v>
      </c>
      <c r="M49" s="886"/>
      <c r="N49" s="898"/>
      <c r="O49" s="898"/>
      <c r="P49" s="941"/>
      <c r="Q49" s="109" t="s">
        <v>52</v>
      </c>
      <c r="R49" s="401">
        <v>0</v>
      </c>
      <c r="S49" s="401"/>
      <c r="T49" s="401"/>
      <c r="U49" s="401">
        <v>0</v>
      </c>
      <c r="V49" s="401"/>
      <c r="W49" s="401"/>
      <c r="X49" s="401">
        <v>0</v>
      </c>
      <c r="Y49" s="401"/>
      <c r="Z49" s="401"/>
      <c r="AA49" s="401">
        <v>0</v>
      </c>
      <c r="AB49" s="401"/>
      <c r="AC49" s="401"/>
      <c r="AD49" s="401">
        <v>0</v>
      </c>
      <c r="AE49" s="401"/>
      <c r="AF49" s="401"/>
      <c r="AG49" s="401">
        <v>0</v>
      </c>
      <c r="AH49" s="401"/>
      <c r="AI49" s="401"/>
      <c r="AJ49" s="401">
        <v>0</v>
      </c>
      <c r="AK49" s="401"/>
      <c r="AL49" s="401"/>
      <c r="AM49" s="401"/>
      <c r="AN49" s="401"/>
      <c r="AO49" s="401"/>
      <c r="AP49" s="401"/>
      <c r="AQ49" s="401"/>
      <c r="AR49" s="401"/>
      <c r="AS49" s="401">
        <v>0</v>
      </c>
      <c r="AT49" s="401"/>
      <c r="AU49" s="401"/>
      <c r="AV49" s="401">
        <v>0</v>
      </c>
      <c r="AW49" s="401"/>
      <c r="AX49" s="401"/>
      <c r="AY49" s="401"/>
      <c r="AZ49" s="401"/>
      <c r="BA49" s="401"/>
      <c r="BB49" s="401"/>
      <c r="BC49" s="401"/>
      <c r="BD49" s="401"/>
      <c r="BE49" s="401">
        <v>0</v>
      </c>
      <c r="BF49" s="401"/>
      <c r="BG49" s="401"/>
      <c r="BH49" s="401">
        <v>0</v>
      </c>
      <c r="BI49" s="403"/>
      <c r="BJ49" s="403"/>
      <c r="BK49" s="674">
        <f>21000000+10000000+38560000</f>
        <v>69560000</v>
      </c>
      <c r="BL49" s="674">
        <v>30933333</v>
      </c>
      <c r="BM49" s="674">
        <v>16000000</v>
      </c>
      <c r="BN49" s="404"/>
      <c r="BO49" s="404"/>
      <c r="BP49" s="404"/>
      <c r="BQ49" s="401">
        <v>0</v>
      </c>
      <c r="BR49" s="403"/>
      <c r="BS49" s="403"/>
      <c r="BT49" s="403"/>
      <c r="BU49" s="403"/>
      <c r="BV49" s="403"/>
      <c r="BW49" s="403">
        <v>0</v>
      </c>
      <c r="BX49" s="403"/>
      <c r="BY49" s="403"/>
      <c r="BZ49" s="401">
        <f t="shared" si="16"/>
        <v>69560000</v>
      </c>
      <c r="CA49" s="401">
        <f t="shared" si="16"/>
        <v>30933333</v>
      </c>
      <c r="CB49" s="401">
        <f t="shared" si="16"/>
        <v>16000000</v>
      </c>
    </row>
    <row r="50" spans="1:80" ht="67.5" customHeight="1" x14ac:dyDescent="0.2">
      <c r="A50" s="42"/>
      <c r="B50" s="49"/>
      <c r="C50" s="713">
        <v>38</v>
      </c>
      <c r="D50" s="707" t="s">
        <v>53</v>
      </c>
      <c r="E50" s="57">
        <v>0</v>
      </c>
      <c r="F50" s="57">
        <v>2</v>
      </c>
      <c r="G50" s="49"/>
      <c r="H50" s="57">
        <v>262</v>
      </c>
      <c r="I50" s="729" t="s">
        <v>95</v>
      </c>
      <c r="J50" s="44">
        <v>1</v>
      </c>
      <c r="K50" s="45">
        <v>1</v>
      </c>
      <c r="L50" s="110">
        <v>0.62</v>
      </c>
      <c r="M50" s="46">
        <v>2017003630023</v>
      </c>
      <c r="N50" s="57" t="s">
        <v>44</v>
      </c>
      <c r="O50" s="57" t="s">
        <v>96</v>
      </c>
      <c r="P50" s="729" t="s">
        <v>953</v>
      </c>
      <c r="Q50" s="109" t="s">
        <v>52</v>
      </c>
      <c r="R50" s="401">
        <v>0</v>
      </c>
      <c r="S50" s="401"/>
      <c r="T50" s="401"/>
      <c r="U50" s="401">
        <v>0</v>
      </c>
      <c r="V50" s="401"/>
      <c r="W50" s="401"/>
      <c r="X50" s="401">
        <v>0</v>
      </c>
      <c r="Y50" s="401"/>
      <c r="Z50" s="401"/>
      <c r="AA50" s="401">
        <v>0</v>
      </c>
      <c r="AB50" s="401"/>
      <c r="AC50" s="401"/>
      <c r="AD50" s="401">
        <v>0</v>
      </c>
      <c r="AE50" s="401"/>
      <c r="AF50" s="401"/>
      <c r="AG50" s="401">
        <v>0</v>
      </c>
      <c r="AH50" s="401"/>
      <c r="AI50" s="401"/>
      <c r="AJ50" s="401">
        <v>0</v>
      </c>
      <c r="AK50" s="401"/>
      <c r="AL50" s="401"/>
      <c r="AM50" s="401"/>
      <c r="AN50" s="401"/>
      <c r="AO50" s="401"/>
      <c r="AP50" s="401"/>
      <c r="AQ50" s="401"/>
      <c r="AR50" s="401"/>
      <c r="AS50" s="401">
        <v>0</v>
      </c>
      <c r="AT50" s="401"/>
      <c r="AU50" s="401"/>
      <c r="AV50" s="401">
        <v>0</v>
      </c>
      <c r="AW50" s="401"/>
      <c r="AX50" s="401"/>
      <c r="AY50" s="401"/>
      <c r="AZ50" s="401"/>
      <c r="BA50" s="401"/>
      <c r="BB50" s="401"/>
      <c r="BC50" s="401"/>
      <c r="BD50" s="401"/>
      <c r="BE50" s="401">
        <v>0</v>
      </c>
      <c r="BF50" s="401"/>
      <c r="BG50" s="401"/>
      <c r="BH50" s="401">
        <v>0</v>
      </c>
      <c r="BI50" s="401"/>
      <c r="BJ50" s="401"/>
      <c r="BK50" s="672">
        <f>30000000+78000000</f>
        <v>108000000</v>
      </c>
      <c r="BL50" s="672">
        <v>67888000</v>
      </c>
      <c r="BM50" s="672">
        <v>44780000</v>
      </c>
      <c r="BN50" s="415"/>
      <c r="BO50" s="415"/>
      <c r="BP50" s="415"/>
      <c r="BQ50" s="401"/>
      <c r="BR50" s="403"/>
      <c r="BS50" s="403"/>
      <c r="BT50" s="403"/>
      <c r="BU50" s="403"/>
      <c r="BV50" s="403"/>
      <c r="BW50" s="403">
        <v>0</v>
      </c>
      <c r="BX50" s="403"/>
      <c r="BY50" s="403"/>
      <c r="BZ50" s="401">
        <f>R50+U50+X50+AA50+AD50+AG50+AJ50+AM50+AP50+AS50+AV50+AY50+BB50+BE50+BH50+BK50+BN50+BQ50+BT50+BW50</f>
        <v>108000000</v>
      </c>
      <c r="CA50" s="401">
        <f t="shared" si="16"/>
        <v>67888000</v>
      </c>
      <c r="CB50" s="401">
        <f t="shared" si="16"/>
        <v>44780000</v>
      </c>
    </row>
    <row r="51" spans="1:80" ht="60" x14ac:dyDescent="0.2">
      <c r="A51" s="42"/>
      <c r="B51" s="49"/>
      <c r="C51" s="713">
        <v>38</v>
      </c>
      <c r="D51" s="707" t="s">
        <v>53</v>
      </c>
      <c r="E51" s="57">
        <v>0</v>
      </c>
      <c r="F51" s="57">
        <v>2</v>
      </c>
      <c r="G51" s="49"/>
      <c r="H51" s="57">
        <v>264</v>
      </c>
      <c r="I51" s="729" t="s">
        <v>98</v>
      </c>
      <c r="J51" s="44">
        <v>0</v>
      </c>
      <c r="K51" s="45">
        <v>1</v>
      </c>
      <c r="L51" s="110">
        <v>0.6</v>
      </c>
      <c r="M51" s="46">
        <v>2017003630043</v>
      </c>
      <c r="N51" s="57" t="s">
        <v>44</v>
      </c>
      <c r="O51" s="57" t="s">
        <v>99</v>
      </c>
      <c r="P51" s="729" t="s">
        <v>954</v>
      </c>
      <c r="Q51" s="109" t="s">
        <v>52</v>
      </c>
      <c r="R51" s="401">
        <v>0</v>
      </c>
      <c r="S51" s="401"/>
      <c r="T51" s="401"/>
      <c r="U51" s="401">
        <v>0</v>
      </c>
      <c r="V51" s="401"/>
      <c r="W51" s="401"/>
      <c r="X51" s="401">
        <v>0</v>
      </c>
      <c r="Y51" s="401"/>
      <c r="Z51" s="401"/>
      <c r="AA51" s="401">
        <v>0</v>
      </c>
      <c r="AB51" s="401"/>
      <c r="AC51" s="401"/>
      <c r="AD51" s="401">
        <v>0</v>
      </c>
      <c r="AE51" s="401"/>
      <c r="AF51" s="401"/>
      <c r="AG51" s="401">
        <v>0</v>
      </c>
      <c r="AH51" s="401"/>
      <c r="AI51" s="401"/>
      <c r="AJ51" s="401">
        <v>0</v>
      </c>
      <c r="AK51" s="401"/>
      <c r="AL51" s="401"/>
      <c r="AM51" s="401"/>
      <c r="AN51" s="401"/>
      <c r="AO51" s="401"/>
      <c r="AP51" s="401"/>
      <c r="AQ51" s="401"/>
      <c r="AR51" s="401"/>
      <c r="AS51" s="401">
        <v>0</v>
      </c>
      <c r="AT51" s="401"/>
      <c r="AU51" s="401"/>
      <c r="AV51" s="401">
        <v>0</v>
      </c>
      <c r="AW51" s="401"/>
      <c r="AX51" s="401"/>
      <c r="AY51" s="401"/>
      <c r="AZ51" s="401"/>
      <c r="BA51" s="401"/>
      <c r="BB51" s="401"/>
      <c r="BC51" s="401"/>
      <c r="BD51" s="401"/>
      <c r="BE51" s="401">
        <v>0</v>
      </c>
      <c r="BF51" s="401"/>
      <c r="BG51" s="401"/>
      <c r="BH51" s="401">
        <v>0</v>
      </c>
      <c r="BI51" s="401"/>
      <c r="BJ51" s="401"/>
      <c r="BK51" s="672">
        <f>150000000+100000000-100000000</f>
        <v>150000000</v>
      </c>
      <c r="BL51" s="672"/>
      <c r="BM51" s="672"/>
      <c r="BN51" s="415"/>
      <c r="BO51" s="415"/>
      <c r="BP51" s="415"/>
      <c r="BQ51" s="401">
        <v>0</v>
      </c>
      <c r="BR51" s="403"/>
      <c r="BS51" s="403"/>
      <c r="BT51" s="403"/>
      <c r="BU51" s="403"/>
      <c r="BV51" s="403"/>
      <c r="BW51" s="403">
        <v>0</v>
      </c>
      <c r="BX51" s="403"/>
      <c r="BY51" s="403"/>
      <c r="BZ51" s="401">
        <f t="shared" ref="BZ51:CB62" si="17">R51+U51+X51+AA51+AD51+AG51+AJ51+AM51+AP51+AS51+AV51+AY51+BB51+BE51+BH51+BK51+BN51+BQ51+BT51+BW51</f>
        <v>150000000</v>
      </c>
      <c r="CA51" s="401">
        <f t="shared" si="16"/>
        <v>0</v>
      </c>
      <c r="CB51" s="401">
        <f t="shared" si="16"/>
        <v>0</v>
      </c>
    </row>
    <row r="52" spans="1:80" ht="60" x14ac:dyDescent="0.2">
      <c r="A52" s="42"/>
      <c r="B52" s="49"/>
      <c r="C52" s="713">
        <v>38</v>
      </c>
      <c r="D52" s="707" t="s">
        <v>53</v>
      </c>
      <c r="E52" s="57">
        <v>0</v>
      </c>
      <c r="F52" s="57">
        <v>2</v>
      </c>
      <c r="G52" s="49"/>
      <c r="H52" s="57">
        <v>265</v>
      </c>
      <c r="I52" s="729" t="s">
        <v>101</v>
      </c>
      <c r="J52" s="57">
        <v>0</v>
      </c>
      <c r="K52" s="107">
        <v>1</v>
      </c>
      <c r="L52" s="108">
        <v>0.6</v>
      </c>
      <c r="M52" s="46">
        <v>2017003630024</v>
      </c>
      <c r="N52" s="57" t="s">
        <v>102</v>
      </c>
      <c r="O52" s="57" t="s">
        <v>103</v>
      </c>
      <c r="P52" s="729" t="s">
        <v>955</v>
      </c>
      <c r="Q52" s="109" t="s">
        <v>52</v>
      </c>
      <c r="R52" s="401">
        <v>0</v>
      </c>
      <c r="S52" s="401"/>
      <c r="T52" s="401"/>
      <c r="U52" s="401">
        <v>0</v>
      </c>
      <c r="V52" s="401"/>
      <c r="W52" s="401"/>
      <c r="X52" s="401">
        <v>0</v>
      </c>
      <c r="Y52" s="401"/>
      <c r="Z52" s="401"/>
      <c r="AA52" s="401">
        <v>0</v>
      </c>
      <c r="AB52" s="401"/>
      <c r="AC52" s="401"/>
      <c r="AD52" s="401">
        <v>0</v>
      </c>
      <c r="AE52" s="401"/>
      <c r="AF52" s="401"/>
      <c r="AG52" s="401">
        <v>0</v>
      </c>
      <c r="AH52" s="401"/>
      <c r="AI52" s="401"/>
      <c r="AJ52" s="401">
        <v>0</v>
      </c>
      <c r="AK52" s="401"/>
      <c r="AL52" s="401"/>
      <c r="AM52" s="401"/>
      <c r="AN52" s="401"/>
      <c r="AO52" s="401"/>
      <c r="AP52" s="401"/>
      <c r="AQ52" s="401"/>
      <c r="AR52" s="401"/>
      <c r="AS52" s="401">
        <v>0</v>
      </c>
      <c r="AT52" s="401"/>
      <c r="AU52" s="401"/>
      <c r="AV52" s="401">
        <v>0</v>
      </c>
      <c r="AW52" s="401"/>
      <c r="AX52" s="401"/>
      <c r="AY52" s="401"/>
      <c r="AZ52" s="401"/>
      <c r="BA52" s="401"/>
      <c r="BB52" s="401"/>
      <c r="BC52" s="401"/>
      <c r="BD52" s="401"/>
      <c r="BE52" s="401">
        <v>0</v>
      </c>
      <c r="BF52" s="401"/>
      <c r="BG52" s="401"/>
      <c r="BH52" s="401">
        <v>0</v>
      </c>
      <c r="BI52" s="401"/>
      <c r="BJ52" s="401"/>
      <c r="BK52" s="672">
        <f>456500000+135000000</f>
        <v>591500000</v>
      </c>
      <c r="BL52" s="672">
        <v>375822215</v>
      </c>
      <c r="BM52" s="672">
        <v>271233328</v>
      </c>
      <c r="BN52" s="415"/>
      <c r="BO52" s="415"/>
      <c r="BP52" s="415"/>
      <c r="BQ52" s="401">
        <v>0</v>
      </c>
      <c r="BR52" s="403"/>
      <c r="BS52" s="403"/>
      <c r="BT52" s="403"/>
      <c r="BU52" s="403"/>
      <c r="BV52" s="403"/>
      <c r="BW52" s="403">
        <v>0</v>
      </c>
      <c r="BX52" s="403"/>
      <c r="BY52" s="403"/>
      <c r="BZ52" s="401">
        <f t="shared" si="17"/>
        <v>591500000</v>
      </c>
      <c r="CA52" s="401">
        <f t="shared" si="16"/>
        <v>375822215</v>
      </c>
      <c r="CB52" s="401">
        <f t="shared" si="16"/>
        <v>271233328</v>
      </c>
    </row>
    <row r="53" spans="1:80" ht="57.75" customHeight="1" x14ac:dyDescent="0.2">
      <c r="A53" s="42"/>
      <c r="B53" s="49"/>
      <c r="C53" s="57">
        <v>38</v>
      </c>
      <c r="D53" s="729" t="s">
        <v>53</v>
      </c>
      <c r="E53" s="57">
        <v>0</v>
      </c>
      <c r="F53" s="57">
        <v>2</v>
      </c>
      <c r="G53" s="49"/>
      <c r="H53" s="57">
        <v>266</v>
      </c>
      <c r="I53" s="729" t="s">
        <v>105</v>
      </c>
      <c r="J53" s="44">
        <v>1</v>
      </c>
      <c r="K53" s="45">
        <v>1</v>
      </c>
      <c r="L53" s="110">
        <v>0.81</v>
      </c>
      <c r="M53" s="46">
        <v>2017003630084</v>
      </c>
      <c r="N53" s="57" t="s">
        <v>44</v>
      </c>
      <c r="O53" s="57" t="s">
        <v>106</v>
      </c>
      <c r="P53" s="729" t="s">
        <v>956</v>
      </c>
      <c r="Q53" s="109" t="s">
        <v>52</v>
      </c>
      <c r="R53" s="401">
        <v>0</v>
      </c>
      <c r="S53" s="401"/>
      <c r="T53" s="401"/>
      <c r="U53" s="401">
        <v>0</v>
      </c>
      <c r="V53" s="401"/>
      <c r="W53" s="401"/>
      <c r="X53" s="401">
        <v>0</v>
      </c>
      <c r="Y53" s="401"/>
      <c r="Z53" s="401"/>
      <c r="AA53" s="401">
        <v>0</v>
      </c>
      <c r="AB53" s="401"/>
      <c r="AC53" s="401"/>
      <c r="AD53" s="401">
        <v>0</v>
      </c>
      <c r="AE53" s="401"/>
      <c r="AF53" s="401"/>
      <c r="AG53" s="401">
        <v>0</v>
      </c>
      <c r="AH53" s="401"/>
      <c r="AI53" s="401"/>
      <c r="AJ53" s="401">
        <v>0</v>
      </c>
      <c r="AK53" s="401"/>
      <c r="AL53" s="401"/>
      <c r="AM53" s="401"/>
      <c r="AN53" s="401"/>
      <c r="AO53" s="401"/>
      <c r="AP53" s="401"/>
      <c r="AQ53" s="401"/>
      <c r="AR53" s="401"/>
      <c r="AS53" s="401">
        <v>0</v>
      </c>
      <c r="AT53" s="401"/>
      <c r="AU53" s="401"/>
      <c r="AV53" s="401">
        <v>0</v>
      </c>
      <c r="AW53" s="401"/>
      <c r="AX53" s="401"/>
      <c r="AY53" s="401"/>
      <c r="AZ53" s="401"/>
      <c r="BA53" s="401"/>
      <c r="BB53" s="401"/>
      <c r="BC53" s="401"/>
      <c r="BD53" s="401"/>
      <c r="BE53" s="401">
        <v>0</v>
      </c>
      <c r="BF53" s="401"/>
      <c r="BG53" s="401"/>
      <c r="BH53" s="401">
        <v>0</v>
      </c>
      <c r="BI53" s="401"/>
      <c r="BJ53" s="401"/>
      <c r="BK53" s="672">
        <v>38500000</v>
      </c>
      <c r="BL53" s="672">
        <v>30420000</v>
      </c>
      <c r="BM53" s="672">
        <v>20280000</v>
      </c>
      <c r="BN53" s="415"/>
      <c r="BO53" s="415"/>
      <c r="BP53" s="415"/>
      <c r="BQ53" s="401">
        <v>0</v>
      </c>
      <c r="BR53" s="403"/>
      <c r="BS53" s="403"/>
      <c r="BT53" s="403"/>
      <c r="BU53" s="403"/>
      <c r="BV53" s="403"/>
      <c r="BW53" s="403">
        <v>0</v>
      </c>
      <c r="BX53" s="403"/>
      <c r="BY53" s="403"/>
      <c r="BZ53" s="401">
        <f t="shared" si="17"/>
        <v>38500000</v>
      </c>
      <c r="CA53" s="401">
        <f t="shared" si="16"/>
        <v>30420000</v>
      </c>
      <c r="CB53" s="401">
        <f t="shared" si="16"/>
        <v>20280000</v>
      </c>
    </row>
    <row r="54" spans="1:80" ht="84.75" customHeight="1" x14ac:dyDescent="0.2">
      <c r="A54" s="42"/>
      <c r="B54" s="49"/>
      <c r="C54" s="895">
        <v>38</v>
      </c>
      <c r="D54" s="890" t="s">
        <v>53</v>
      </c>
      <c r="E54" s="895">
        <v>0</v>
      </c>
      <c r="F54" s="895">
        <v>2</v>
      </c>
      <c r="G54" s="49"/>
      <c r="H54" s="57">
        <v>267</v>
      </c>
      <c r="I54" s="729" t="s">
        <v>957</v>
      </c>
      <c r="J54" s="44">
        <v>1</v>
      </c>
      <c r="K54" s="45">
        <v>1</v>
      </c>
      <c r="L54" s="112">
        <v>0.4</v>
      </c>
      <c r="M54" s="884">
        <v>2017003630025</v>
      </c>
      <c r="N54" s="895" t="s">
        <v>44</v>
      </c>
      <c r="O54" s="895" t="s">
        <v>108</v>
      </c>
      <c r="P54" s="890" t="s">
        <v>958</v>
      </c>
      <c r="Q54" s="109" t="s">
        <v>52</v>
      </c>
      <c r="R54" s="401">
        <v>0</v>
      </c>
      <c r="S54" s="401"/>
      <c r="T54" s="401"/>
      <c r="U54" s="401">
        <v>0</v>
      </c>
      <c r="V54" s="401"/>
      <c r="W54" s="401"/>
      <c r="X54" s="401">
        <v>0</v>
      </c>
      <c r="Y54" s="401"/>
      <c r="Z54" s="401"/>
      <c r="AA54" s="401">
        <v>0</v>
      </c>
      <c r="AB54" s="401"/>
      <c r="AC54" s="401"/>
      <c r="AD54" s="401">
        <v>0</v>
      </c>
      <c r="AE54" s="401"/>
      <c r="AF54" s="401"/>
      <c r="AG54" s="401">
        <v>0</v>
      </c>
      <c r="AH54" s="401"/>
      <c r="AI54" s="401"/>
      <c r="AJ54" s="401">
        <v>0</v>
      </c>
      <c r="AK54" s="401"/>
      <c r="AL54" s="401"/>
      <c r="AM54" s="401"/>
      <c r="AN54" s="401"/>
      <c r="AO54" s="401"/>
      <c r="AP54" s="401"/>
      <c r="AQ54" s="401"/>
      <c r="AR54" s="401"/>
      <c r="AS54" s="401">
        <v>0</v>
      </c>
      <c r="AT54" s="401"/>
      <c r="AU54" s="401"/>
      <c r="AV54" s="401">
        <v>0</v>
      </c>
      <c r="AW54" s="401"/>
      <c r="AX54" s="401"/>
      <c r="AY54" s="401"/>
      <c r="AZ54" s="401"/>
      <c r="BA54" s="401"/>
      <c r="BB54" s="401"/>
      <c r="BC54" s="401"/>
      <c r="BD54" s="401"/>
      <c r="BE54" s="401">
        <v>0</v>
      </c>
      <c r="BF54" s="401"/>
      <c r="BG54" s="401"/>
      <c r="BH54" s="401">
        <v>0</v>
      </c>
      <c r="BI54" s="401"/>
      <c r="BJ54" s="401"/>
      <c r="BK54" s="672">
        <f>10000000</f>
        <v>10000000</v>
      </c>
      <c r="BL54" s="672">
        <v>4000000</v>
      </c>
      <c r="BM54" s="672">
        <v>314000</v>
      </c>
      <c r="BN54" s="402"/>
      <c r="BO54" s="402"/>
      <c r="BP54" s="402"/>
      <c r="BQ54" s="401">
        <v>0</v>
      </c>
      <c r="BR54" s="403"/>
      <c r="BS54" s="403"/>
      <c r="BT54" s="403"/>
      <c r="BU54" s="403"/>
      <c r="BV54" s="403"/>
      <c r="BW54" s="403">
        <v>0</v>
      </c>
      <c r="BX54" s="403"/>
      <c r="BY54" s="403"/>
      <c r="BZ54" s="401">
        <f t="shared" si="17"/>
        <v>10000000</v>
      </c>
      <c r="CA54" s="401">
        <f t="shared" si="16"/>
        <v>4000000</v>
      </c>
      <c r="CB54" s="401">
        <f t="shared" si="16"/>
        <v>314000</v>
      </c>
    </row>
    <row r="55" spans="1:80" ht="96" customHeight="1" x14ac:dyDescent="0.2">
      <c r="A55" s="42"/>
      <c r="B55" s="49"/>
      <c r="C55" s="883"/>
      <c r="D55" s="891"/>
      <c r="E55" s="883"/>
      <c r="F55" s="883"/>
      <c r="G55" s="49"/>
      <c r="H55" s="57">
        <v>268</v>
      </c>
      <c r="I55" s="729" t="s">
        <v>959</v>
      </c>
      <c r="J55" s="44">
        <v>12</v>
      </c>
      <c r="K55" s="45">
        <v>12</v>
      </c>
      <c r="L55" s="45">
        <v>12</v>
      </c>
      <c r="M55" s="885"/>
      <c r="N55" s="883"/>
      <c r="O55" s="883"/>
      <c r="P55" s="891"/>
      <c r="Q55" s="109" t="s">
        <v>52</v>
      </c>
      <c r="R55" s="401">
        <v>0</v>
      </c>
      <c r="S55" s="401"/>
      <c r="T55" s="401"/>
      <c r="U55" s="401">
        <v>0</v>
      </c>
      <c r="V55" s="401"/>
      <c r="W55" s="401"/>
      <c r="X55" s="401">
        <v>0</v>
      </c>
      <c r="Y55" s="401"/>
      <c r="Z55" s="401"/>
      <c r="AA55" s="401">
        <v>0</v>
      </c>
      <c r="AB55" s="401"/>
      <c r="AC55" s="401"/>
      <c r="AD55" s="401">
        <v>0</v>
      </c>
      <c r="AE55" s="401"/>
      <c r="AF55" s="401"/>
      <c r="AG55" s="401">
        <v>0</v>
      </c>
      <c r="AH55" s="401"/>
      <c r="AI55" s="401"/>
      <c r="AJ55" s="401">
        <v>0</v>
      </c>
      <c r="AK55" s="401"/>
      <c r="AL55" s="401"/>
      <c r="AM55" s="401"/>
      <c r="AN55" s="401"/>
      <c r="AO55" s="401"/>
      <c r="AP55" s="401"/>
      <c r="AQ55" s="401"/>
      <c r="AR55" s="401"/>
      <c r="AS55" s="401">
        <v>0</v>
      </c>
      <c r="AT55" s="401"/>
      <c r="AU55" s="401"/>
      <c r="AV55" s="401">
        <v>0</v>
      </c>
      <c r="AW55" s="401"/>
      <c r="AX55" s="401"/>
      <c r="AY55" s="401"/>
      <c r="AZ55" s="401"/>
      <c r="BA55" s="401"/>
      <c r="BB55" s="401"/>
      <c r="BC55" s="401"/>
      <c r="BD55" s="401"/>
      <c r="BE55" s="401">
        <v>0</v>
      </c>
      <c r="BF55" s="401"/>
      <c r="BG55" s="401"/>
      <c r="BH55" s="401">
        <v>0</v>
      </c>
      <c r="BI55" s="401"/>
      <c r="BJ55" s="401"/>
      <c r="BK55" s="672">
        <f>21000000+9000000+40000000</f>
        <v>70000000</v>
      </c>
      <c r="BL55" s="672">
        <v>21120000</v>
      </c>
      <c r="BM55" s="672">
        <v>7840000</v>
      </c>
      <c r="BN55" s="402"/>
      <c r="BO55" s="402"/>
      <c r="BP55" s="402"/>
      <c r="BQ55" s="401">
        <v>0</v>
      </c>
      <c r="BR55" s="403"/>
      <c r="BS55" s="403"/>
      <c r="BT55" s="403"/>
      <c r="BU55" s="403"/>
      <c r="BV55" s="403"/>
      <c r="BW55" s="403">
        <v>0</v>
      </c>
      <c r="BX55" s="403"/>
      <c r="BY55" s="403"/>
      <c r="BZ55" s="401">
        <f t="shared" si="17"/>
        <v>70000000</v>
      </c>
      <c r="CA55" s="401">
        <f t="shared" si="16"/>
        <v>21120000</v>
      </c>
      <c r="CB55" s="401">
        <f t="shared" si="16"/>
        <v>7840000</v>
      </c>
    </row>
    <row r="56" spans="1:80" ht="90.75" customHeight="1" x14ac:dyDescent="0.2">
      <c r="A56" s="42"/>
      <c r="B56" s="49"/>
      <c r="C56" s="883"/>
      <c r="D56" s="891"/>
      <c r="E56" s="883"/>
      <c r="F56" s="883"/>
      <c r="G56" s="49"/>
      <c r="H56" s="57">
        <v>269</v>
      </c>
      <c r="I56" s="729" t="s">
        <v>110</v>
      </c>
      <c r="J56" s="44">
        <v>12</v>
      </c>
      <c r="K56" s="45">
        <v>12</v>
      </c>
      <c r="L56" s="45">
        <v>12</v>
      </c>
      <c r="M56" s="885"/>
      <c r="N56" s="883"/>
      <c r="O56" s="883"/>
      <c r="P56" s="891"/>
      <c r="Q56" s="109" t="s">
        <v>52</v>
      </c>
      <c r="R56" s="401">
        <v>0</v>
      </c>
      <c r="S56" s="401"/>
      <c r="T56" s="401"/>
      <c r="U56" s="401">
        <v>0</v>
      </c>
      <c r="V56" s="401"/>
      <c r="W56" s="401"/>
      <c r="X56" s="401">
        <v>0</v>
      </c>
      <c r="Y56" s="401"/>
      <c r="Z56" s="401"/>
      <c r="AA56" s="401">
        <v>0</v>
      </c>
      <c r="AB56" s="401"/>
      <c r="AC56" s="401"/>
      <c r="AD56" s="401">
        <v>0</v>
      </c>
      <c r="AE56" s="401"/>
      <c r="AF56" s="401"/>
      <c r="AG56" s="401">
        <v>0</v>
      </c>
      <c r="AH56" s="401"/>
      <c r="AI56" s="401"/>
      <c r="AJ56" s="401">
        <v>0</v>
      </c>
      <c r="AK56" s="401"/>
      <c r="AL56" s="401"/>
      <c r="AM56" s="401"/>
      <c r="AN56" s="401"/>
      <c r="AO56" s="401"/>
      <c r="AP56" s="401"/>
      <c r="AQ56" s="401"/>
      <c r="AR56" s="401"/>
      <c r="AS56" s="401">
        <v>0</v>
      </c>
      <c r="AT56" s="401"/>
      <c r="AU56" s="401"/>
      <c r="AV56" s="401">
        <v>0</v>
      </c>
      <c r="AW56" s="401"/>
      <c r="AX56" s="401"/>
      <c r="AY56" s="401"/>
      <c r="AZ56" s="401"/>
      <c r="BA56" s="401"/>
      <c r="BB56" s="401"/>
      <c r="BC56" s="401"/>
      <c r="BD56" s="401"/>
      <c r="BE56" s="401">
        <v>0</v>
      </c>
      <c r="BF56" s="401"/>
      <c r="BG56" s="401"/>
      <c r="BH56" s="401">
        <v>0</v>
      </c>
      <c r="BI56" s="401"/>
      <c r="BJ56" s="401"/>
      <c r="BK56" s="672">
        <f>21000000+9000000</f>
        <v>30000000</v>
      </c>
      <c r="BL56" s="672">
        <v>21000000</v>
      </c>
      <c r="BM56" s="672">
        <v>21000000</v>
      </c>
      <c r="BN56" s="402"/>
      <c r="BO56" s="402"/>
      <c r="BP56" s="402"/>
      <c r="BQ56" s="401">
        <v>0</v>
      </c>
      <c r="BR56" s="403"/>
      <c r="BS56" s="403"/>
      <c r="BT56" s="403"/>
      <c r="BU56" s="403"/>
      <c r="BV56" s="403"/>
      <c r="BW56" s="403">
        <v>0</v>
      </c>
      <c r="BX56" s="403"/>
      <c r="BY56" s="403"/>
      <c r="BZ56" s="401">
        <f t="shared" si="17"/>
        <v>30000000</v>
      </c>
      <c r="CA56" s="401">
        <f t="shared" si="16"/>
        <v>21000000</v>
      </c>
      <c r="CB56" s="401">
        <f t="shared" si="16"/>
        <v>21000000</v>
      </c>
    </row>
    <row r="57" spans="1:80" ht="90.75" customHeight="1" x14ac:dyDescent="0.2">
      <c r="A57" s="42"/>
      <c r="B57" s="49"/>
      <c r="C57" s="883"/>
      <c r="D57" s="891"/>
      <c r="E57" s="883"/>
      <c r="F57" s="883"/>
      <c r="G57" s="49"/>
      <c r="H57" s="57">
        <v>270</v>
      </c>
      <c r="I57" s="729" t="s">
        <v>111</v>
      </c>
      <c r="J57" s="44" t="s">
        <v>43</v>
      </c>
      <c r="K57" s="45">
        <v>12</v>
      </c>
      <c r="L57" s="45">
        <v>8</v>
      </c>
      <c r="M57" s="885"/>
      <c r="N57" s="883"/>
      <c r="O57" s="883"/>
      <c r="P57" s="891"/>
      <c r="Q57" s="109" t="s">
        <v>52</v>
      </c>
      <c r="R57" s="401">
        <v>0</v>
      </c>
      <c r="S57" s="401"/>
      <c r="T57" s="401"/>
      <c r="U57" s="401">
        <v>0</v>
      </c>
      <c r="V57" s="401"/>
      <c r="W57" s="401"/>
      <c r="X57" s="401">
        <v>0</v>
      </c>
      <c r="Y57" s="401"/>
      <c r="Z57" s="401"/>
      <c r="AA57" s="401">
        <v>0</v>
      </c>
      <c r="AB57" s="401"/>
      <c r="AC57" s="401"/>
      <c r="AD57" s="401">
        <v>0</v>
      </c>
      <c r="AE57" s="401"/>
      <c r="AF57" s="401"/>
      <c r="AG57" s="401">
        <v>0</v>
      </c>
      <c r="AH57" s="401"/>
      <c r="AI57" s="401"/>
      <c r="AJ57" s="401">
        <v>0</v>
      </c>
      <c r="AK57" s="401"/>
      <c r="AL57" s="401"/>
      <c r="AM57" s="401"/>
      <c r="AN57" s="401"/>
      <c r="AO57" s="401"/>
      <c r="AP57" s="401"/>
      <c r="AQ57" s="401"/>
      <c r="AR57" s="401"/>
      <c r="AS57" s="401">
        <v>0</v>
      </c>
      <c r="AT57" s="401"/>
      <c r="AU57" s="401"/>
      <c r="AV57" s="401">
        <v>0</v>
      </c>
      <c r="AW57" s="401"/>
      <c r="AX57" s="401"/>
      <c r="AY57" s="401"/>
      <c r="AZ57" s="401"/>
      <c r="BA57" s="401"/>
      <c r="BB57" s="401"/>
      <c r="BC57" s="401"/>
      <c r="BD57" s="401"/>
      <c r="BE57" s="401">
        <v>0</v>
      </c>
      <c r="BF57" s="401"/>
      <c r="BG57" s="401"/>
      <c r="BH57" s="401">
        <v>0</v>
      </c>
      <c r="BI57" s="401"/>
      <c r="BJ57" s="401"/>
      <c r="BK57" s="672">
        <v>21000000</v>
      </c>
      <c r="BL57" s="672">
        <v>12550000</v>
      </c>
      <c r="BM57" s="672">
        <v>5790000</v>
      </c>
      <c r="BN57" s="402"/>
      <c r="BO57" s="402"/>
      <c r="BP57" s="402"/>
      <c r="BQ57" s="401">
        <v>0</v>
      </c>
      <c r="BR57" s="403"/>
      <c r="BS57" s="403"/>
      <c r="BT57" s="403"/>
      <c r="BU57" s="403"/>
      <c r="BV57" s="403"/>
      <c r="BW57" s="403">
        <v>0</v>
      </c>
      <c r="BX57" s="403"/>
      <c r="BY57" s="403"/>
      <c r="BZ57" s="401">
        <f t="shared" si="17"/>
        <v>21000000</v>
      </c>
      <c r="CA57" s="401">
        <f t="shared" si="16"/>
        <v>12550000</v>
      </c>
      <c r="CB57" s="401">
        <f t="shared" si="16"/>
        <v>5790000</v>
      </c>
    </row>
    <row r="58" spans="1:80" ht="90.75" customHeight="1" x14ac:dyDescent="0.2">
      <c r="A58" s="42"/>
      <c r="B58" s="49"/>
      <c r="C58" s="883"/>
      <c r="D58" s="891"/>
      <c r="E58" s="883"/>
      <c r="F58" s="883"/>
      <c r="G58" s="49"/>
      <c r="H58" s="57">
        <v>271</v>
      </c>
      <c r="I58" s="729" t="s">
        <v>112</v>
      </c>
      <c r="J58" s="44">
        <v>12</v>
      </c>
      <c r="K58" s="45">
        <v>12</v>
      </c>
      <c r="L58" s="45">
        <v>12</v>
      </c>
      <c r="M58" s="885"/>
      <c r="N58" s="883"/>
      <c r="O58" s="883"/>
      <c r="P58" s="891"/>
      <c r="Q58" s="109" t="s">
        <v>52</v>
      </c>
      <c r="R58" s="401">
        <v>0</v>
      </c>
      <c r="S58" s="401"/>
      <c r="T58" s="401"/>
      <c r="U58" s="401">
        <v>0</v>
      </c>
      <c r="V58" s="401"/>
      <c r="W58" s="401"/>
      <c r="X58" s="401">
        <v>0</v>
      </c>
      <c r="Y58" s="401"/>
      <c r="Z58" s="401"/>
      <c r="AA58" s="401">
        <v>0</v>
      </c>
      <c r="AB58" s="401"/>
      <c r="AC58" s="401"/>
      <c r="AD58" s="401">
        <v>0</v>
      </c>
      <c r="AE58" s="401"/>
      <c r="AF58" s="401"/>
      <c r="AG58" s="401">
        <v>0</v>
      </c>
      <c r="AH58" s="401"/>
      <c r="AI58" s="401"/>
      <c r="AJ58" s="401">
        <v>0</v>
      </c>
      <c r="AK58" s="401"/>
      <c r="AL58" s="401"/>
      <c r="AM58" s="401"/>
      <c r="AN58" s="401"/>
      <c r="AO58" s="401"/>
      <c r="AP58" s="401"/>
      <c r="AQ58" s="401"/>
      <c r="AR58" s="401"/>
      <c r="AS58" s="401">
        <v>0</v>
      </c>
      <c r="AT58" s="401"/>
      <c r="AU58" s="401"/>
      <c r="AV58" s="401">
        <v>0</v>
      </c>
      <c r="AW58" s="401"/>
      <c r="AX58" s="401"/>
      <c r="AY58" s="401"/>
      <c r="AZ58" s="401"/>
      <c r="BA58" s="401"/>
      <c r="BB58" s="401"/>
      <c r="BC58" s="401"/>
      <c r="BD58" s="401"/>
      <c r="BE58" s="401">
        <v>0</v>
      </c>
      <c r="BF58" s="401"/>
      <c r="BG58" s="401"/>
      <c r="BH58" s="401">
        <v>0</v>
      </c>
      <c r="BI58" s="401"/>
      <c r="BJ58" s="401"/>
      <c r="BK58" s="672">
        <v>38500000</v>
      </c>
      <c r="BL58" s="672">
        <v>38500000</v>
      </c>
      <c r="BM58" s="672">
        <v>28360000</v>
      </c>
      <c r="BN58" s="402"/>
      <c r="BO58" s="402"/>
      <c r="BP58" s="402"/>
      <c r="BQ58" s="401">
        <v>0</v>
      </c>
      <c r="BR58" s="403"/>
      <c r="BS58" s="403"/>
      <c r="BT58" s="403"/>
      <c r="BU58" s="403"/>
      <c r="BV58" s="403"/>
      <c r="BW58" s="403">
        <v>0</v>
      </c>
      <c r="BX58" s="403"/>
      <c r="BY58" s="403"/>
      <c r="BZ58" s="401">
        <f t="shared" si="17"/>
        <v>38500000</v>
      </c>
      <c r="CA58" s="401">
        <f t="shared" si="16"/>
        <v>38500000</v>
      </c>
      <c r="CB58" s="401">
        <f t="shared" si="16"/>
        <v>28360000</v>
      </c>
    </row>
    <row r="59" spans="1:80" ht="90.75" customHeight="1" x14ac:dyDescent="0.2">
      <c r="A59" s="42"/>
      <c r="B59" s="49"/>
      <c r="C59" s="883"/>
      <c r="D59" s="891"/>
      <c r="E59" s="883"/>
      <c r="F59" s="883"/>
      <c r="G59" s="49"/>
      <c r="H59" s="57">
        <v>272</v>
      </c>
      <c r="I59" s="729" t="s">
        <v>113</v>
      </c>
      <c r="J59" s="44" t="s">
        <v>43</v>
      </c>
      <c r="K59" s="45">
        <v>12</v>
      </c>
      <c r="L59" s="45">
        <v>12</v>
      </c>
      <c r="M59" s="885"/>
      <c r="N59" s="883"/>
      <c r="O59" s="883"/>
      <c r="P59" s="891"/>
      <c r="Q59" s="109" t="s">
        <v>52</v>
      </c>
      <c r="R59" s="401">
        <v>0</v>
      </c>
      <c r="S59" s="401"/>
      <c r="T59" s="401"/>
      <c r="U59" s="401">
        <v>0</v>
      </c>
      <c r="V59" s="401"/>
      <c r="W59" s="401"/>
      <c r="X59" s="401">
        <v>0</v>
      </c>
      <c r="Y59" s="401"/>
      <c r="Z59" s="401"/>
      <c r="AA59" s="401">
        <v>0</v>
      </c>
      <c r="AB59" s="401"/>
      <c r="AC59" s="401"/>
      <c r="AD59" s="401">
        <v>0</v>
      </c>
      <c r="AE59" s="401"/>
      <c r="AF59" s="401"/>
      <c r="AG59" s="401">
        <v>0</v>
      </c>
      <c r="AH59" s="401"/>
      <c r="AI59" s="401"/>
      <c r="AJ59" s="401">
        <v>0</v>
      </c>
      <c r="AK59" s="401"/>
      <c r="AL59" s="401"/>
      <c r="AM59" s="401"/>
      <c r="AN59" s="401"/>
      <c r="AO59" s="401"/>
      <c r="AP59" s="401"/>
      <c r="AQ59" s="401"/>
      <c r="AR59" s="401"/>
      <c r="AS59" s="401">
        <v>0</v>
      </c>
      <c r="AT59" s="401"/>
      <c r="AU59" s="401"/>
      <c r="AV59" s="401">
        <v>0</v>
      </c>
      <c r="AW59" s="401"/>
      <c r="AX59" s="401"/>
      <c r="AY59" s="401"/>
      <c r="AZ59" s="401"/>
      <c r="BA59" s="401"/>
      <c r="BB59" s="401"/>
      <c r="BC59" s="401"/>
      <c r="BD59" s="401"/>
      <c r="BE59" s="401">
        <v>0</v>
      </c>
      <c r="BF59" s="401"/>
      <c r="BG59" s="401"/>
      <c r="BH59" s="401">
        <v>0</v>
      </c>
      <c r="BI59" s="401"/>
      <c r="BJ59" s="401"/>
      <c r="BK59" s="672">
        <v>38500000</v>
      </c>
      <c r="BL59" s="672">
        <v>31740000</v>
      </c>
      <c r="BM59" s="672">
        <v>24980000</v>
      </c>
      <c r="BN59" s="402"/>
      <c r="BO59" s="402"/>
      <c r="BP59" s="402"/>
      <c r="BQ59" s="401">
        <v>0</v>
      </c>
      <c r="BR59" s="403"/>
      <c r="BS59" s="403"/>
      <c r="BT59" s="403"/>
      <c r="BU59" s="403"/>
      <c r="BV59" s="403"/>
      <c r="BW59" s="403">
        <v>0</v>
      </c>
      <c r="BX59" s="403"/>
      <c r="BY59" s="403"/>
      <c r="BZ59" s="401">
        <f t="shared" si="17"/>
        <v>38500000</v>
      </c>
      <c r="CA59" s="401">
        <f t="shared" si="16"/>
        <v>31740000</v>
      </c>
      <c r="CB59" s="401">
        <f t="shared" si="16"/>
        <v>24980000</v>
      </c>
    </row>
    <row r="60" spans="1:80" ht="90.75" customHeight="1" x14ac:dyDescent="0.2">
      <c r="A60" s="42"/>
      <c r="B60" s="49"/>
      <c r="C60" s="883"/>
      <c r="D60" s="891"/>
      <c r="E60" s="883"/>
      <c r="F60" s="883"/>
      <c r="G60" s="49"/>
      <c r="H60" s="57">
        <v>273</v>
      </c>
      <c r="I60" s="729" t="s">
        <v>114</v>
      </c>
      <c r="J60" s="44">
        <v>12</v>
      </c>
      <c r="K60" s="45">
        <v>12</v>
      </c>
      <c r="L60" s="45">
        <v>12</v>
      </c>
      <c r="M60" s="885"/>
      <c r="N60" s="883"/>
      <c r="O60" s="883"/>
      <c r="P60" s="891"/>
      <c r="Q60" s="109" t="s">
        <v>52</v>
      </c>
      <c r="R60" s="401">
        <v>0</v>
      </c>
      <c r="S60" s="401"/>
      <c r="T60" s="401"/>
      <c r="U60" s="401">
        <v>0</v>
      </c>
      <c r="V60" s="401"/>
      <c r="W60" s="401"/>
      <c r="X60" s="401">
        <v>0</v>
      </c>
      <c r="Y60" s="401"/>
      <c r="Z60" s="401"/>
      <c r="AA60" s="401">
        <v>0</v>
      </c>
      <c r="AB60" s="401"/>
      <c r="AC60" s="401"/>
      <c r="AD60" s="401">
        <v>0</v>
      </c>
      <c r="AE60" s="401"/>
      <c r="AF60" s="401"/>
      <c r="AG60" s="401">
        <v>0</v>
      </c>
      <c r="AH60" s="401"/>
      <c r="AI60" s="401"/>
      <c r="AJ60" s="401">
        <v>0</v>
      </c>
      <c r="AK60" s="401"/>
      <c r="AL60" s="401"/>
      <c r="AM60" s="401"/>
      <c r="AN60" s="401"/>
      <c r="AO60" s="401"/>
      <c r="AP60" s="401"/>
      <c r="AQ60" s="401"/>
      <c r="AR60" s="401"/>
      <c r="AS60" s="401">
        <v>0</v>
      </c>
      <c r="AT60" s="401"/>
      <c r="AU60" s="401"/>
      <c r="AV60" s="401">
        <v>0</v>
      </c>
      <c r="AW60" s="401"/>
      <c r="AX60" s="401"/>
      <c r="AY60" s="401"/>
      <c r="AZ60" s="401"/>
      <c r="BA60" s="401"/>
      <c r="BB60" s="401"/>
      <c r="BC60" s="401"/>
      <c r="BD60" s="401"/>
      <c r="BE60" s="401">
        <v>0</v>
      </c>
      <c r="BF60" s="401"/>
      <c r="BG60" s="401"/>
      <c r="BH60" s="401">
        <v>0</v>
      </c>
      <c r="BI60" s="401"/>
      <c r="BJ60" s="401"/>
      <c r="BK60" s="672">
        <v>2000000</v>
      </c>
      <c r="BL60" s="672">
        <v>2000000</v>
      </c>
      <c r="BM60" s="672">
        <v>2000000</v>
      </c>
      <c r="BN60" s="402"/>
      <c r="BO60" s="402"/>
      <c r="BP60" s="402"/>
      <c r="BQ60" s="401">
        <v>0</v>
      </c>
      <c r="BR60" s="403"/>
      <c r="BS60" s="403"/>
      <c r="BT60" s="403"/>
      <c r="BU60" s="403"/>
      <c r="BV60" s="403"/>
      <c r="BW60" s="403">
        <v>0</v>
      </c>
      <c r="BX60" s="403"/>
      <c r="BY60" s="403"/>
      <c r="BZ60" s="401">
        <f t="shared" si="17"/>
        <v>2000000</v>
      </c>
      <c r="CA60" s="401">
        <f t="shared" si="16"/>
        <v>2000000</v>
      </c>
      <c r="CB60" s="401">
        <f t="shared" si="16"/>
        <v>2000000</v>
      </c>
    </row>
    <row r="61" spans="1:80" ht="90.75" customHeight="1" x14ac:dyDescent="0.2">
      <c r="A61" s="42"/>
      <c r="B61" s="49"/>
      <c r="C61" s="883"/>
      <c r="D61" s="891"/>
      <c r="E61" s="883"/>
      <c r="F61" s="883"/>
      <c r="G61" s="49"/>
      <c r="H61" s="57">
        <v>274</v>
      </c>
      <c r="I61" s="729" t="s">
        <v>115</v>
      </c>
      <c r="J61" s="44" t="s">
        <v>43</v>
      </c>
      <c r="K61" s="45">
        <v>12</v>
      </c>
      <c r="L61" s="45">
        <v>12</v>
      </c>
      <c r="M61" s="885"/>
      <c r="N61" s="883"/>
      <c r="O61" s="883"/>
      <c r="P61" s="891"/>
      <c r="Q61" s="109" t="s">
        <v>52</v>
      </c>
      <c r="R61" s="401">
        <v>0</v>
      </c>
      <c r="S61" s="401"/>
      <c r="T61" s="401"/>
      <c r="U61" s="401">
        <v>0</v>
      </c>
      <c r="V61" s="401"/>
      <c r="W61" s="401"/>
      <c r="X61" s="401">
        <v>0</v>
      </c>
      <c r="Y61" s="401"/>
      <c r="Z61" s="401"/>
      <c r="AA61" s="401">
        <v>0</v>
      </c>
      <c r="AB61" s="401"/>
      <c r="AC61" s="401"/>
      <c r="AD61" s="401">
        <v>0</v>
      </c>
      <c r="AE61" s="401"/>
      <c r="AF61" s="401"/>
      <c r="AG61" s="401">
        <v>0</v>
      </c>
      <c r="AH61" s="401"/>
      <c r="AI61" s="401"/>
      <c r="AJ61" s="401">
        <v>0</v>
      </c>
      <c r="AK61" s="401"/>
      <c r="AL61" s="401"/>
      <c r="AM61" s="401"/>
      <c r="AN61" s="401"/>
      <c r="AO61" s="401"/>
      <c r="AP61" s="401"/>
      <c r="AQ61" s="401"/>
      <c r="AR61" s="401"/>
      <c r="AS61" s="401">
        <v>0</v>
      </c>
      <c r="AT61" s="401"/>
      <c r="AU61" s="401"/>
      <c r="AV61" s="401">
        <v>0</v>
      </c>
      <c r="AW61" s="401"/>
      <c r="AX61" s="401"/>
      <c r="AY61" s="401"/>
      <c r="AZ61" s="401"/>
      <c r="BA61" s="401"/>
      <c r="BB61" s="401"/>
      <c r="BC61" s="401"/>
      <c r="BD61" s="401"/>
      <c r="BE61" s="401">
        <v>0</v>
      </c>
      <c r="BF61" s="401"/>
      <c r="BG61" s="401"/>
      <c r="BH61" s="401">
        <v>0</v>
      </c>
      <c r="BI61" s="401"/>
      <c r="BJ61" s="401"/>
      <c r="BK61" s="672">
        <f>21000000+9000000</f>
        <v>30000000</v>
      </c>
      <c r="BL61" s="672">
        <v>22200000</v>
      </c>
      <c r="BM61" s="672">
        <v>18700000</v>
      </c>
      <c r="BN61" s="402"/>
      <c r="BO61" s="402"/>
      <c r="BP61" s="402"/>
      <c r="BQ61" s="401">
        <v>0</v>
      </c>
      <c r="BR61" s="403"/>
      <c r="BS61" s="403"/>
      <c r="BT61" s="403"/>
      <c r="BU61" s="403"/>
      <c r="BV61" s="403"/>
      <c r="BW61" s="403">
        <v>0</v>
      </c>
      <c r="BX61" s="403"/>
      <c r="BY61" s="403"/>
      <c r="BZ61" s="401">
        <f t="shared" si="17"/>
        <v>30000000</v>
      </c>
      <c r="CA61" s="401">
        <f t="shared" si="17"/>
        <v>22200000</v>
      </c>
      <c r="CB61" s="401">
        <f t="shared" si="17"/>
        <v>18700000</v>
      </c>
    </row>
    <row r="62" spans="1:80" ht="90.75" customHeight="1" x14ac:dyDescent="0.2">
      <c r="A62" s="42"/>
      <c r="B62" s="49"/>
      <c r="C62" s="883"/>
      <c r="D62" s="891"/>
      <c r="E62" s="883"/>
      <c r="F62" s="883"/>
      <c r="G62" s="92"/>
      <c r="H62" s="57">
        <v>260</v>
      </c>
      <c r="I62" s="729" t="s">
        <v>116</v>
      </c>
      <c r="J62" s="44">
        <v>12</v>
      </c>
      <c r="K62" s="45">
        <v>12</v>
      </c>
      <c r="L62" s="45">
        <v>12</v>
      </c>
      <c r="M62" s="886"/>
      <c r="N62" s="898"/>
      <c r="O62" s="898"/>
      <c r="P62" s="892"/>
      <c r="Q62" s="109" t="s">
        <v>52</v>
      </c>
      <c r="R62" s="401">
        <v>0</v>
      </c>
      <c r="S62" s="401"/>
      <c r="T62" s="401"/>
      <c r="U62" s="401">
        <v>0</v>
      </c>
      <c r="V62" s="401"/>
      <c r="W62" s="401"/>
      <c r="X62" s="401">
        <v>0</v>
      </c>
      <c r="Y62" s="401"/>
      <c r="Z62" s="401"/>
      <c r="AA62" s="401">
        <v>0</v>
      </c>
      <c r="AB62" s="401"/>
      <c r="AC62" s="401"/>
      <c r="AD62" s="401">
        <v>0</v>
      </c>
      <c r="AE62" s="401"/>
      <c r="AF62" s="401"/>
      <c r="AG62" s="401">
        <v>0</v>
      </c>
      <c r="AH62" s="401"/>
      <c r="AI62" s="401"/>
      <c r="AJ62" s="401">
        <v>0</v>
      </c>
      <c r="AK62" s="401"/>
      <c r="AL62" s="401"/>
      <c r="AM62" s="401"/>
      <c r="AN62" s="401"/>
      <c r="AO62" s="401"/>
      <c r="AP62" s="401"/>
      <c r="AQ62" s="401"/>
      <c r="AR62" s="401"/>
      <c r="AS62" s="401">
        <v>0</v>
      </c>
      <c r="AT62" s="401"/>
      <c r="AU62" s="401"/>
      <c r="AV62" s="401">
        <v>0</v>
      </c>
      <c r="AW62" s="401"/>
      <c r="AX62" s="401"/>
      <c r="AY62" s="401"/>
      <c r="AZ62" s="401"/>
      <c r="BA62" s="401"/>
      <c r="BB62" s="401"/>
      <c r="BC62" s="401"/>
      <c r="BD62" s="401"/>
      <c r="BE62" s="401">
        <v>0</v>
      </c>
      <c r="BF62" s="401"/>
      <c r="BG62" s="401"/>
      <c r="BH62" s="401">
        <v>0</v>
      </c>
      <c r="BI62" s="401"/>
      <c r="BJ62" s="401"/>
      <c r="BK62" s="672">
        <v>10000000</v>
      </c>
      <c r="BL62" s="672">
        <v>0</v>
      </c>
      <c r="BM62" s="672">
        <v>0</v>
      </c>
      <c r="BN62" s="402"/>
      <c r="BO62" s="402"/>
      <c r="BP62" s="402"/>
      <c r="BQ62" s="401">
        <v>0</v>
      </c>
      <c r="BR62" s="403"/>
      <c r="BS62" s="403"/>
      <c r="BT62" s="403"/>
      <c r="BU62" s="403"/>
      <c r="BV62" s="403"/>
      <c r="BW62" s="403">
        <v>0</v>
      </c>
      <c r="BX62" s="403"/>
      <c r="BY62" s="403"/>
      <c r="BZ62" s="401">
        <f t="shared" si="17"/>
        <v>10000000</v>
      </c>
      <c r="CA62" s="401">
        <f t="shared" si="17"/>
        <v>0</v>
      </c>
      <c r="CB62" s="401">
        <f t="shared" si="17"/>
        <v>0</v>
      </c>
    </row>
    <row r="63" spans="1:80" ht="30" customHeight="1" x14ac:dyDescent="0.2">
      <c r="A63" s="42"/>
      <c r="B63" s="92"/>
      <c r="C63" s="702"/>
      <c r="D63" s="708"/>
      <c r="E63" s="702"/>
      <c r="F63" s="702"/>
      <c r="G63" s="58"/>
      <c r="H63" s="59"/>
      <c r="I63" s="58"/>
      <c r="J63" s="60"/>
      <c r="K63" s="113"/>
      <c r="L63" s="113"/>
      <c r="M63" s="113"/>
      <c r="N63" s="60"/>
      <c r="O63" s="59"/>
      <c r="P63" s="58"/>
      <c r="Q63" s="59"/>
      <c r="R63" s="410">
        <f>SUM(R45:R62)</f>
        <v>0</v>
      </c>
      <c r="S63" s="410">
        <f t="shared" ref="S63:CB63" si="18">SUM(S45:S62)</f>
        <v>0</v>
      </c>
      <c r="T63" s="410">
        <f t="shared" si="18"/>
        <v>0</v>
      </c>
      <c r="U63" s="410">
        <f t="shared" si="18"/>
        <v>0</v>
      </c>
      <c r="V63" s="410">
        <f t="shared" si="18"/>
        <v>0</v>
      </c>
      <c r="W63" s="410">
        <f t="shared" si="18"/>
        <v>0</v>
      </c>
      <c r="X63" s="410">
        <f t="shared" si="18"/>
        <v>0</v>
      </c>
      <c r="Y63" s="410">
        <f t="shared" si="18"/>
        <v>0</v>
      </c>
      <c r="Z63" s="410">
        <f t="shared" si="18"/>
        <v>0</v>
      </c>
      <c r="AA63" s="410">
        <f t="shared" si="18"/>
        <v>0</v>
      </c>
      <c r="AB63" s="410">
        <f t="shared" si="18"/>
        <v>0</v>
      </c>
      <c r="AC63" s="410">
        <f t="shared" si="18"/>
        <v>0</v>
      </c>
      <c r="AD63" s="410">
        <f t="shared" si="18"/>
        <v>0</v>
      </c>
      <c r="AE63" s="410">
        <f t="shared" si="18"/>
        <v>0</v>
      </c>
      <c r="AF63" s="410">
        <f t="shared" si="18"/>
        <v>0</v>
      </c>
      <c r="AG63" s="410">
        <f t="shared" si="18"/>
        <v>0</v>
      </c>
      <c r="AH63" s="410">
        <f t="shared" si="18"/>
        <v>0</v>
      </c>
      <c r="AI63" s="410">
        <f t="shared" si="18"/>
        <v>0</v>
      </c>
      <c r="AJ63" s="410">
        <f t="shared" si="18"/>
        <v>0</v>
      </c>
      <c r="AK63" s="410">
        <f t="shared" si="18"/>
        <v>0</v>
      </c>
      <c r="AL63" s="410">
        <f t="shared" si="18"/>
        <v>0</v>
      </c>
      <c r="AM63" s="410">
        <f t="shared" si="18"/>
        <v>0</v>
      </c>
      <c r="AN63" s="410">
        <f t="shared" si="18"/>
        <v>0</v>
      </c>
      <c r="AO63" s="410">
        <f t="shared" si="18"/>
        <v>0</v>
      </c>
      <c r="AP63" s="410">
        <f t="shared" si="18"/>
        <v>0</v>
      </c>
      <c r="AQ63" s="410">
        <f t="shared" si="18"/>
        <v>0</v>
      </c>
      <c r="AR63" s="410">
        <f t="shared" si="18"/>
        <v>0</v>
      </c>
      <c r="AS63" s="410">
        <f t="shared" si="18"/>
        <v>0</v>
      </c>
      <c r="AT63" s="410">
        <f t="shared" si="18"/>
        <v>0</v>
      </c>
      <c r="AU63" s="410">
        <f t="shared" si="18"/>
        <v>0</v>
      </c>
      <c r="AV63" s="410">
        <f t="shared" si="18"/>
        <v>0</v>
      </c>
      <c r="AW63" s="410">
        <f t="shared" si="18"/>
        <v>0</v>
      </c>
      <c r="AX63" s="410">
        <f t="shared" si="18"/>
        <v>0</v>
      </c>
      <c r="AY63" s="410">
        <f t="shared" si="18"/>
        <v>0</v>
      </c>
      <c r="AZ63" s="410">
        <f t="shared" si="18"/>
        <v>0</v>
      </c>
      <c r="BA63" s="410">
        <f t="shared" si="18"/>
        <v>0</v>
      </c>
      <c r="BB63" s="410">
        <f t="shared" si="18"/>
        <v>0</v>
      </c>
      <c r="BC63" s="410">
        <f t="shared" si="18"/>
        <v>0</v>
      </c>
      <c r="BD63" s="410">
        <f t="shared" si="18"/>
        <v>0</v>
      </c>
      <c r="BE63" s="410">
        <f t="shared" si="18"/>
        <v>0</v>
      </c>
      <c r="BF63" s="410">
        <f t="shared" si="18"/>
        <v>0</v>
      </c>
      <c r="BG63" s="410">
        <f t="shared" si="18"/>
        <v>0</v>
      </c>
      <c r="BH63" s="410">
        <f t="shared" si="18"/>
        <v>0</v>
      </c>
      <c r="BI63" s="410">
        <f t="shared" si="18"/>
        <v>0</v>
      </c>
      <c r="BJ63" s="410">
        <f t="shared" si="18"/>
        <v>0</v>
      </c>
      <c r="BK63" s="410">
        <f t="shared" si="18"/>
        <v>1450000000</v>
      </c>
      <c r="BL63" s="410">
        <f t="shared" si="18"/>
        <v>807713531</v>
      </c>
      <c r="BM63" s="410">
        <f t="shared" si="18"/>
        <v>534017328</v>
      </c>
      <c r="BN63" s="410">
        <f t="shared" si="18"/>
        <v>0</v>
      </c>
      <c r="BO63" s="410">
        <f t="shared" si="18"/>
        <v>0</v>
      </c>
      <c r="BP63" s="410">
        <f t="shared" si="18"/>
        <v>0</v>
      </c>
      <c r="BQ63" s="410">
        <f t="shared" si="18"/>
        <v>0</v>
      </c>
      <c r="BR63" s="410">
        <f t="shared" si="18"/>
        <v>0</v>
      </c>
      <c r="BS63" s="410">
        <f t="shared" si="18"/>
        <v>0</v>
      </c>
      <c r="BT63" s="410">
        <f t="shared" si="18"/>
        <v>0</v>
      </c>
      <c r="BU63" s="410">
        <f t="shared" si="18"/>
        <v>0</v>
      </c>
      <c r="BV63" s="410">
        <f t="shared" si="18"/>
        <v>0</v>
      </c>
      <c r="BW63" s="410">
        <f t="shared" si="18"/>
        <v>0</v>
      </c>
      <c r="BX63" s="410">
        <f t="shared" si="18"/>
        <v>0</v>
      </c>
      <c r="BY63" s="410">
        <f t="shared" si="18"/>
        <v>0</v>
      </c>
      <c r="BZ63" s="410">
        <f t="shared" si="18"/>
        <v>1450000000</v>
      </c>
      <c r="CA63" s="410">
        <f t="shared" si="18"/>
        <v>807713531</v>
      </c>
      <c r="CB63" s="410">
        <f t="shared" si="18"/>
        <v>534017328</v>
      </c>
    </row>
    <row r="64" spans="1:80" ht="30" customHeight="1" x14ac:dyDescent="0.2">
      <c r="A64" s="55"/>
      <c r="B64" s="95"/>
      <c r="C64" s="859"/>
      <c r="D64" s="860"/>
      <c r="E64" s="859"/>
      <c r="F64" s="859"/>
      <c r="G64" s="62"/>
      <c r="H64" s="99"/>
      <c r="I64" s="98"/>
      <c r="J64" s="347"/>
      <c r="K64" s="348"/>
      <c r="L64" s="348"/>
      <c r="M64" s="348"/>
      <c r="N64" s="347"/>
      <c r="O64" s="99"/>
      <c r="P64" s="98"/>
      <c r="Q64" s="99"/>
      <c r="R64" s="470">
        <f t="shared" ref="R64:CB64" si="19">R63</f>
        <v>0</v>
      </c>
      <c r="S64" s="470">
        <f t="shared" si="19"/>
        <v>0</v>
      </c>
      <c r="T64" s="470">
        <f t="shared" si="19"/>
        <v>0</v>
      </c>
      <c r="U64" s="470">
        <f t="shared" si="19"/>
        <v>0</v>
      </c>
      <c r="V64" s="470">
        <f t="shared" si="19"/>
        <v>0</v>
      </c>
      <c r="W64" s="470">
        <f t="shared" si="19"/>
        <v>0</v>
      </c>
      <c r="X64" s="470">
        <f t="shared" si="19"/>
        <v>0</v>
      </c>
      <c r="Y64" s="470">
        <f t="shared" si="19"/>
        <v>0</v>
      </c>
      <c r="Z64" s="470">
        <f t="shared" si="19"/>
        <v>0</v>
      </c>
      <c r="AA64" s="470">
        <f t="shared" si="19"/>
        <v>0</v>
      </c>
      <c r="AB64" s="470">
        <f t="shared" si="19"/>
        <v>0</v>
      </c>
      <c r="AC64" s="470">
        <f t="shared" si="19"/>
        <v>0</v>
      </c>
      <c r="AD64" s="470">
        <f t="shared" si="19"/>
        <v>0</v>
      </c>
      <c r="AE64" s="470">
        <f t="shared" si="19"/>
        <v>0</v>
      </c>
      <c r="AF64" s="470">
        <f t="shared" si="19"/>
        <v>0</v>
      </c>
      <c r="AG64" s="470">
        <f t="shared" si="19"/>
        <v>0</v>
      </c>
      <c r="AH64" s="470">
        <f t="shared" si="19"/>
        <v>0</v>
      </c>
      <c r="AI64" s="470">
        <f t="shared" si="19"/>
        <v>0</v>
      </c>
      <c r="AJ64" s="470">
        <f t="shared" si="19"/>
        <v>0</v>
      </c>
      <c r="AK64" s="470">
        <f t="shared" si="19"/>
        <v>0</v>
      </c>
      <c r="AL64" s="470">
        <f t="shared" si="19"/>
        <v>0</v>
      </c>
      <c r="AM64" s="470">
        <f t="shared" si="19"/>
        <v>0</v>
      </c>
      <c r="AN64" s="470">
        <f t="shared" si="19"/>
        <v>0</v>
      </c>
      <c r="AO64" s="470">
        <f t="shared" si="19"/>
        <v>0</v>
      </c>
      <c r="AP64" s="470">
        <f t="shared" si="19"/>
        <v>0</v>
      </c>
      <c r="AQ64" s="470">
        <f t="shared" si="19"/>
        <v>0</v>
      </c>
      <c r="AR64" s="470">
        <f t="shared" si="19"/>
        <v>0</v>
      </c>
      <c r="AS64" s="470">
        <f t="shared" si="19"/>
        <v>0</v>
      </c>
      <c r="AT64" s="470">
        <f t="shared" si="19"/>
        <v>0</v>
      </c>
      <c r="AU64" s="470">
        <f t="shared" si="19"/>
        <v>0</v>
      </c>
      <c r="AV64" s="470">
        <f t="shared" si="19"/>
        <v>0</v>
      </c>
      <c r="AW64" s="470">
        <f t="shared" si="19"/>
        <v>0</v>
      </c>
      <c r="AX64" s="470">
        <f t="shared" si="19"/>
        <v>0</v>
      </c>
      <c r="AY64" s="470">
        <f t="shared" si="19"/>
        <v>0</v>
      </c>
      <c r="AZ64" s="470">
        <f t="shared" si="19"/>
        <v>0</v>
      </c>
      <c r="BA64" s="470">
        <f t="shared" si="19"/>
        <v>0</v>
      </c>
      <c r="BB64" s="470">
        <f t="shared" si="19"/>
        <v>0</v>
      </c>
      <c r="BC64" s="470">
        <f t="shared" si="19"/>
        <v>0</v>
      </c>
      <c r="BD64" s="470">
        <f t="shared" si="19"/>
        <v>0</v>
      </c>
      <c r="BE64" s="470">
        <f t="shared" si="19"/>
        <v>0</v>
      </c>
      <c r="BF64" s="470">
        <f t="shared" si="19"/>
        <v>0</v>
      </c>
      <c r="BG64" s="470">
        <f t="shared" si="19"/>
        <v>0</v>
      </c>
      <c r="BH64" s="470">
        <f t="shared" si="19"/>
        <v>0</v>
      </c>
      <c r="BI64" s="470">
        <f t="shared" si="19"/>
        <v>0</v>
      </c>
      <c r="BJ64" s="470">
        <f t="shared" si="19"/>
        <v>0</v>
      </c>
      <c r="BK64" s="470">
        <f t="shared" si="19"/>
        <v>1450000000</v>
      </c>
      <c r="BL64" s="470">
        <f t="shared" si="19"/>
        <v>807713531</v>
      </c>
      <c r="BM64" s="470">
        <f t="shared" si="19"/>
        <v>534017328</v>
      </c>
      <c r="BN64" s="470">
        <f t="shared" si="19"/>
        <v>0</v>
      </c>
      <c r="BO64" s="470">
        <f t="shared" si="19"/>
        <v>0</v>
      </c>
      <c r="BP64" s="470">
        <f t="shared" si="19"/>
        <v>0</v>
      </c>
      <c r="BQ64" s="470">
        <f t="shared" si="19"/>
        <v>0</v>
      </c>
      <c r="BR64" s="470">
        <f t="shared" si="19"/>
        <v>0</v>
      </c>
      <c r="BS64" s="470">
        <f t="shared" si="19"/>
        <v>0</v>
      </c>
      <c r="BT64" s="470">
        <f t="shared" si="19"/>
        <v>0</v>
      </c>
      <c r="BU64" s="470">
        <f t="shared" si="19"/>
        <v>0</v>
      </c>
      <c r="BV64" s="470">
        <f t="shared" si="19"/>
        <v>0</v>
      </c>
      <c r="BW64" s="470">
        <f t="shared" si="19"/>
        <v>0</v>
      </c>
      <c r="BX64" s="470">
        <f t="shared" si="19"/>
        <v>0</v>
      </c>
      <c r="BY64" s="470">
        <f t="shared" si="19"/>
        <v>0</v>
      </c>
      <c r="BZ64" s="470">
        <f t="shared" si="19"/>
        <v>1450000000</v>
      </c>
      <c r="CA64" s="470">
        <f t="shared" si="19"/>
        <v>807713531</v>
      </c>
      <c r="CB64" s="470">
        <f t="shared" si="19"/>
        <v>534017328</v>
      </c>
    </row>
    <row r="65" spans="1:80" s="5" customFormat="1" ht="30" customHeight="1" x14ac:dyDescent="0.25">
      <c r="A65" s="776"/>
      <c r="B65" s="777"/>
      <c r="C65" s="778"/>
      <c r="D65" s="777"/>
      <c r="E65" s="778"/>
      <c r="F65" s="861"/>
      <c r="G65" s="65"/>
      <c r="H65" s="66"/>
      <c r="I65" s="65"/>
      <c r="J65" s="67"/>
      <c r="K65" s="116"/>
      <c r="L65" s="116"/>
      <c r="M65" s="116"/>
      <c r="N65" s="67"/>
      <c r="O65" s="66"/>
      <c r="P65" s="65"/>
      <c r="Q65" s="66"/>
      <c r="R65" s="422">
        <f t="shared" ref="R65:CB65" si="20">R35+R41+R64</f>
        <v>0</v>
      </c>
      <c r="S65" s="422">
        <f t="shared" si="20"/>
        <v>0</v>
      </c>
      <c r="T65" s="422">
        <f t="shared" si="20"/>
        <v>0</v>
      </c>
      <c r="U65" s="422">
        <f t="shared" si="20"/>
        <v>0</v>
      </c>
      <c r="V65" s="422">
        <f t="shared" si="20"/>
        <v>0</v>
      </c>
      <c r="W65" s="422">
        <f t="shared" si="20"/>
        <v>0</v>
      </c>
      <c r="X65" s="422">
        <f t="shared" si="20"/>
        <v>0</v>
      </c>
      <c r="Y65" s="422">
        <f t="shared" si="20"/>
        <v>0</v>
      </c>
      <c r="Z65" s="422">
        <f t="shared" si="20"/>
        <v>0</v>
      </c>
      <c r="AA65" s="422">
        <f t="shared" si="20"/>
        <v>0</v>
      </c>
      <c r="AB65" s="422">
        <f t="shared" si="20"/>
        <v>0</v>
      </c>
      <c r="AC65" s="422">
        <f t="shared" si="20"/>
        <v>0</v>
      </c>
      <c r="AD65" s="422">
        <f t="shared" si="20"/>
        <v>0</v>
      </c>
      <c r="AE65" s="422">
        <f t="shared" si="20"/>
        <v>0</v>
      </c>
      <c r="AF65" s="422">
        <f t="shared" si="20"/>
        <v>0</v>
      </c>
      <c r="AG65" s="422">
        <f t="shared" si="20"/>
        <v>0</v>
      </c>
      <c r="AH65" s="422">
        <f t="shared" si="20"/>
        <v>0</v>
      </c>
      <c r="AI65" s="422">
        <f t="shared" si="20"/>
        <v>0</v>
      </c>
      <c r="AJ65" s="422">
        <f t="shared" si="20"/>
        <v>0</v>
      </c>
      <c r="AK65" s="422">
        <f t="shared" si="20"/>
        <v>0</v>
      </c>
      <c r="AL65" s="422">
        <f t="shared" si="20"/>
        <v>0</v>
      </c>
      <c r="AM65" s="422">
        <f t="shared" si="20"/>
        <v>0</v>
      </c>
      <c r="AN65" s="422">
        <f t="shared" si="20"/>
        <v>0</v>
      </c>
      <c r="AO65" s="422">
        <f t="shared" si="20"/>
        <v>0</v>
      </c>
      <c r="AP65" s="422">
        <f t="shared" si="20"/>
        <v>0</v>
      </c>
      <c r="AQ65" s="422">
        <f t="shared" si="20"/>
        <v>0</v>
      </c>
      <c r="AR65" s="422">
        <f t="shared" si="20"/>
        <v>0</v>
      </c>
      <c r="AS65" s="422">
        <f t="shared" si="20"/>
        <v>0</v>
      </c>
      <c r="AT65" s="422">
        <f t="shared" si="20"/>
        <v>0</v>
      </c>
      <c r="AU65" s="422">
        <f t="shared" si="20"/>
        <v>0</v>
      </c>
      <c r="AV65" s="422">
        <f t="shared" si="20"/>
        <v>0</v>
      </c>
      <c r="AW65" s="422">
        <f t="shared" si="20"/>
        <v>0</v>
      </c>
      <c r="AX65" s="422">
        <f t="shared" si="20"/>
        <v>0</v>
      </c>
      <c r="AY65" s="422">
        <f t="shared" si="20"/>
        <v>0</v>
      </c>
      <c r="AZ65" s="422">
        <f t="shared" si="20"/>
        <v>0</v>
      </c>
      <c r="BA65" s="422">
        <f t="shared" si="20"/>
        <v>0</v>
      </c>
      <c r="BB65" s="422">
        <f t="shared" si="20"/>
        <v>0</v>
      </c>
      <c r="BC65" s="422">
        <f t="shared" si="20"/>
        <v>0</v>
      </c>
      <c r="BD65" s="422">
        <f t="shared" si="20"/>
        <v>0</v>
      </c>
      <c r="BE65" s="422">
        <f t="shared" si="20"/>
        <v>0</v>
      </c>
      <c r="BF65" s="422">
        <f t="shared" si="20"/>
        <v>0</v>
      </c>
      <c r="BG65" s="422">
        <f t="shared" si="20"/>
        <v>0</v>
      </c>
      <c r="BH65" s="422">
        <f t="shared" si="20"/>
        <v>0</v>
      </c>
      <c r="BI65" s="422">
        <f t="shared" si="20"/>
        <v>0</v>
      </c>
      <c r="BJ65" s="422">
        <f t="shared" si="20"/>
        <v>0</v>
      </c>
      <c r="BK65" s="422">
        <f t="shared" si="20"/>
        <v>1617000000</v>
      </c>
      <c r="BL65" s="422">
        <f t="shared" si="20"/>
        <v>942840811</v>
      </c>
      <c r="BM65" s="422">
        <f t="shared" si="20"/>
        <v>584925230</v>
      </c>
      <c r="BN65" s="422">
        <f t="shared" si="20"/>
        <v>0</v>
      </c>
      <c r="BO65" s="422">
        <f t="shared" si="20"/>
        <v>0</v>
      </c>
      <c r="BP65" s="422">
        <f t="shared" si="20"/>
        <v>0</v>
      </c>
      <c r="BQ65" s="422">
        <f t="shared" si="20"/>
        <v>0</v>
      </c>
      <c r="BR65" s="422">
        <f t="shared" si="20"/>
        <v>0</v>
      </c>
      <c r="BS65" s="422">
        <f t="shared" si="20"/>
        <v>0</v>
      </c>
      <c r="BT65" s="422">
        <f t="shared" si="20"/>
        <v>0</v>
      </c>
      <c r="BU65" s="422">
        <f t="shared" si="20"/>
        <v>0</v>
      </c>
      <c r="BV65" s="422">
        <f t="shared" si="20"/>
        <v>0</v>
      </c>
      <c r="BW65" s="422">
        <f t="shared" si="20"/>
        <v>0</v>
      </c>
      <c r="BX65" s="422">
        <f t="shared" si="20"/>
        <v>0</v>
      </c>
      <c r="BY65" s="422">
        <f t="shared" si="20"/>
        <v>0</v>
      </c>
      <c r="BZ65" s="422">
        <f t="shared" si="20"/>
        <v>1617000000</v>
      </c>
      <c r="CA65" s="422">
        <f t="shared" si="20"/>
        <v>942840811</v>
      </c>
      <c r="CB65" s="422">
        <f t="shared" si="20"/>
        <v>584925230</v>
      </c>
    </row>
    <row r="66" spans="1:80" s="5" customFormat="1" ht="30" customHeight="1" x14ac:dyDescent="0.25">
      <c r="A66" s="862"/>
      <c r="B66" s="863"/>
      <c r="C66" s="864"/>
      <c r="D66" s="863"/>
      <c r="E66" s="864"/>
      <c r="F66" s="865"/>
      <c r="G66" s="68"/>
      <c r="H66" s="69"/>
      <c r="I66" s="68"/>
      <c r="J66" s="70"/>
      <c r="K66" s="117"/>
      <c r="L66" s="117"/>
      <c r="M66" s="117"/>
      <c r="N66" s="70"/>
      <c r="O66" s="69"/>
      <c r="P66" s="68"/>
      <c r="Q66" s="69"/>
      <c r="R66" s="423">
        <f t="shared" ref="R66:CB66" si="21">R65</f>
        <v>0</v>
      </c>
      <c r="S66" s="423">
        <f t="shared" si="21"/>
        <v>0</v>
      </c>
      <c r="T66" s="423">
        <f t="shared" si="21"/>
        <v>0</v>
      </c>
      <c r="U66" s="423">
        <f t="shared" si="21"/>
        <v>0</v>
      </c>
      <c r="V66" s="423">
        <f t="shared" si="21"/>
        <v>0</v>
      </c>
      <c r="W66" s="423">
        <f t="shared" si="21"/>
        <v>0</v>
      </c>
      <c r="X66" s="423">
        <f t="shared" si="21"/>
        <v>0</v>
      </c>
      <c r="Y66" s="423">
        <f t="shared" si="21"/>
        <v>0</v>
      </c>
      <c r="Z66" s="423">
        <f t="shared" si="21"/>
        <v>0</v>
      </c>
      <c r="AA66" s="423">
        <f t="shared" si="21"/>
        <v>0</v>
      </c>
      <c r="AB66" s="423">
        <f t="shared" si="21"/>
        <v>0</v>
      </c>
      <c r="AC66" s="423">
        <f t="shared" si="21"/>
        <v>0</v>
      </c>
      <c r="AD66" s="423">
        <f t="shared" si="21"/>
        <v>0</v>
      </c>
      <c r="AE66" s="423">
        <f t="shared" si="21"/>
        <v>0</v>
      </c>
      <c r="AF66" s="423">
        <f t="shared" si="21"/>
        <v>0</v>
      </c>
      <c r="AG66" s="423">
        <f t="shared" si="21"/>
        <v>0</v>
      </c>
      <c r="AH66" s="423">
        <f t="shared" si="21"/>
        <v>0</v>
      </c>
      <c r="AI66" s="423">
        <f t="shared" si="21"/>
        <v>0</v>
      </c>
      <c r="AJ66" s="423">
        <f t="shared" si="21"/>
        <v>0</v>
      </c>
      <c r="AK66" s="423">
        <f t="shared" si="21"/>
        <v>0</v>
      </c>
      <c r="AL66" s="423">
        <f t="shared" si="21"/>
        <v>0</v>
      </c>
      <c r="AM66" s="423">
        <f t="shared" si="21"/>
        <v>0</v>
      </c>
      <c r="AN66" s="423">
        <f t="shared" si="21"/>
        <v>0</v>
      </c>
      <c r="AO66" s="423">
        <f t="shared" si="21"/>
        <v>0</v>
      </c>
      <c r="AP66" s="423">
        <f t="shared" si="21"/>
        <v>0</v>
      </c>
      <c r="AQ66" s="423">
        <f t="shared" si="21"/>
        <v>0</v>
      </c>
      <c r="AR66" s="423">
        <f t="shared" si="21"/>
        <v>0</v>
      </c>
      <c r="AS66" s="423">
        <f t="shared" si="21"/>
        <v>0</v>
      </c>
      <c r="AT66" s="423">
        <f t="shared" si="21"/>
        <v>0</v>
      </c>
      <c r="AU66" s="423">
        <f t="shared" si="21"/>
        <v>0</v>
      </c>
      <c r="AV66" s="423">
        <f t="shared" si="21"/>
        <v>0</v>
      </c>
      <c r="AW66" s="423">
        <f t="shared" si="21"/>
        <v>0</v>
      </c>
      <c r="AX66" s="423">
        <f t="shared" si="21"/>
        <v>0</v>
      </c>
      <c r="AY66" s="423">
        <f t="shared" si="21"/>
        <v>0</v>
      </c>
      <c r="AZ66" s="423">
        <f t="shared" si="21"/>
        <v>0</v>
      </c>
      <c r="BA66" s="423">
        <f t="shared" si="21"/>
        <v>0</v>
      </c>
      <c r="BB66" s="423">
        <f t="shared" si="21"/>
        <v>0</v>
      </c>
      <c r="BC66" s="423">
        <f t="shared" si="21"/>
        <v>0</v>
      </c>
      <c r="BD66" s="423">
        <f t="shared" si="21"/>
        <v>0</v>
      </c>
      <c r="BE66" s="423">
        <f t="shared" si="21"/>
        <v>0</v>
      </c>
      <c r="BF66" s="423">
        <f t="shared" si="21"/>
        <v>0</v>
      </c>
      <c r="BG66" s="423">
        <f t="shared" si="21"/>
        <v>0</v>
      </c>
      <c r="BH66" s="423">
        <f t="shared" si="21"/>
        <v>0</v>
      </c>
      <c r="BI66" s="423">
        <f t="shared" si="21"/>
        <v>0</v>
      </c>
      <c r="BJ66" s="423">
        <f t="shared" si="21"/>
        <v>0</v>
      </c>
      <c r="BK66" s="423">
        <f t="shared" si="21"/>
        <v>1617000000</v>
      </c>
      <c r="BL66" s="423">
        <f t="shared" si="21"/>
        <v>942840811</v>
      </c>
      <c r="BM66" s="423">
        <f t="shared" si="21"/>
        <v>584925230</v>
      </c>
      <c r="BN66" s="423">
        <f t="shared" si="21"/>
        <v>0</v>
      </c>
      <c r="BO66" s="423">
        <f t="shared" si="21"/>
        <v>0</v>
      </c>
      <c r="BP66" s="423">
        <f t="shared" si="21"/>
        <v>0</v>
      </c>
      <c r="BQ66" s="423">
        <f t="shared" si="21"/>
        <v>0</v>
      </c>
      <c r="BR66" s="423">
        <f t="shared" si="21"/>
        <v>0</v>
      </c>
      <c r="BS66" s="423">
        <f t="shared" si="21"/>
        <v>0</v>
      </c>
      <c r="BT66" s="423">
        <f t="shared" si="21"/>
        <v>0</v>
      </c>
      <c r="BU66" s="423">
        <f t="shared" si="21"/>
        <v>0</v>
      </c>
      <c r="BV66" s="423">
        <f t="shared" si="21"/>
        <v>0</v>
      </c>
      <c r="BW66" s="423">
        <f t="shared" si="21"/>
        <v>0</v>
      </c>
      <c r="BX66" s="423">
        <f t="shared" si="21"/>
        <v>0</v>
      </c>
      <c r="BY66" s="423">
        <f t="shared" si="21"/>
        <v>0</v>
      </c>
      <c r="BZ66" s="423">
        <f t="shared" si="21"/>
        <v>1617000000</v>
      </c>
      <c r="CA66" s="423">
        <f t="shared" si="21"/>
        <v>942840811</v>
      </c>
      <c r="CB66" s="423">
        <f t="shared" si="21"/>
        <v>584925230</v>
      </c>
    </row>
    <row r="67" spans="1:80" s="2" customFormat="1" ht="30" customHeight="1" x14ac:dyDescent="0.25">
      <c r="A67" s="595"/>
      <c r="B67" s="748"/>
      <c r="C67" s="747"/>
      <c r="D67" s="748"/>
      <c r="E67" s="747"/>
      <c r="F67" s="747"/>
      <c r="G67" s="748"/>
      <c r="H67" s="747"/>
      <c r="I67" s="748"/>
      <c r="J67" s="749"/>
      <c r="K67" s="790"/>
      <c r="L67" s="790"/>
      <c r="M67" s="790"/>
      <c r="N67" s="749"/>
      <c r="O67" s="747"/>
      <c r="P67" s="748"/>
      <c r="Q67" s="192"/>
      <c r="R67" s="791"/>
      <c r="S67" s="791"/>
      <c r="T67" s="791"/>
      <c r="U67" s="792"/>
      <c r="V67" s="792"/>
      <c r="W67" s="792"/>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1"/>
      <c r="AY67" s="792"/>
      <c r="AZ67" s="792"/>
      <c r="BA67" s="792"/>
      <c r="BB67" s="792"/>
      <c r="BC67" s="792"/>
      <c r="BD67" s="792"/>
      <c r="BE67" s="791"/>
      <c r="BF67" s="791"/>
      <c r="BG67" s="791"/>
      <c r="BH67" s="791"/>
      <c r="BI67" s="791"/>
      <c r="BJ67" s="791"/>
      <c r="BK67" s="793" t="s">
        <v>69</v>
      </c>
      <c r="BL67" s="793"/>
      <c r="BM67" s="793"/>
      <c r="BN67" s="791"/>
      <c r="BO67" s="791"/>
      <c r="BP67" s="791"/>
      <c r="BQ67" s="791"/>
      <c r="BR67" s="791"/>
      <c r="BS67" s="791"/>
      <c r="BT67" s="791"/>
      <c r="BU67" s="791"/>
      <c r="BV67" s="791"/>
      <c r="BW67" s="792"/>
      <c r="BX67" s="792"/>
      <c r="BY67" s="792"/>
      <c r="BZ67" s="791"/>
      <c r="CA67" s="791"/>
      <c r="CB67" s="630"/>
    </row>
    <row r="68" spans="1:80" ht="30" customHeight="1" x14ac:dyDescent="0.2">
      <c r="A68" s="120" t="s">
        <v>117</v>
      </c>
      <c r="B68" s="121"/>
      <c r="C68" s="122"/>
      <c r="D68" s="121"/>
      <c r="E68" s="121"/>
      <c r="F68" s="121"/>
      <c r="G68" s="121"/>
      <c r="H68" s="122"/>
      <c r="I68" s="121"/>
      <c r="J68" s="121"/>
      <c r="K68" s="123"/>
      <c r="L68" s="123"/>
      <c r="M68" s="123"/>
      <c r="N68" s="122"/>
      <c r="O68" s="122"/>
      <c r="P68" s="121"/>
      <c r="Q68" s="33"/>
      <c r="R68" s="616"/>
      <c r="S68" s="616"/>
      <c r="T68" s="616"/>
      <c r="U68" s="616"/>
      <c r="V68" s="616"/>
      <c r="W68" s="616"/>
      <c r="X68" s="616"/>
      <c r="Y68" s="616"/>
      <c r="Z68" s="616"/>
      <c r="AA68" s="616"/>
      <c r="AB68" s="616"/>
      <c r="AC68" s="616"/>
      <c r="AD68" s="616"/>
      <c r="AE68" s="616"/>
      <c r="AF68" s="616"/>
      <c r="AG68" s="616"/>
      <c r="AH68" s="616"/>
      <c r="AI68" s="616"/>
      <c r="AJ68" s="616"/>
      <c r="AK68" s="616"/>
      <c r="AL68" s="616"/>
      <c r="AM68" s="616"/>
      <c r="AN68" s="616"/>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7"/>
      <c r="BL68" s="617"/>
      <c r="BM68" s="617"/>
      <c r="BN68" s="618"/>
      <c r="BO68" s="618"/>
      <c r="BP68" s="618"/>
      <c r="BQ68" s="616"/>
      <c r="BR68" s="616"/>
      <c r="BS68" s="616"/>
      <c r="BT68" s="616"/>
      <c r="BU68" s="616"/>
      <c r="BV68" s="616"/>
      <c r="BW68" s="616"/>
      <c r="BX68" s="616"/>
      <c r="BY68" s="616"/>
      <c r="BZ68" s="616"/>
      <c r="CA68" s="616"/>
      <c r="CB68" s="619"/>
    </row>
    <row r="69" spans="1:80" ht="30" customHeight="1" x14ac:dyDescent="0.2">
      <c r="A69" s="787">
        <v>5</v>
      </c>
      <c r="B69" s="34" t="s">
        <v>37</v>
      </c>
      <c r="C69" s="35"/>
      <c r="D69" s="34"/>
      <c r="E69" s="34"/>
      <c r="F69" s="34"/>
      <c r="G69" s="34"/>
      <c r="H69" s="35"/>
      <c r="I69" s="34"/>
      <c r="J69" s="34"/>
      <c r="K69" s="124"/>
      <c r="L69" s="124"/>
      <c r="M69" s="124"/>
      <c r="N69" s="35"/>
      <c r="O69" s="35"/>
      <c r="P69" s="34"/>
      <c r="Q69" s="34"/>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432"/>
      <c r="AZ69" s="432"/>
      <c r="BA69" s="432"/>
      <c r="BB69" s="432"/>
      <c r="BC69" s="432"/>
      <c r="BD69" s="432"/>
      <c r="BE69" s="432"/>
      <c r="BF69" s="432"/>
      <c r="BG69" s="432"/>
      <c r="BH69" s="432"/>
      <c r="BI69" s="432"/>
      <c r="BJ69" s="432"/>
      <c r="BK69" s="433"/>
      <c r="BL69" s="433"/>
      <c r="BM69" s="433"/>
      <c r="BN69" s="432"/>
      <c r="BO69" s="432"/>
      <c r="BP69" s="432"/>
      <c r="BQ69" s="432"/>
      <c r="BR69" s="432"/>
      <c r="BS69" s="432"/>
      <c r="BT69" s="432"/>
      <c r="BU69" s="432"/>
      <c r="BV69" s="432"/>
      <c r="BW69" s="432"/>
      <c r="BX69" s="432"/>
      <c r="BY69" s="432"/>
      <c r="BZ69" s="432"/>
      <c r="CA69" s="432"/>
      <c r="CB69" s="434"/>
    </row>
    <row r="70" spans="1:80" ht="30" customHeight="1" x14ac:dyDescent="0.2">
      <c r="A70" s="76"/>
      <c r="B70" s="125">
        <v>28</v>
      </c>
      <c r="C70" s="40" t="s">
        <v>38</v>
      </c>
      <c r="D70" s="39"/>
      <c r="E70" s="39"/>
      <c r="F70" s="39"/>
      <c r="G70" s="39"/>
      <c r="H70" s="40"/>
      <c r="I70" s="39"/>
      <c r="J70" s="39"/>
      <c r="K70" s="126"/>
      <c r="L70" s="126"/>
      <c r="M70" s="126"/>
      <c r="N70" s="40"/>
      <c r="O70" s="40"/>
      <c r="P70" s="39"/>
      <c r="Q70" s="39"/>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3"/>
      <c r="BL70" s="413"/>
      <c r="BM70" s="413"/>
      <c r="BN70" s="412"/>
      <c r="BO70" s="412"/>
      <c r="BP70" s="412"/>
      <c r="BQ70" s="412"/>
      <c r="BR70" s="412"/>
      <c r="BS70" s="412"/>
      <c r="BT70" s="412"/>
      <c r="BU70" s="412"/>
      <c r="BV70" s="412"/>
      <c r="BW70" s="412"/>
      <c r="BX70" s="412"/>
      <c r="BY70" s="412"/>
      <c r="BZ70" s="412"/>
      <c r="CA70" s="412"/>
      <c r="CB70" s="417"/>
    </row>
    <row r="71" spans="1:80" ht="30" customHeight="1" x14ac:dyDescent="0.2">
      <c r="A71" s="42"/>
      <c r="B71" s="74"/>
      <c r="C71" s="27"/>
      <c r="D71" s="76"/>
      <c r="E71" s="76"/>
      <c r="F71" s="76"/>
      <c r="G71" s="78">
        <v>88</v>
      </c>
      <c r="H71" s="79" t="s">
        <v>118</v>
      </c>
      <c r="I71" s="80"/>
      <c r="J71" s="80"/>
      <c r="K71" s="128"/>
      <c r="L71" s="128"/>
      <c r="M71" s="128"/>
      <c r="N71" s="173"/>
      <c r="O71" s="173"/>
      <c r="P71" s="80"/>
      <c r="Q71" s="80"/>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414"/>
      <c r="BL71" s="414"/>
      <c r="BM71" s="414"/>
      <c r="BN71" s="267"/>
      <c r="BO71" s="267"/>
      <c r="BP71" s="267"/>
      <c r="BQ71" s="267"/>
      <c r="BR71" s="267"/>
      <c r="BS71" s="267"/>
      <c r="BT71" s="267"/>
      <c r="BU71" s="267"/>
      <c r="BV71" s="267"/>
      <c r="BW71" s="267"/>
      <c r="BX71" s="267"/>
      <c r="BY71" s="267"/>
      <c r="BZ71" s="267"/>
      <c r="CA71" s="267"/>
      <c r="CB71" s="269"/>
    </row>
    <row r="72" spans="1:80" ht="61.5" customHeight="1" x14ac:dyDescent="0.2">
      <c r="A72" s="42"/>
      <c r="B72" s="75"/>
      <c r="C72" s="883">
        <v>38</v>
      </c>
      <c r="D72" s="891" t="s">
        <v>53</v>
      </c>
      <c r="E72" s="883">
        <v>0</v>
      </c>
      <c r="F72" s="883">
        <v>2</v>
      </c>
      <c r="G72" s="43"/>
      <c r="H72" s="714">
        <v>275</v>
      </c>
      <c r="I72" s="709" t="s">
        <v>119</v>
      </c>
      <c r="J72" s="706" t="s">
        <v>43</v>
      </c>
      <c r="K72" s="54">
        <v>4</v>
      </c>
      <c r="L72" s="45">
        <v>3</v>
      </c>
      <c r="M72" s="884">
        <v>2017003630028</v>
      </c>
      <c r="N72" s="883" t="s">
        <v>44</v>
      </c>
      <c r="O72" s="895" t="s">
        <v>120</v>
      </c>
      <c r="P72" s="890" t="s">
        <v>960</v>
      </c>
      <c r="Q72" s="714" t="s">
        <v>52</v>
      </c>
      <c r="R72" s="424"/>
      <c r="S72" s="424"/>
      <c r="T72" s="424"/>
      <c r="U72" s="424"/>
      <c r="V72" s="424"/>
      <c r="W72" s="424"/>
      <c r="X72" s="424"/>
      <c r="Y72" s="424"/>
      <c r="Z72" s="424"/>
      <c r="AA72" s="424"/>
      <c r="AB72" s="425"/>
      <c r="AC72" s="425"/>
      <c r="AD72" s="426">
        <v>0</v>
      </c>
      <c r="AE72" s="426"/>
      <c r="AF72" s="426"/>
      <c r="AG72" s="426">
        <v>0</v>
      </c>
      <c r="AH72" s="426"/>
      <c r="AI72" s="426"/>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672">
        <f>900000000+387010000+75000000+115000000-60500000-25082209</f>
        <v>1391427791</v>
      </c>
      <c r="BL72" s="402">
        <v>1379414609</v>
      </c>
      <c r="BM72" s="402">
        <v>481375101</v>
      </c>
      <c r="BN72" s="402"/>
      <c r="BO72" s="402"/>
      <c r="BP72" s="402"/>
      <c r="BQ72" s="424"/>
      <c r="BR72" s="424"/>
      <c r="BS72" s="424"/>
      <c r="BT72" s="424"/>
      <c r="BU72" s="424"/>
      <c r="BV72" s="424"/>
      <c r="BW72" s="424"/>
      <c r="BX72" s="424"/>
      <c r="BY72" s="424"/>
      <c r="BZ72" s="401">
        <f t="shared" ref="BZ72:CB76" si="22">R72+U72+X72+AA72+AD72+AG72+AJ72+AM72+AP72+AS72+AV72+AY72+BB72+BE72+BH72+BK72+BN72+BQ72+BT72+BW72</f>
        <v>1391427791</v>
      </c>
      <c r="CA72" s="401">
        <f t="shared" si="22"/>
        <v>1379414609</v>
      </c>
      <c r="CB72" s="401">
        <f t="shared" si="22"/>
        <v>481375101</v>
      </c>
    </row>
    <row r="73" spans="1:80" ht="61.5" customHeight="1" x14ac:dyDescent="0.2">
      <c r="A73" s="42"/>
      <c r="B73" s="75"/>
      <c r="C73" s="883"/>
      <c r="D73" s="891"/>
      <c r="E73" s="883"/>
      <c r="F73" s="883"/>
      <c r="G73" s="49"/>
      <c r="H73" s="714">
        <v>276</v>
      </c>
      <c r="I73" s="729" t="s">
        <v>122</v>
      </c>
      <c r="J73" s="44">
        <v>1</v>
      </c>
      <c r="K73" s="45">
        <v>1</v>
      </c>
      <c r="L73" s="110">
        <v>0.75</v>
      </c>
      <c r="M73" s="885"/>
      <c r="N73" s="883"/>
      <c r="O73" s="883"/>
      <c r="P73" s="891"/>
      <c r="Q73" s="57" t="s">
        <v>52</v>
      </c>
      <c r="R73" s="424"/>
      <c r="S73" s="424"/>
      <c r="T73" s="424"/>
      <c r="U73" s="424"/>
      <c r="V73" s="424"/>
      <c r="W73" s="424"/>
      <c r="X73" s="424"/>
      <c r="Y73" s="424"/>
      <c r="Z73" s="424"/>
      <c r="AA73" s="424"/>
      <c r="AB73" s="427"/>
      <c r="AC73" s="427"/>
      <c r="AD73" s="404">
        <f>41200000-41200000</f>
        <v>0</v>
      </c>
      <c r="AE73" s="404"/>
      <c r="AF73" s="40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672">
        <f>300000000+40990000-75000000+67201457-3000000-15417791</f>
        <v>314773666</v>
      </c>
      <c r="BL73" s="402">
        <v>298505666</v>
      </c>
      <c r="BM73" s="402">
        <v>202070000</v>
      </c>
      <c r="BN73" s="402"/>
      <c r="BO73" s="402"/>
      <c r="BP73" s="402"/>
      <c r="BQ73" s="424"/>
      <c r="BR73" s="424"/>
      <c r="BS73" s="424"/>
      <c r="BT73" s="424"/>
      <c r="BU73" s="424"/>
      <c r="BV73" s="424"/>
      <c r="BW73" s="424"/>
      <c r="BX73" s="424"/>
      <c r="BY73" s="424"/>
      <c r="BZ73" s="401">
        <f t="shared" si="22"/>
        <v>314773666</v>
      </c>
      <c r="CA73" s="401">
        <f t="shared" si="22"/>
        <v>298505666</v>
      </c>
      <c r="CB73" s="401">
        <f t="shared" si="22"/>
        <v>202070000</v>
      </c>
    </row>
    <row r="74" spans="1:80" s="2" customFormat="1" ht="61.5" customHeight="1" x14ac:dyDescent="0.25">
      <c r="A74" s="42"/>
      <c r="B74" s="75"/>
      <c r="C74" s="898"/>
      <c r="D74" s="892"/>
      <c r="E74" s="898"/>
      <c r="F74" s="898"/>
      <c r="G74" s="49"/>
      <c r="H74" s="714">
        <v>277</v>
      </c>
      <c r="I74" s="729" t="s">
        <v>123</v>
      </c>
      <c r="J74" s="44">
        <v>1</v>
      </c>
      <c r="K74" s="45">
        <v>1</v>
      </c>
      <c r="L74" s="110">
        <v>0.75</v>
      </c>
      <c r="M74" s="886"/>
      <c r="N74" s="898"/>
      <c r="O74" s="898"/>
      <c r="P74" s="892"/>
      <c r="Q74" s="57" t="s">
        <v>52</v>
      </c>
      <c r="R74" s="424"/>
      <c r="S74" s="424"/>
      <c r="T74" s="424"/>
      <c r="U74" s="424"/>
      <c r="V74" s="424"/>
      <c r="W74" s="424"/>
      <c r="X74" s="424"/>
      <c r="Y74" s="424"/>
      <c r="Z74" s="424"/>
      <c r="AA74" s="424"/>
      <c r="AB74" s="425"/>
      <c r="AC74" s="425"/>
      <c r="AD74" s="426">
        <f>250000000+43558736</f>
        <v>293558736</v>
      </c>
      <c r="AE74" s="426">
        <v>41390000</v>
      </c>
      <c r="AF74" s="426">
        <v>41273000</v>
      </c>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672">
        <f>81181264+3000000+60500000</f>
        <v>144681264</v>
      </c>
      <c r="BL74" s="402">
        <v>129490000</v>
      </c>
      <c r="BM74" s="402">
        <v>83350000</v>
      </c>
      <c r="BN74" s="402"/>
      <c r="BO74" s="402"/>
      <c r="BP74" s="402"/>
      <c r="BQ74" s="401"/>
      <c r="BR74" s="403"/>
      <c r="BS74" s="403"/>
      <c r="BT74" s="403"/>
      <c r="BU74" s="403"/>
      <c r="BV74" s="403"/>
      <c r="BW74" s="404"/>
      <c r="BX74" s="404"/>
      <c r="BY74" s="404"/>
      <c r="BZ74" s="401">
        <f t="shared" si="22"/>
        <v>438240000</v>
      </c>
      <c r="CA74" s="401">
        <f t="shared" si="22"/>
        <v>170880000</v>
      </c>
      <c r="CB74" s="401">
        <f t="shared" si="22"/>
        <v>124623000</v>
      </c>
    </row>
    <row r="75" spans="1:80" ht="61.5" customHeight="1" x14ac:dyDescent="0.2">
      <c r="A75" s="42"/>
      <c r="B75" s="75"/>
      <c r="C75" s="895">
        <v>38</v>
      </c>
      <c r="D75" s="890" t="s">
        <v>53</v>
      </c>
      <c r="E75" s="895">
        <v>0</v>
      </c>
      <c r="F75" s="895">
        <v>2</v>
      </c>
      <c r="G75" s="49"/>
      <c r="H75" s="714">
        <v>278</v>
      </c>
      <c r="I75" s="729" t="s">
        <v>124</v>
      </c>
      <c r="J75" s="44" t="s">
        <v>43</v>
      </c>
      <c r="K75" s="45">
        <v>1</v>
      </c>
      <c r="L75" s="45">
        <v>1</v>
      </c>
      <c r="M75" s="907">
        <f>[2]ANDRES!$G$5</f>
        <v>2017003630029</v>
      </c>
      <c r="N75" s="895" t="s">
        <v>44</v>
      </c>
      <c r="O75" s="895" t="s">
        <v>125</v>
      </c>
      <c r="P75" s="890" t="s">
        <v>961</v>
      </c>
      <c r="Q75" s="57" t="s">
        <v>52</v>
      </c>
      <c r="R75" s="401">
        <v>0</v>
      </c>
      <c r="S75" s="401"/>
      <c r="T75" s="401"/>
      <c r="U75" s="401">
        <v>0</v>
      </c>
      <c r="V75" s="401"/>
      <c r="W75" s="401"/>
      <c r="X75" s="401">
        <v>0</v>
      </c>
      <c r="Y75" s="401"/>
      <c r="Z75" s="401"/>
      <c r="AA75" s="401">
        <v>0</v>
      </c>
      <c r="AB75" s="401"/>
      <c r="AC75" s="401"/>
      <c r="AD75" s="401">
        <v>0</v>
      </c>
      <c r="AE75" s="401"/>
      <c r="AF75" s="401"/>
      <c r="AG75" s="401">
        <v>0</v>
      </c>
      <c r="AH75" s="401"/>
      <c r="AI75" s="401"/>
      <c r="AJ75" s="401">
        <v>0</v>
      </c>
      <c r="AK75" s="401"/>
      <c r="AL75" s="401"/>
      <c r="AM75" s="401"/>
      <c r="AN75" s="401"/>
      <c r="AO75" s="401"/>
      <c r="AP75" s="401"/>
      <c r="AQ75" s="401"/>
      <c r="AR75" s="401"/>
      <c r="AS75" s="401">
        <v>0</v>
      </c>
      <c r="AT75" s="401"/>
      <c r="AU75" s="401"/>
      <c r="AV75" s="401">
        <v>0</v>
      </c>
      <c r="AW75" s="401"/>
      <c r="AX75" s="401"/>
      <c r="AY75" s="401"/>
      <c r="AZ75" s="401"/>
      <c r="BA75" s="401"/>
      <c r="BB75" s="401"/>
      <c r="BC75" s="401"/>
      <c r="BD75" s="401"/>
      <c r="BE75" s="401">
        <v>0</v>
      </c>
      <c r="BF75" s="401"/>
      <c r="BG75" s="401"/>
      <c r="BH75" s="401">
        <v>0</v>
      </c>
      <c r="BI75" s="401"/>
      <c r="BJ75" s="401"/>
      <c r="BK75" s="672">
        <f>18000000</f>
        <v>18000000</v>
      </c>
      <c r="BL75" s="402">
        <v>18000000</v>
      </c>
      <c r="BM75" s="402">
        <v>7500000</v>
      </c>
      <c r="BN75" s="402"/>
      <c r="BO75" s="402"/>
      <c r="BP75" s="402"/>
      <c r="BQ75" s="401">
        <v>0</v>
      </c>
      <c r="BR75" s="403"/>
      <c r="BS75" s="403"/>
      <c r="BT75" s="403"/>
      <c r="BU75" s="403"/>
      <c r="BV75" s="403"/>
      <c r="BW75" s="403">
        <v>0</v>
      </c>
      <c r="BX75" s="403"/>
      <c r="BY75" s="403"/>
      <c r="BZ75" s="401">
        <f t="shared" si="22"/>
        <v>18000000</v>
      </c>
      <c r="CA75" s="401">
        <f t="shared" si="22"/>
        <v>18000000</v>
      </c>
      <c r="CB75" s="401">
        <f t="shared" si="22"/>
        <v>7500000</v>
      </c>
    </row>
    <row r="76" spans="1:80" ht="61.5" customHeight="1" x14ac:dyDescent="0.2">
      <c r="A76" s="42"/>
      <c r="B76" s="75"/>
      <c r="C76" s="883"/>
      <c r="D76" s="891"/>
      <c r="E76" s="883"/>
      <c r="F76" s="883"/>
      <c r="G76" s="92"/>
      <c r="H76" s="714">
        <v>279</v>
      </c>
      <c r="I76" s="729" t="s">
        <v>127</v>
      </c>
      <c r="J76" s="44" t="s">
        <v>43</v>
      </c>
      <c r="K76" s="45">
        <v>1</v>
      </c>
      <c r="L76" s="110">
        <v>0.75</v>
      </c>
      <c r="M76" s="898"/>
      <c r="N76" s="898"/>
      <c r="O76" s="898"/>
      <c r="P76" s="892"/>
      <c r="Q76" s="57" t="s">
        <v>52</v>
      </c>
      <c r="R76" s="401">
        <v>0</v>
      </c>
      <c r="S76" s="401"/>
      <c r="T76" s="401"/>
      <c r="U76" s="401">
        <v>0</v>
      </c>
      <c r="V76" s="401"/>
      <c r="W76" s="401"/>
      <c r="X76" s="401">
        <v>0</v>
      </c>
      <c r="Y76" s="401"/>
      <c r="Z76" s="401"/>
      <c r="AA76" s="401">
        <v>0</v>
      </c>
      <c r="AB76" s="401"/>
      <c r="AC76" s="401"/>
      <c r="AD76" s="401">
        <v>0</v>
      </c>
      <c r="AE76" s="401"/>
      <c r="AF76" s="401"/>
      <c r="AG76" s="401"/>
      <c r="AH76" s="401"/>
      <c r="AI76" s="401"/>
      <c r="AJ76" s="401">
        <v>0</v>
      </c>
      <c r="AK76" s="401"/>
      <c r="AL76" s="401"/>
      <c r="AM76" s="401"/>
      <c r="AN76" s="401"/>
      <c r="AO76" s="401"/>
      <c r="AP76" s="401"/>
      <c r="AQ76" s="401"/>
      <c r="AR76" s="401"/>
      <c r="AS76" s="401">
        <v>0</v>
      </c>
      <c r="AT76" s="401"/>
      <c r="AU76" s="401"/>
      <c r="AV76" s="401">
        <v>0</v>
      </c>
      <c r="AW76" s="401"/>
      <c r="AX76" s="401"/>
      <c r="AY76" s="401"/>
      <c r="AZ76" s="401"/>
      <c r="BA76" s="401"/>
      <c r="BB76" s="401"/>
      <c r="BC76" s="401"/>
      <c r="BD76" s="401"/>
      <c r="BE76" s="401">
        <v>0</v>
      </c>
      <c r="BF76" s="401"/>
      <c r="BG76" s="401"/>
      <c r="BH76" s="401">
        <v>0</v>
      </c>
      <c r="BI76" s="401"/>
      <c r="BJ76" s="401"/>
      <c r="BK76" s="672">
        <f>300000000+72000000+40500000</f>
        <v>412500000</v>
      </c>
      <c r="BL76" s="402">
        <v>392214666</v>
      </c>
      <c r="BM76" s="402">
        <v>267510000</v>
      </c>
      <c r="BN76" s="402"/>
      <c r="BO76" s="402"/>
      <c r="BP76" s="402"/>
      <c r="BQ76" s="401"/>
      <c r="BR76" s="403"/>
      <c r="BS76" s="403"/>
      <c r="BT76" s="403"/>
      <c r="BU76" s="403"/>
      <c r="BV76" s="403"/>
      <c r="BW76" s="403">
        <v>0</v>
      </c>
      <c r="BX76" s="403"/>
      <c r="BY76" s="403"/>
      <c r="BZ76" s="401">
        <f t="shared" si="22"/>
        <v>412500000</v>
      </c>
      <c r="CA76" s="401">
        <f t="shared" si="22"/>
        <v>392214666</v>
      </c>
      <c r="CB76" s="401">
        <f t="shared" si="22"/>
        <v>267510000</v>
      </c>
    </row>
    <row r="77" spans="1:80" ht="30" customHeight="1" x14ac:dyDescent="0.2">
      <c r="A77" s="42"/>
      <c r="B77" s="114"/>
      <c r="C77" s="714"/>
      <c r="D77" s="709"/>
      <c r="E77" s="714"/>
      <c r="F77" s="714"/>
      <c r="G77" s="58"/>
      <c r="H77" s="59"/>
      <c r="I77" s="58"/>
      <c r="J77" s="60"/>
      <c r="K77" s="84"/>
      <c r="L77" s="84"/>
      <c r="M77" s="84"/>
      <c r="N77" s="60"/>
      <c r="O77" s="59"/>
      <c r="P77" s="58"/>
      <c r="Q77" s="59"/>
      <c r="R77" s="410">
        <f t="shared" ref="R77:BY77" si="23">SUM(R72:R76)</f>
        <v>0</v>
      </c>
      <c r="S77" s="410">
        <f t="shared" si="23"/>
        <v>0</v>
      </c>
      <c r="T77" s="410">
        <f t="shared" si="23"/>
        <v>0</v>
      </c>
      <c r="U77" s="410">
        <f t="shared" si="23"/>
        <v>0</v>
      </c>
      <c r="V77" s="410">
        <f t="shared" si="23"/>
        <v>0</v>
      </c>
      <c r="W77" s="410">
        <f t="shared" si="23"/>
        <v>0</v>
      </c>
      <c r="X77" s="410">
        <f t="shared" si="23"/>
        <v>0</v>
      </c>
      <c r="Y77" s="410">
        <f t="shared" si="23"/>
        <v>0</v>
      </c>
      <c r="Z77" s="410">
        <f t="shared" si="23"/>
        <v>0</v>
      </c>
      <c r="AA77" s="410">
        <f t="shared" si="23"/>
        <v>0</v>
      </c>
      <c r="AB77" s="410">
        <f t="shared" si="23"/>
        <v>0</v>
      </c>
      <c r="AC77" s="410">
        <f t="shared" si="23"/>
        <v>0</v>
      </c>
      <c r="AD77" s="410">
        <f t="shared" si="23"/>
        <v>293558736</v>
      </c>
      <c r="AE77" s="410">
        <f t="shared" si="23"/>
        <v>41390000</v>
      </c>
      <c r="AF77" s="410">
        <f t="shared" si="23"/>
        <v>41273000</v>
      </c>
      <c r="AG77" s="410">
        <f t="shared" si="23"/>
        <v>0</v>
      </c>
      <c r="AH77" s="410">
        <f t="shared" si="23"/>
        <v>0</v>
      </c>
      <c r="AI77" s="410">
        <f t="shared" si="23"/>
        <v>0</v>
      </c>
      <c r="AJ77" s="410">
        <f t="shared" si="23"/>
        <v>0</v>
      </c>
      <c r="AK77" s="410">
        <f t="shared" si="23"/>
        <v>0</v>
      </c>
      <c r="AL77" s="410">
        <f t="shared" si="23"/>
        <v>0</v>
      </c>
      <c r="AM77" s="410">
        <f t="shared" si="23"/>
        <v>0</v>
      </c>
      <c r="AN77" s="410">
        <f t="shared" si="23"/>
        <v>0</v>
      </c>
      <c r="AO77" s="410">
        <f t="shared" si="23"/>
        <v>0</v>
      </c>
      <c r="AP77" s="410">
        <f t="shared" si="23"/>
        <v>0</v>
      </c>
      <c r="AQ77" s="410">
        <f t="shared" si="23"/>
        <v>0</v>
      </c>
      <c r="AR77" s="410">
        <f t="shared" si="23"/>
        <v>0</v>
      </c>
      <c r="AS77" s="410">
        <f t="shared" si="23"/>
        <v>0</v>
      </c>
      <c r="AT77" s="410">
        <f t="shared" si="23"/>
        <v>0</v>
      </c>
      <c r="AU77" s="410">
        <f t="shared" si="23"/>
        <v>0</v>
      </c>
      <c r="AV77" s="410">
        <f t="shared" si="23"/>
        <v>0</v>
      </c>
      <c r="AW77" s="410">
        <f t="shared" si="23"/>
        <v>0</v>
      </c>
      <c r="AX77" s="410">
        <f t="shared" si="23"/>
        <v>0</v>
      </c>
      <c r="AY77" s="410">
        <f t="shared" si="23"/>
        <v>0</v>
      </c>
      <c r="AZ77" s="410">
        <f t="shared" si="23"/>
        <v>0</v>
      </c>
      <c r="BA77" s="410">
        <f t="shared" si="23"/>
        <v>0</v>
      </c>
      <c r="BB77" s="410">
        <f t="shared" si="23"/>
        <v>0</v>
      </c>
      <c r="BC77" s="410">
        <f t="shared" si="23"/>
        <v>0</v>
      </c>
      <c r="BD77" s="410">
        <f t="shared" si="23"/>
        <v>0</v>
      </c>
      <c r="BE77" s="410">
        <f t="shared" si="23"/>
        <v>0</v>
      </c>
      <c r="BF77" s="410">
        <f t="shared" si="23"/>
        <v>0</v>
      </c>
      <c r="BG77" s="410">
        <f t="shared" si="23"/>
        <v>0</v>
      </c>
      <c r="BH77" s="410">
        <f t="shared" si="23"/>
        <v>0</v>
      </c>
      <c r="BI77" s="410">
        <f t="shared" si="23"/>
        <v>0</v>
      </c>
      <c r="BJ77" s="410">
        <f t="shared" si="23"/>
        <v>0</v>
      </c>
      <c r="BK77" s="410">
        <f t="shared" si="23"/>
        <v>2281382721</v>
      </c>
      <c r="BL77" s="410">
        <f t="shared" si="23"/>
        <v>2217624941</v>
      </c>
      <c r="BM77" s="410">
        <f t="shared" si="23"/>
        <v>1041805101</v>
      </c>
      <c r="BN77" s="410">
        <f t="shared" si="23"/>
        <v>0</v>
      </c>
      <c r="BO77" s="410">
        <f t="shared" si="23"/>
        <v>0</v>
      </c>
      <c r="BP77" s="410">
        <f t="shared" si="23"/>
        <v>0</v>
      </c>
      <c r="BQ77" s="410">
        <f t="shared" si="23"/>
        <v>0</v>
      </c>
      <c r="BR77" s="410">
        <f t="shared" si="23"/>
        <v>0</v>
      </c>
      <c r="BS77" s="410">
        <f t="shared" si="23"/>
        <v>0</v>
      </c>
      <c r="BT77" s="410">
        <f t="shared" si="23"/>
        <v>0</v>
      </c>
      <c r="BU77" s="410">
        <f t="shared" si="23"/>
        <v>0</v>
      </c>
      <c r="BV77" s="410">
        <f t="shared" si="23"/>
        <v>0</v>
      </c>
      <c r="BW77" s="410">
        <f t="shared" si="23"/>
        <v>0</v>
      </c>
      <c r="BX77" s="410">
        <f t="shared" si="23"/>
        <v>0</v>
      </c>
      <c r="BY77" s="410">
        <f t="shared" si="23"/>
        <v>0</v>
      </c>
      <c r="BZ77" s="410">
        <f>SUM(BZ72:BZ76)</f>
        <v>2574941457</v>
      </c>
      <c r="CA77" s="410">
        <f t="shared" ref="CA77:CB77" si="24">SUM(CA72:CA76)</f>
        <v>2259014941</v>
      </c>
      <c r="CB77" s="410">
        <f t="shared" si="24"/>
        <v>1083078101</v>
      </c>
    </row>
    <row r="78" spans="1:80" ht="30" customHeight="1" x14ac:dyDescent="0.2">
      <c r="A78" s="55"/>
      <c r="B78" s="95"/>
      <c r="C78" s="63"/>
      <c r="D78" s="62"/>
      <c r="E78" s="63"/>
      <c r="F78" s="63"/>
      <c r="G78" s="62"/>
      <c r="H78" s="63"/>
      <c r="I78" s="62"/>
      <c r="J78" s="64"/>
      <c r="K78" s="100"/>
      <c r="L78" s="100"/>
      <c r="M78" s="100"/>
      <c r="N78" s="64"/>
      <c r="O78" s="63"/>
      <c r="P78" s="62"/>
      <c r="Q78" s="63"/>
      <c r="R78" s="416">
        <f t="shared" ref="R78:CB80" si="25">R77</f>
        <v>0</v>
      </c>
      <c r="S78" s="416">
        <f t="shared" si="25"/>
        <v>0</v>
      </c>
      <c r="T78" s="416">
        <f t="shared" si="25"/>
        <v>0</v>
      </c>
      <c r="U78" s="416">
        <f t="shared" si="25"/>
        <v>0</v>
      </c>
      <c r="V78" s="416">
        <f t="shared" si="25"/>
        <v>0</v>
      </c>
      <c r="W78" s="416">
        <f t="shared" si="25"/>
        <v>0</v>
      </c>
      <c r="X78" s="416">
        <f t="shared" si="25"/>
        <v>0</v>
      </c>
      <c r="Y78" s="416">
        <f t="shared" si="25"/>
        <v>0</v>
      </c>
      <c r="Z78" s="416">
        <f t="shared" si="25"/>
        <v>0</v>
      </c>
      <c r="AA78" s="416">
        <f t="shared" si="25"/>
        <v>0</v>
      </c>
      <c r="AB78" s="416">
        <f t="shared" si="25"/>
        <v>0</v>
      </c>
      <c r="AC78" s="416">
        <f t="shared" si="25"/>
        <v>0</v>
      </c>
      <c r="AD78" s="416">
        <f t="shared" si="25"/>
        <v>293558736</v>
      </c>
      <c r="AE78" s="416">
        <f t="shared" si="25"/>
        <v>41390000</v>
      </c>
      <c r="AF78" s="416">
        <f t="shared" si="25"/>
        <v>41273000</v>
      </c>
      <c r="AG78" s="416">
        <f t="shared" si="25"/>
        <v>0</v>
      </c>
      <c r="AH78" s="416">
        <f t="shared" si="25"/>
        <v>0</v>
      </c>
      <c r="AI78" s="416">
        <f t="shared" si="25"/>
        <v>0</v>
      </c>
      <c r="AJ78" s="416">
        <f t="shared" si="25"/>
        <v>0</v>
      </c>
      <c r="AK78" s="416">
        <f t="shared" si="25"/>
        <v>0</v>
      </c>
      <c r="AL78" s="416">
        <f t="shared" si="25"/>
        <v>0</v>
      </c>
      <c r="AM78" s="416">
        <f t="shared" si="25"/>
        <v>0</v>
      </c>
      <c r="AN78" s="416">
        <f t="shared" si="25"/>
        <v>0</v>
      </c>
      <c r="AO78" s="416">
        <f t="shared" si="25"/>
        <v>0</v>
      </c>
      <c r="AP78" s="416">
        <f t="shared" si="25"/>
        <v>0</v>
      </c>
      <c r="AQ78" s="416">
        <f t="shared" si="25"/>
        <v>0</v>
      </c>
      <c r="AR78" s="416">
        <f t="shared" si="25"/>
        <v>0</v>
      </c>
      <c r="AS78" s="416">
        <f t="shared" si="25"/>
        <v>0</v>
      </c>
      <c r="AT78" s="416">
        <f t="shared" si="25"/>
        <v>0</v>
      </c>
      <c r="AU78" s="416">
        <f t="shared" si="25"/>
        <v>0</v>
      </c>
      <c r="AV78" s="416">
        <f t="shared" si="25"/>
        <v>0</v>
      </c>
      <c r="AW78" s="416">
        <f t="shared" si="25"/>
        <v>0</v>
      </c>
      <c r="AX78" s="416">
        <f t="shared" si="25"/>
        <v>0</v>
      </c>
      <c r="AY78" s="416">
        <f t="shared" si="25"/>
        <v>0</v>
      </c>
      <c r="AZ78" s="416">
        <f t="shared" si="25"/>
        <v>0</v>
      </c>
      <c r="BA78" s="416">
        <f t="shared" si="25"/>
        <v>0</v>
      </c>
      <c r="BB78" s="416">
        <f t="shared" si="25"/>
        <v>0</v>
      </c>
      <c r="BC78" s="416">
        <f t="shared" si="25"/>
        <v>0</v>
      </c>
      <c r="BD78" s="416">
        <f t="shared" si="25"/>
        <v>0</v>
      </c>
      <c r="BE78" s="416">
        <f t="shared" si="25"/>
        <v>0</v>
      </c>
      <c r="BF78" s="416">
        <f t="shared" si="25"/>
        <v>0</v>
      </c>
      <c r="BG78" s="416">
        <f t="shared" si="25"/>
        <v>0</v>
      </c>
      <c r="BH78" s="416">
        <f t="shared" si="25"/>
        <v>0</v>
      </c>
      <c r="BI78" s="416">
        <f t="shared" si="25"/>
        <v>0</v>
      </c>
      <c r="BJ78" s="416">
        <f t="shared" si="25"/>
        <v>0</v>
      </c>
      <c r="BK78" s="416">
        <f t="shared" si="25"/>
        <v>2281382721</v>
      </c>
      <c r="BL78" s="416">
        <f t="shared" si="25"/>
        <v>2217624941</v>
      </c>
      <c r="BM78" s="416">
        <f t="shared" si="25"/>
        <v>1041805101</v>
      </c>
      <c r="BN78" s="416">
        <f t="shared" si="25"/>
        <v>0</v>
      </c>
      <c r="BO78" s="416">
        <f t="shared" si="25"/>
        <v>0</v>
      </c>
      <c r="BP78" s="416">
        <f t="shared" si="25"/>
        <v>0</v>
      </c>
      <c r="BQ78" s="416">
        <f t="shared" si="25"/>
        <v>0</v>
      </c>
      <c r="BR78" s="416">
        <f t="shared" si="25"/>
        <v>0</v>
      </c>
      <c r="BS78" s="416">
        <f t="shared" si="25"/>
        <v>0</v>
      </c>
      <c r="BT78" s="416">
        <f t="shared" si="25"/>
        <v>0</v>
      </c>
      <c r="BU78" s="416">
        <f t="shared" si="25"/>
        <v>0</v>
      </c>
      <c r="BV78" s="416">
        <f t="shared" si="25"/>
        <v>0</v>
      </c>
      <c r="BW78" s="416">
        <f t="shared" si="25"/>
        <v>0</v>
      </c>
      <c r="BX78" s="416">
        <f t="shared" si="25"/>
        <v>0</v>
      </c>
      <c r="BY78" s="416">
        <f t="shared" si="25"/>
        <v>0</v>
      </c>
      <c r="BZ78" s="416">
        <f t="shared" si="25"/>
        <v>2574941457</v>
      </c>
      <c r="CA78" s="416">
        <f t="shared" si="25"/>
        <v>2259014941</v>
      </c>
      <c r="CB78" s="416">
        <f t="shared" si="25"/>
        <v>1083078101</v>
      </c>
    </row>
    <row r="79" spans="1:80" ht="30" customHeight="1" x14ac:dyDescent="0.2">
      <c r="A79" s="65"/>
      <c r="B79" s="65"/>
      <c r="C79" s="66"/>
      <c r="D79" s="65"/>
      <c r="E79" s="66"/>
      <c r="F79" s="66"/>
      <c r="G79" s="65"/>
      <c r="H79" s="66"/>
      <c r="I79" s="65"/>
      <c r="J79" s="67"/>
      <c r="K79" s="129"/>
      <c r="L79" s="129"/>
      <c r="M79" s="129"/>
      <c r="N79" s="67"/>
      <c r="O79" s="66"/>
      <c r="P79" s="65"/>
      <c r="Q79" s="66"/>
      <c r="R79" s="422">
        <f t="shared" si="25"/>
        <v>0</v>
      </c>
      <c r="S79" s="422">
        <f t="shared" si="25"/>
        <v>0</v>
      </c>
      <c r="T79" s="422">
        <f t="shared" si="25"/>
        <v>0</v>
      </c>
      <c r="U79" s="422">
        <f t="shared" si="25"/>
        <v>0</v>
      </c>
      <c r="V79" s="422">
        <f t="shared" si="25"/>
        <v>0</v>
      </c>
      <c r="W79" s="422">
        <f t="shared" si="25"/>
        <v>0</v>
      </c>
      <c r="X79" s="422">
        <f t="shared" si="25"/>
        <v>0</v>
      </c>
      <c r="Y79" s="422">
        <f t="shared" si="25"/>
        <v>0</v>
      </c>
      <c r="Z79" s="422">
        <f t="shared" si="25"/>
        <v>0</v>
      </c>
      <c r="AA79" s="422">
        <f t="shared" si="25"/>
        <v>0</v>
      </c>
      <c r="AB79" s="422">
        <f t="shared" si="25"/>
        <v>0</v>
      </c>
      <c r="AC79" s="422">
        <f t="shared" si="25"/>
        <v>0</v>
      </c>
      <c r="AD79" s="422">
        <f t="shared" si="25"/>
        <v>293558736</v>
      </c>
      <c r="AE79" s="422">
        <f t="shared" si="25"/>
        <v>41390000</v>
      </c>
      <c r="AF79" s="422">
        <f t="shared" si="25"/>
        <v>41273000</v>
      </c>
      <c r="AG79" s="422">
        <f t="shared" si="25"/>
        <v>0</v>
      </c>
      <c r="AH79" s="422">
        <f t="shared" si="25"/>
        <v>0</v>
      </c>
      <c r="AI79" s="422">
        <f t="shared" si="25"/>
        <v>0</v>
      </c>
      <c r="AJ79" s="422">
        <f t="shared" si="25"/>
        <v>0</v>
      </c>
      <c r="AK79" s="422">
        <f t="shared" si="25"/>
        <v>0</v>
      </c>
      <c r="AL79" s="422">
        <f t="shared" si="25"/>
        <v>0</v>
      </c>
      <c r="AM79" s="422">
        <f t="shared" si="25"/>
        <v>0</v>
      </c>
      <c r="AN79" s="422">
        <f t="shared" si="25"/>
        <v>0</v>
      </c>
      <c r="AO79" s="422">
        <f t="shared" si="25"/>
        <v>0</v>
      </c>
      <c r="AP79" s="422">
        <f t="shared" si="25"/>
        <v>0</v>
      </c>
      <c r="AQ79" s="422">
        <f t="shared" si="25"/>
        <v>0</v>
      </c>
      <c r="AR79" s="422">
        <f t="shared" si="25"/>
        <v>0</v>
      </c>
      <c r="AS79" s="422">
        <f t="shared" si="25"/>
        <v>0</v>
      </c>
      <c r="AT79" s="422">
        <f t="shared" si="25"/>
        <v>0</v>
      </c>
      <c r="AU79" s="422">
        <f t="shared" si="25"/>
        <v>0</v>
      </c>
      <c r="AV79" s="422">
        <f t="shared" si="25"/>
        <v>0</v>
      </c>
      <c r="AW79" s="422">
        <f t="shared" si="25"/>
        <v>0</v>
      </c>
      <c r="AX79" s="422">
        <f t="shared" si="25"/>
        <v>0</v>
      </c>
      <c r="AY79" s="422">
        <f t="shared" si="25"/>
        <v>0</v>
      </c>
      <c r="AZ79" s="422">
        <f t="shared" si="25"/>
        <v>0</v>
      </c>
      <c r="BA79" s="422">
        <f t="shared" si="25"/>
        <v>0</v>
      </c>
      <c r="BB79" s="422">
        <f t="shared" si="25"/>
        <v>0</v>
      </c>
      <c r="BC79" s="422">
        <f t="shared" si="25"/>
        <v>0</v>
      </c>
      <c r="BD79" s="422">
        <f t="shared" si="25"/>
        <v>0</v>
      </c>
      <c r="BE79" s="422">
        <f t="shared" si="25"/>
        <v>0</v>
      </c>
      <c r="BF79" s="422">
        <f t="shared" si="25"/>
        <v>0</v>
      </c>
      <c r="BG79" s="422">
        <f t="shared" si="25"/>
        <v>0</v>
      </c>
      <c r="BH79" s="422">
        <f t="shared" si="25"/>
        <v>0</v>
      </c>
      <c r="BI79" s="422">
        <f t="shared" si="25"/>
        <v>0</v>
      </c>
      <c r="BJ79" s="422">
        <f t="shared" si="25"/>
        <v>0</v>
      </c>
      <c r="BK79" s="422">
        <f t="shared" si="25"/>
        <v>2281382721</v>
      </c>
      <c r="BL79" s="422">
        <f t="shared" si="25"/>
        <v>2217624941</v>
      </c>
      <c r="BM79" s="422">
        <f t="shared" si="25"/>
        <v>1041805101</v>
      </c>
      <c r="BN79" s="422">
        <f t="shared" si="25"/>
        <v>0</v>
      </c>
      <c r="BO79" s="422">
        <f t="shared" si="25"/>
        <v>0</v>
      </c>
      <c r="BP79" s="422">
        <f t="shared" si="25"/>
        <v>0</v>
      </c>
      <c r="BQ79" s="422">
        <f t="shared" si="25"/>
        <v>0</v>
      </c>
      <c r="BR79" s="422">
        <f t="shared" si="25"/>
        <v>0</v>
      </c>
      <c r="BS79" s="422">
        <f t="shared" si="25"/>
        <v>0</v>
      </c>
      <c r="BT79" s="422">
        <f t="shared" si="25"/>
        <v>0</v>
      </c>
      <c r="BU79" s="422">
        <f t="shared" si="25"/>
        <v>0</v>
      </c>
      <c r="BV79" s="422">
        <f t="shared" si="25"/>
        <v>0</v>
      </c>
      <c r="BW79" s="422">
        <f t="shared" si="25"/>
        <v>0</v>
      </c>
      <c r="BX79" s="422">
        <f t="shared" si="25"/>
        <v>0</v>
      </c>
      <c r="BY79" s="422">
        <f t="shared" si="25"/>
        <v>0</v>
      </c>
      <c r="BZ79" s="422">
        <f t="shared" si="25"/>
        <v>2574941457</v>
      </c>
      <c r="CA79" s="422">
        <f t="shared" si="25"/>
        <v>2259014941</v>
      </c>
      <c r="CB79" s="422">
        <f t="shared" si="25"/>
        <v>1083078101</v>
      </c>
    </row>
    <row r="80" spans="1:80" ht="30" customHeight="1" x14ac:dyDescent="0.2">
      <c r="A80" s="68"/>
      <c r="B80" s="68"/>
      <c r="C80" s="69"/>
      <c r="D80" s="68"/>
      <c r="E80" s="69"/>
      <c r="F80" s="69"/>
      <c r="G80" s="68"/>
      <c r="H80" s="69"/>
      <c r="I80" s="68"/>
      <c r="J80" s="70"/>
      <c r="K80" s="130"/>
      <c r="L80" s="130"/>
      <c r="M80" s="130"/>
      <c r="N80" s="70"/>
      <c r="O80" s="69"/>
      <c r="P80" s="68"/>
      <c r="Q80" s="69"/>
      <c r="R80" s="423">
        <f t="shared" si="25"/>
        <v>0</v>
      </c>
      <c r="S80" s="423">
        <f t="shared" si="25"/>
        <v>0</v>
      </c>
      <c r="T80" s="423">
        <f t="shared" si="25"/>
        <v>0</v>
      </c>
      <c r="U80" s="423">
        <f t="shared" si="25"/>
        <v>0</v>
      </c>
      <c r="V80" s="423">
        <f t="shared" si="25"/>
        <v>0</v>
      </c>
      <c r="W80" s="423">
        <f t="shared" si="25"/>
        <v>0</v>
      </c>
      <c r="X80" s="423">
        <f t="shared" si="25"/>
        <v>0</v>
      </c>
      <c r="Y80" s="423">
        <f t="shared" si="25"/>
        <v>0</v>
      </c>
      <c r="Z80" s="423">
        <f t="shared" si="25"/>
        <v>0</v>
      </c>
      <c r="AA80" s="423">
        <f t="shared" si="25"/>
        <v>0</v>
      </c>
      <c r="AB80" s="423">
        <f t="shared" si="25"/>
        <v>0</v>
      </c>
      <c r="AC80" s="423">
        <f t="shared" si="25"/>
        <v>0</v>
      </c>
      <c r="AD80" s="423">
        <f t="shared" si="25"/>
        <v>293558736</v>
      </c>
      <c r="AE80" s="423">
        <f t="shared" si="25"/>
        <v>41390000</v>
      </c>
      <c r="AF80" s="423">
        <f t="shared" si="25"/>
        <v>41273000</v>
      </c>
      <c r="AG80" s="423">
        <f t="shared" si="25"/>
        <v>0</v>
      </c>
      <c r="AH80" s="423">
        <f t="shared" si="25"/>
        <v>0</v>
      </c>
      <c r="AI80" s="423">
        <f t="shared" si="25"/>
        <v>0</v>
      </c>
      <c r="AJ80" s="423">
        <f t="shared" si="25"/>
        <v>0</v>
      </c>
      <c r="AK80" s="423">
        <f t="shared" si="25"/>
        <v>0</v>
      </c>
      <c r="AL80" s="423">
        <f t="shared" si="25"/>
        <v>0</v>
      </c>
      <c r="AM80" s="423">
        <f t="shared" si="25"/>
        <v>0</v>
      </c>
      <c r="AN80" s="423">
        <f t="shared" si="25"/>
        <v>0</v>
      </c>
      <c r="AO80" s="423">
        <f t="shared" si="25"/>
        <v>0</v>
      </c>
      <c r="AP80" s="423">
        <f t="shared" si="25"/>
        <v>0</v>
      </c>
      <c r="AQ80" s="423">
        <f t="shared" si="25"/>
        <v>0</v>
      </c>
      <c r="AR80" s="423">
        <f t="shared" si="25"/>
        <v>0</v>
      </c>
      <c r="AS80" s="423">
        <f t="shared" si="25"/>
        <v>0</v>
      </c>
      <c r="AT80" s="423">
        <f t="shared" si="25"/>
        <v>0</v>
      </c>
      <c r="AU80" s="423">
        <f t="shared" si="25"/>
        <v>0</v>
      </c>
      <c r="AV80" s="423">
        <f t="shared" si="25"/>
        <v>0</v>
      </c>
      <c r="AW80" s="423">
        <f t="shared" si="25"/>
        <v>0</v>
      </c>
      <c r="AX80" s="423">
        <f t="shared" si="25"/>
        <v>0</v>
      </c>
      <c r="AY80" s="423">
        <f t="shared" si="25"/>
        <v>0</v>
      </c>
      <c r="AZ80" s="423">
        <f t="shared" si="25"/>
        <v>0</v>
      </c>
      <c r="BA80" s="423">
        <f t="shared" si="25"/>
        <v>0</v>
      </c>
      <c r="BB80" s="423">
        <f t="shared" si="25"/>
        <v>0</v>
      </c>
      <c r="BC80" s="423">
        <f t="shared" si="25"/>
        <v>0</v>
      </c>
      <c r="BD80" s="423">
        <f t="shared" si="25"/>
        <v>0</v>
      </c>
      <c r="BE80" s="423">
        <f t="shared" si="25"/>
        <v>0</v>
      </c>
      <c r="BF80" s="423">
        <f t="shared" si="25"/>
        <v>0</v>
      </c>
      <c r="BG80" s="423">
        <f t="shared" si="25"/>
        <v>0</v>
      </c>
      <c r="BH80" s="423">
        <f t="shared" si="25"/>
        <v>0</v>
      </c>
      <c r="BI80" s="423">
        <f t="shared" si="25"/>
        <v>0</v>
      </c>
      <c r="BJ80" s="423">
        <f t="shared" si="25"/>
        <v>0</v>
      </c>
      <c r="BK80" s="423">
        <f t="shared" si="25"/>
        <v>2281382721</v>
      </c>
      <c r="BL80" s="423">
        <f t="shared" si="25"/>
        <v>2217624941</v>
      </c>
      <c r="BM80" s="423">
        <f t="shared" si="25"/>
        <v>1041805101</v>
      </c>
      <c r="BN80" s="423">
        <f t="shared" si="25"/>
        <v>0</v>
      </c>
      <c r="BO80" s="423">
        <f t="shared" si="25"/>
        <v>0</v>
      </c>
      <c r="BP80" s="423">
        <f t="shared" si="25"/>
        <v>0</v>
      </c>
      <c r="BQ80" s="423">
        <f t="shared" si="25"/>
        <v>0</v>
      </c>
      <c r="BR80" s="423">
        <f t="shared" si="25"/>
        <v>0</v>
      </c>
      <c r="BS80" s="423">
        <f t="shared" si="25"/>
        <v>0</v>
      </c>
      <c r="BT80" s="423">
        <f t="shared" si="25"/>
        <v>0</v>
      </c>
      <c r="BU80" s="423">
        <f t="shared" si="25"/>
        <v>0</v>
      </c>
      <c r="BV80" s="423">
        <f t="shared" si="25"/>
        <v>0</v>
      </c>
      <c r="BW80" s="423">
        <f t="shared" si="25"/>
        <v>0</v>
      </c>
      <c r="BX80" s="423">
        <f t="shared" si="25"/>
        <v>0</v>
      </c>
      <c r="BY80" s="423">
        <f t="shared" si="25"/>
        <v>0</v>
      </c>
      <c r="BZ80" s="423">
        <f t="shared" si="25"/>
        <v>2574941457</v>
      </c>
      <c r="CA80" s="423">
        <f t="shared" si="25"/>
        <v>2259014941</v>
      </c>
      <c r="CB80" s="423">
        <f t="shared" si="25"/>
        <v>1083078101</v>
      </c>
    </row>
    <row r="81" spans="1:80" ht="30" customHeight="1" x14ac:dyDescent="0.2">
      <c r="A81" s="71"/>
      <c r="B81" s="72"/>
      <c r="C81" s="150"/>
      <c r="D81" s="72"/>
      <c r="E81" s="150"/>
      <c r="F81" s="150"/>
      <c r="G81" s="72"/>
      <c r="H81" s="150"/>
      <c r="I81" s="72"/>
      <c r="J81" s="73"/>
      <c r="K81" s="83"/>
      <c r="L81" s="83"/>
      <c r="M81" s="83"/>
      <c r="N81" s="73"/>
      <c r="O81" s="150"/>
      <c r="P81" s="72"/>
      <c r="Q81" s="150"/>
      <c r="R81" s="405"/>
      <c r="S81" s="405"/>
      <c r="T81" s="405"/>
      <c r="U81" s="406"/>
      <c r="V81" s="406"/>
      <c r="W81" s="406"/>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5"/>
      <c r="AY81" s="406"/>
      <c r="AZ81" s="406"/>
      <c r="BA81" s="406"/>
      <c r="BB81" s="406"/>
      <c r="BC81" s="406"/>
      <c r="BD81" s="406"/>
      <c r="BE81" s="405"/>
      <c r="BF81" s="405"/>
      <c r="BG81" s="405"/>
      <c r="BH81" s="405"/>
      <c r="BI81" s="405"/>
      <c r="BJ81" s="405"/>
      <c r="BK81" s="407"/>
      <c r="BL81" s="407"/>
      <c r="BM81" s="407"/>
      <c r="BN81" s="408"/>
      <c r="BO81" s="408"/>
      <c r="BP81" s="408"/>
      <c r="BQ81" s="405"/>
      <c r="BR81" s="405"/>
      <c r="BS81" s="405"/>
      <c r="BT81" s="405"/>
      <c r="BU81" s="405"/>
      <c r="BV81" s="405"/>
      <c r="BW81" s="406"/>
      <c r="BX81" s="406"/>
      <c r="BY81" s="406"/>
      <c r="BZ81" s="405"/>
      <c r="CA81" s="405"/>
      <c r="CB81" s="409"/>
    </row>
    <row r="82" spans="1:80" ht="30" customHeight="1" x14ac:dyDescent="0.2">
      <c r="A82" s="31" t="s">
        <v>128</v>
      </c>
      <c r="B82" s="32"/>
      <c r="C82" s="33"/>
      <c r="D82" s="32"/>
      <c r="E82" s="32"/>
      <c r="F82" s="32"/>
      <c r="G82" s="32"/>
      <c r="H82" s="33"/>
      <c r="I82" s="32"/>
      <c r="J82" s="32"/>
      <c r="K82" s="131"/>
      <c r="L82" s="131"/>
      <c r="M82" s="131"/>
      <c r="N82" s="33"/>
      <c r="O82" s="33"/>
      <c r="P82" s="32"/>
      <c r="Q82" s="33"/>
      <c r="R82" s="472"/>
      <c r="S82" s="472"/>
      <c r="T82" s="472"/>
      <c r="U82" s="472"/>
      <c r="V82" s="472"/>
      <c r="W82" s="472"/>
      <c r="X82" s="472"/>
      <c r="Y82" s="472"/>
      <c r="Z82" s="472"/>
      <c r="AA82" s="472"/>
      <c r="AB82" s="472"/>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2"/>
      <c r="AY82" s="472"/>
      <c r="AZ82" s="472"/>
      <c r="BA82" s="472"/>
      <c r="BB82" s="472"/>
      <c r="BC82" s="472"/>
      <c r="BD82" s="472"/>
      <c r="BE82" s="472"/>
      <c r="BF82" s="472"/>
      <c r="BG82" s="472"/>
      <c r="BH82" s="472"/>
      <c r="BI82" s="472"/>
      <c r="BJ82" s="472"/>
      <c r="BK82" s="473"/>
      <c r="BL82" s="473"/>
      <c r="BM82" s="473"/>
      <c r="BN82" s="474"/>
      <c r="BO82" s="474"/>
      <c r="BP82" s="474"/>
      <c r="BQ82" s="472"/>
      <c r="BR82" s="472"/>
      <c r="BS82" s="472"/>
      <c r="BT82" s="472"/>
      <c r="BU82" s="472"/>
      <c r="BV82" s="472"/>
      <c r="BW82" s="472"/>
      <c r="BX82" s="472"/>
      <c r="BY82" s="472"/>
      <c r="BZ82" s="472"/>
      <c r="CA82" s="472"/>
      <c r="CB82" s="475"/>
    </row>
    <row r="83" spans="1:80" ht="30" customHeight="1" x14ac:dyDescent="0.2">
      <c r="A83" s="787">
        <v>2</v>
      </c>
      <c r="B83" s="34" t="s">
        <v>129</v>
      </c>
      <c r="C83" s="35"/>
      <c r="D83" s="34"/>
      <c r="E83" s="34"/>
      <c r="F83" s="34"/>
      <c r="G83" s="34"/>
      <c r="H83" s="35"/>
      <c r="I83" s="34"/>
      <c r="J83" s="34"/>
      <c r="K83" s="132"/>
      <c r="L83" s="132"/>
      <c r="M83" s="132"/>
      <c r="N83" s="35"/>
      <c r="O83" s="35"/>
      <c r="P83" s="34"/>
      <c r="Q83" s="34"/>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3"/>
      <c r="BL83" s="433"/>
      <c r="BM83" s="433"/>
      <c r="BN83" s="432"/>
      <c r="BO83" s="432"/>
      <c r="BP83" s="432"/>
      <c r="BQ83" s="432"/>
      <c r="BR83" s="432"/>
      <c r="BS83" s="432"/>
      <c r="BT83" s="432"/>
      <c r="BU83" s="432"/>
      <c r="BV83" s="432"/>
      <c r="BW83" s="432"/>
      <c r="BX83" s="432"/>
      <c r="BY83" s="432"/>
      <c r="BZ83" s="434"/>
      <c r="CA83" s="434"/>
      <c r="CB83" s="434"/>
    </row>
    <row r="84" spans="1:80" ht="30" customHeight="1" x14ac:dyDescent="0.2">
      <c r="A84" s="159"/>
      <c r="B84" s="133">
        <v>4</v>
      </c>
      <c r="C84" s="38" t="s">
        <v>130</v>
      </c>
      <c r="D84" s="39"/>
      <c r="E84" s="39"/>
      <c r="F84" s="39"/>
      <c r="G84" s="39"/>
      <c r="H84" s="40"/>
      <c r="I84" s="39"/>
      <c r="J84" s="39"/>
      <c r="K84" s="90"/>
      <c r="L84" s="90"/>
      <c r="M84" s="90"/>
      <c r="N84" s="40"/>
      <c r="O84" s="40"/>
      <c r="P84" s="39"/>
      <c r="Q84" s="39"/>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c r="AP84" s="412"/>
      <c r="AQ84" s="412"/>
      <c r="AR84" s="412"/>
      <c r="AS84" s="412"/>
      <c r="AT84" s="412"/>
      <c r="AU84" s="412"/>
      <c r="AV84" s="412"/>
      <c r="AW84" s="412"/>
      <c r="AX84" s="412"/>
      <c r="AY84" s="412"/>
      <c r="AZ84" s="412"/>
      <c r="BA84" s="412"/>
      <c r="BB84" s="412"/>
      <c r="BC84" s="412"/>
      <c r="BD84" s="412"/>
      <c r="BE84" s="412"/>
      <c r="BF84" s="412"/>
      <c r="BG84" s="412"/>
      <c r="BH84" s="412"/>
      <c r="BI84" s="412"/>
      <c r="BJ84" s="412"/>
      <c r="BK84" s="413"/>
      <c r="BL84" s="413"/>
      <c r="BM84" s="413"/>
      <c r="BN84" s="412"/>
      <c r="BO84" s="412"/>
      <c r="BP84" s="412"/>
      <c r="BQ84" s="412"/>
      <c r="BR84" s="412"/>
      <c r="BS84" s="412"/>
      <c r="BT84" s="412"/>
      <c r="BU84" s="412"/>
      <c r="BV84" s="412"/>
      <c r="BW84" s="412"/>
      <c r="BX84" s="412"/>
      <c r="BY84" s="412"/>
      <c r="BZ84" s="412"/>
      <c r="CA84" s="412"/>
      <c r="CB84" s="417"/>
    </row>
    <row r="85" spans="1:80" ht="30" customHeight="1" x14ac:dyDescent="0.2">
      <c r="A85" s="205"/>
      <c r="B85" s="36"/>
      <c r="C85" s="713"/>
      <c r="D85" s="707"/>
      <c r="E85" s="713"/>
      <c r="F85" s="713"/>
      <c r="G85" s="78">
        <v>14</v>
      </c>
      <c r="H85" s="80" t="s">
        <v>131</v>
      </c>
      <c r="I85" s="80"/>
      <c r="J85" s="80"/>
      <c r="K85" s="91"/>
      <c r="L85" s="91"/>
      <c r="M85" s="91"/>
      <c r="N85" s="173"/>
      <c r="O85" s="173"/>
      <c r="P85" s="80"/>
      <c r="Q85" s="80"/>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414"/>
      <c r="BL85" s="414"/>
      <c r="BM85" s="414"/>
      <c r="BN85" s="267"/>
      <c r="BO85" s="267"/>
      <c r="BP85" s="267"/>
      <c r="BQ85" s="267"/>
      <c r="BR85" s="267"/>
      <c r="BS85" s="267"/>
      <c r="BT85" s="267"/>
      <c r="BU85" s="267"/>
      <c r="BV85" s="267"/>
      <c r="BW85" s="267"/>
      <c r="BX85" s="267"/>
      <c r="BY85" s="267"/>
      <c r="BZ85" s="269"/>
      <c r="CA85" s="269"/>
      <c r="CB85" s="269"/>
    </row>
    <row r="86" spans="1:80" ht="78.75" customHeight="1" x14ac:dyDescent="0.2">
      <c r="A86" s="205"/>
      <c r="B86" s="746"/>
      <c r="C86" s="883">
        <v>9</v>
      </c>
      <c r="D86" s="891" t="s">
        <v>132</v>
      </c>
      <c r="E86" s="883">
        <v>59</v>
      </c>
      <c r="F86" s="883">
        <v>87</v>
      </c>
      <c r="G86" s="49"/>
      <c r="H86" s="134">
        <v>54</v>
      </c>
      <c r="I86" s="729" t="s">
        <v>133</v>
      </c>
      <c r="J86" s="57">
        <v>129.85</v>
      </c>
      <c r="K86" s="107">
        <v>130</v>
      </c>
      <c r="L86" s="111">
        <v>189.13</v>
      </c>
      <c r="M86" s="907">
        <f>[2]ANDRES!$G$7</f>
        <v>2017003630030</v>
      </c>
      <c r="N86" s="895" t="s">
        <v>134</v>
      </c>
      <c r="O86" s="895" t="s">
        <v>135</v>
      </c>
      <c r="P86" s="890" t="s">
        <v>69</v>
      </c>
      <c r="Q86" s="57" t="s">
        <v>52</v>
      </c>
      <c r="R86" s="401"/>
      <c r="S86" s="401"/>
      <c r="T86" s="401"/>
      <c r="U86" s="401"/>
      <c r="V86" s="401"/>
      <c r="W86" s="401"/>
      <c r="X86" s="401"/>
      <c r="Y86" s="401"/>
      <c r="Z86" s="401"/>
      <c r="AA86" s="401"/>
      <c r="AB86" s="401"/>
      <c r="AC86" s="401"/>
      <c r="AD86" s="401"/>
      <c r="AE86" s="401"/>
      <c r="AF86" s="401"/>
      <c r="AG86" s="135">
        <f>248486462+22454001</f>
        <v>270940463</v>
      </c>
      <c r="AH86" s="135">
        <v>122518913</v>
      </c>
      <c r="AI86" s="135">
        <v>90518913</v>
      </c>
      <c r="AJ86" s="401"/>
      <c r="AK86" s="401"/>
      <c r="AL86" s="401"/>
      <c r="AM86" s="401"/>
      <c r="AN86" s="401"/>
      <c r="AO86" s="401"/>
      <c r="AP86" s="401"/>
      <c r="AQ86" s="401"/>
      <c r="AR86" s="401"/>
      <c r="AS86" s="401"/>
      <c r="AT86" s="401"/>
      <c r="AU86" s="401"/>
      <c r="AV86" s="401"/>
      <c r="AW86" s="401"/>
      <c r="AX86" s="401"/>
      <c r="AY86" s="401"/>
      <c r="AZ86" s="401"/>
      <c r="BA86" s="401"/>
      <c r="BB86" s="401"/>
      <c r="BC86" s="401"/>
      <c r="BD86" s="401"/>
      <c r="BE86" s="401"/>
      <c r="BF86" s="401"/>
      <c r="BG86" s="401"/>
      <c r="BH86" s="401"/>
      <c r="BI86" s="401"/>
      <c r="BJ86" s="401"/>
      <c r="BK86" s="672">
        <f>49839592+655093538</f>
        <v>704933130</v>
      </c>
      <c r="BL86" s="672">
        <v>446894712</v>
      </c>
      <c r="BM86" s="672">
        <v>128436054</v>
      </c>
      <c r="BN86" s="415"/>
      <c r="BO86" s="415"/>
      <c r="BP86" s="415"/>
      <c r="BQ86" s="401"/>
      <c r="BR86" s="403"/>
      <c r="BS86" s="403"/>
      <c r="BT86" s="403">
        <v>3020000000</v>
      </c>
      <c r="BU86" s="403"/>
      <c r="BV86" s="403"/>
      <c r="BW86" s="403"/>
      <c r="BX86" s="403"/>
      <c r="BY86" s="403"/>
      <c r="BZ86" s="401">
        <f t="shared" ref="BZ86:CB88" si="26">R86+U86+X86+AA86+AD86+AG86+AJ86+AM86+AP86+AS86+AV86+AY86+BB86+BE86+BH86+BK86+BN86+BQ86+BT86+BW86</f>
        <v>3995873593</v>
      </c>
      <c r="CA86" s="401">
        <f t="shared" si="26"/>
        <v>569413625</v>
      </c>
      <c r="CB86" s="401">
        <f t="shared" si="26"/>
        <v>218954967</v>
      </c>
    </row>
    <row r="87" spans="1:80" ht="60" customHeight="1" x14ac:dyDescent="0.2">
      <c r="A87" s="205"/>
      <c r="B87" s="746"/>
      <c r="C87" s="883"/>
      <c r="D87" s="891"/>
      <c r="E87" s="883"/>
      <c r="F87" s="883"/>
      <c r="G87" s="49"/>
      <c r="H87" s="57">
        <v>55</v>
      </c>
      <c r="I87" s="729" t="s">
        <v>137</v>
      </c>
      <c r="J87" s="57">
        <v>12</v>
      </c>
      <c r="K87" s="107">
        <v>12</v>
      </c>
      <c r="L87" s="107">
        <v>11</v>
      </c>
      <c r="M87" s="908"/>
      <c r="N87" s="883"/>
      <c r="O87" s="883"/>
      <c r="P87" s="891"/>
      <c r="Q87" s="57" t="s">
        <v>52</v>
      </c>
      <c r="R87" s="401"/>
      <c r="S87" s="401"/>
      <c r="T87" s="401"/>
      <c r="U87" s="401"/>
      <c r="V87" s="401"/>
      <c r="W87" s="401"/>
      <c r="X87" s="401"/>
      <c r="Y87" s="401"/>
      <c r="Z87" s="401"/>
      <c r="AA87" s="401"/>
      <c r="AB87" s="401"/>
      <c r="AC87" s="401"/>
      <c r="AD87" s="401"/>
      <c r="AE87" s="401"/>
      <c r="AF87" s="401"/>
      <c r="AG87" s="135">
        <f>431000000+120000000</f>
        <v>551000000</v>
      </c>
      <c r="AH87" s="135">
        <v>379999413</v>
      </c>
      <c r="AI87" s="135">
        <v>379999413</v>
      </c>
      <c r="AJ87" s="401"/>
      <c r="AK87" s="401"/>
      <c r="AL87" s="401"/>
      <c r="AM87" s="401"/>
      <c r="AN87" s="401"/>
      <c r="AO87" s="401"/>
      <c r="AP87" s="401"/>
      <c r="AQ87" s="401"/>
      <c r="AR87" s="401"/>
      <c r="AS87" s="401"/>
      <c r="AT87" s="401"/>
      <c r="AU87" s="401"/>
      <c r="AV87" s="401"/>
      <c r="AW87" s="401"/>
      <c r="AX87" s="401"/>
      <c r="AY87" s="401"/>
      <c r="AZ87" s="401"/>
      <c r="BA87" s="401"/>
      <c r="BB87" s="401"/>
      <c r="BC87" s="401"/>
      <c r="BD87" s="401"/>
      <c r="BE87" s="401"/>
      <c r="BF87" s="401"/>
      <c r="BG87" s="401"/>
      <c r="BH87" s="401"/>
      <c r="BI87" s="401"/>
      <c r="BJ87" s="401"/>
      <c r="BK87" s="672">
        <v>324906462</v>
      </c>
      <c r="BL87" s="672">
        <v>282234502</v>
      </c>
      <c r="BM87" s="672">
        <v>124635002</v>
      </c>
      <c r="BN87" s="415"/>
      <c r="BO87" s="415"/>
      <c r="BP87" s="415"/>
      <c r="BQ87" s="401"/>
      <c r="BR87" s="403"/>
      <c r="BS87" s="403"/>
      <c r="BT87" s="403">
        <f>1080000000-120000000</f>
        <v>960000000</v>
      </c>
      <c r="BU87" s="403">
        <v>510000000</v>
      </c>
      <c r="BV87" s="403"/>
      <c r="BW87" s="403"/>
      <c r="BX87" s="403"/>
      <c r="BY87" s="403"/>
      <c r="BZ87" s="401">
        <f t="shared" si="26"/>
        <v>1835906462</v>
      </c>
      <c r="CA87" s="401">
        <f t="shared" si="26"/>
        <v>1172233915</v>
      </c>
      <c r="CB87" s="401">
        <f t="shared" si="26"/>
        <v>504634415</v>
      </c>
    </row>
    <row r="88" spans="1:80" ht="78.75" customHeight="1" x14ac:dyDescent="0.2">
      <c r="A88" s="205"/>
      <c r="B88" s="746"/>
      <c r="C88" s="883"/>
      <c r="D88" s="891"/>
      <c r="E88" s="883"/>
      <c r="F88" s="883"/>
      <c r="G88" s="92"/>
      <c r="H88" s="57">
        <v>56</v>
      </c>
      <c r="I88" s="729" t="s">
        <v>138</v>
      </c>
      <c r="J88" s="57">
        <v>9</v>
      </c>
      <c r="K88" s="770">
        <v>3</v>
      </c>
      <c r="L88" s="107">
        <v>2</v>
      </c>
      <c r="M88" s="909"/>
      <c r="N88" s="898"/>
      <c r="O88" s="898"/>
      <c r="P88" s="892"/>
      <c r="Q88" s="57" t="s">
        <v>67</v>
      </c>
      <c r="R88" s="401">
        <v>0</v>
      </c>
      <c r="S88" s="401"/>
      <c r="T88" s="401"/>
      <c r="U88" s="401">
        <v>0</v>
      </c>
      <c r="V88" s="401"/>
      <c r="W88" s="401"/>
      <c r="X88" s="401">
        <v>0</v>
      </c>
      <c r="Y88" s="401"/>
      <c r="Z88" s="401"/>
      <c r="AA88" s="401">
        <v>0</v>
      </c>
      <c r="AB88" s="401"/>
      <c r="AC88" s="401"/>
      <c r="AD88" s="401">
        <v>0</v>
      </c>
      <c r="AE88" s="401"/>
      <c r="AF88" s="401"/>
      <c r="AG88" s="135">
        <f>120000000-120000000+72000000</f>
        <v>72000000</v>
      </c>
      <c r="AH88" s="135">
        <v>71820437</v>
      </c>
      <c r="AI88" s="135">
        <v>21546131</v>
      </c>
      <c r="AJ88" s="401">
        <v>0</v>
      </c>
      <c r="AK88" s="401"/>
      <c r="AL88" s="401"/>
      <c r="AM88" s="401"/>
      <c r="AN88" s="401"/>
      <c r="AO88" s="401"/>
      <c r="AP88" s="401"/>
      <c r="AQ88" s="401"/>
      <c r="AR88" s="401"/>
      <c r="AS88" s="401">
        <v>0</v>
      </c>
      <c r="AT88" s="401"/>
      <c r="AU88" s="401"/>
      <c r="AV88" s="401">
        <v>0</v>
      </c>
      <c r="AW88" s="401"/>
      <c r="AX88" s="401"/>
      <c r="AY88" s="401"/>
      <c r="AZ88" s="401"/>
      <c r="BA88" s="401"/>
      <c r="BB88" s="401"/>
      <c r="BC88" s="401"/>
      <c r="BD88" s="401"/>
      <c r="BE88" s="401">
        <v>0</v>
      </c>
      <c r="BF88" s="401"/>
      <c r="BG88" s="401"/>
      <c r="BH88" s="401">
        <v>0</v>
      </c>
      <c r="BI88" s="401"/>
      <c r="BJ88" s="401"/>
      <c r="BK88" s="672"/>
      <c r="BL88" s="672"/>
      <c r="BM88" s="672"/>
      <c r="BN88" s="415"/>
      <c r="BO88" s="415"/>
      <c r="BP88" s="415"/>
      <c r="BQ88" s="401">
        <v>0</v>
      </c>
      <c r="BR88" s="403"/>
      <c r="BS88" s="403"/>
      <c r="BT88" s="403">
        <f>780000000+120000000</f>
        <v>900000000</v>
      </c>
      <c r="BU88" s="403"/>
      <c r="BV88" s="403"/>
      <c r="BW88" s="403">
        <v>0</v>
      </c>
      <c r="BX88" s="403"/>
      <c r="BY88" s="403"/>
      <c r="BZ88" s="401">
        <f t="shared" si="26"/>
        <v>972000000</v>
      </c>
      <c r="CA88" s="401">
        <f t="shared" si="26"/>
        <v>71820437</v>
      </c>
      <c r="CB88" s="401">
        <f t="shared" si="26"/>
        <v>21546131</v>
      </c>
    </row>
    <row r="89" spans="1:80" ht="30" customHeight="1" x14ac:dyDescent="0.2">
      <c r="A89" s="205"/>
      <c r="B89" s="746"/>
      <c r="C89" s="714"/>
      <c r="D89" s="709"/>
      <c r="E89" s="714"/>
      <c r="F89" s="714"/>
      <c r="G89" s="58"/>
      <c r="H89" s="59"/>
      <c r="I89" s="58"/>
      <c r="J89" s="59"/>
      <c r="K89" s="136"/>
      <c r="L89" s="136"/>
      <c r="M89" s="136"/>
      <c r="N89" s="59"/>
      <c r="O89" s="59"/>
      <c r="P89" s="58"/>
      <c r="Q89" s="59"/>
      <c r="R89" s="410">
        <f t="shared" ref="R89:BY89" si="27">SUM(R86:R88)</f>
        <v>0</v>
      </c>
      <c r="S89" s="410">
        <f t="shared" si="27"/>
        <v>0</v>
      </c>
      <c r="T89" s="410">
        <f t="shared" si="27"/>
        <v>0</v>
      </c>
      <c r="U89" s="410">
        <f t="shared" si="27"/>
        <v>0</v>
      </c>
      <c r="V89" s="410">
        <f t="shared" si="27"/>
        <v>0</v>
      </c>
      <c r="W89" s="410">
        <f t="shared" si="27"/>
        <v>0</v>
      </c>
      <c r="X89" s="410">
        <f t="shared" si="27"/>
        <v>0</v>
      </c>
      <c r="Y89" s="410">
        <f t="shared" si="27"/>
        <v>0</v>
      </c>
      <c r="Z89" s="410">
        <f t="shared" si="27"/>
        <v>0</v>
      </c>
      <c r="AA89" s="410">
        <f t="shared" si="27"/>
        <v>0</v>
      </c>
      <c r="AB89" s="410">
        <f t="shared" si="27"/>
        <v>0</v>
      </c>
      <c r="AC89" s="410">
        <f t="shared" si="27"/>
        <v>0</v>
      </c>
      <c r="AD89" s="410">
        <f t="shared" si="27"/>
        <v>0</v>
      </c>
      <c r="AE89" s="410">
        <f t="shared" si="27"/>
        <v>0</v>
      </c>
      <c r="AF89" s="410">
        <f t="shared" si="27"/>
        <v>0</v>
      </c>
      <c r="AG89" s="410">
        <f t="shared" si="27"/>
        <v>893940463</v>
      </c>
      <c r="AH89" s="410">
        <f t="shared" si="27"/>
        <v>574338763</v>
      </c>
      <c r="AI89" s="410">
        <f t="shared" si="27"/>
        <v>492064457</v>
      </c>
      <c r="AJ89" s="410">
        <f t="shared" si="27"/>
        <v>0</v>
      </c>
      <c r="AK89" s="410">
        <f t="shared" si="27"/>
        <v>0</v>
      </c>
      <c r="AL89" s="410">
        <f t="shared" si="27"/>
        <v>0</v>
      </c>
      <c r="AM89" s="410">
        <f t="shared" si="27"/>
        <v>0</v>
      </c>
      <c r="AN89" s="410">
        <f t="shared" si="27"/>
        <v>0</v>
      </c>
      <c r="AO89" s="410">
        <f t="shared" si="27"/>
        <v>0</v>
      </c>
      <c r="AP89" s="410">
        <f t="shared" si="27"/>
        <v>0</v>
      </c>
      <c r="AQ89" s="410">
        <f t="shared" si="27"/>
        <v>0</v>
      </c>
      <c r="AR89" s="410">
        <f t="shared" si="27"/>
        <v>0</v>
      </c>
      <c r="AS89" s="410">
        <f t="shared" si="27"/>
        <v>0</v>
      </c>
      <c r="AT89" s="410">
        <f t="shared" si="27"/>
        <v>0</v>
      </c>
      <c r="AU89" s="410">
        <f t="shared" si="27"/>
        <v>0</v>
      </c>
      <c r="AV89" s="410">
        <f t="shared" si="27"/>
        <v>0</v>
      </c>
      <c r="AW89" s="410">
        <f t="shared" si="27"/>
        <v>0</v>
      </c>
      <c r="AX89" s="410">
        <f t="shared" si="27"/>
        <v>0</v>
      </c>
      <c r="AY89" s="410">
        <f t="shared" si="27"/>
        <v>0</v>
      </c>
      <c r="AZ89" s="410">
        <f t="shared" si="27"/>
        <v>0</v>
      </c>
      <c r="BA89" s="410">
        <f t="shared" si="27"/>
        <v>0</v>
      </c>
      <c r="BB89" s="410">
        <f t="shared" si="27"/>
        <v>0</v>
      </c>
      <c r="BC89" s="410">
        <f t="shared" si="27"/>
        <v>0</v>
      </c>
      <c r="BD89" s="410">
        <f t="shared" si="27"/>
        <v>0</v>
      </c>
      <c r="BE89" s="410">
        <f t="shared" si="27"/>
        <v>0</v>
      </c>
      <c r="BF89" s="410">
        <f t="shared" si="27"/>
        <v>0</v>
      </c>
      <c r="BG89" s="410">
        <f t="shared" si="27"/>
        <v>0</v>
      </c>
      <c r="BH89" s="410">
        <f t="shared" si="27"/>
        <v>0</v>
      </c>
      <c r="BI89" s="410">
        <f t="shared" si="27"/>
        <v>0</v>
      </c>
      <c r="BJ89" s="410">
        <f t="shared" si="27"/>
        <v>0</v>
      </c>
      <c r="BK89" s="410">
        <f t="shared" si="27"/>
        <v>1029839592</v>
      </c>
      <c r="BL89" s="410">
        <f t="shared" si="27"/>
        <v>729129214</v>
      </c>
      <c r="BM89" s="410">
        <f t="shared" si="27"/>
        <v>253071056</v>
      </c>
      <c r="BN89" s="410">
        <f t="shared" si="27"/>
        <v>0</v>
      </c>
      <c r="BO89" s="410">
        <f t="shared" si="27"/>
        <v>0</v>
      </c>
      <c r="BP89" s="410">
        <f t="shared" si="27"/>
        <v>0</v>
      </c>
      <c r="BQ89" s="410">
        <f t="shared" si="27"/>
        <v>0</v>
      </c>
      <c r="BR89" s="410">
        <f t="shared" si="27"/>
        <v>0</v>
      </c>
      <c r="BS89" s="410">
        <f t="shared" si="27"/>
        <v>0</v>
      </c>
      <c r="BT89" s="410">
        <f t="shared" si="27"/>
        <v>4880000000</v>
      </c>
      <c r="BU89" s="410">
        <f t="shared" si="27"/>
        <v>510000000</v>
      </c>
      <c r="BV89" s="410">
        <f t="shared" si="27"/>
        <v>0</v>
      </c>
      <c r="BW89" s="410">
        <f t="shared" si="27"/>
        <v>0</v>
      </c>
      <c r="BX89" s="410">
        <f t="shared" si="27"/>
        <v>0</v>
      </c>
      <c r="BY89" s="410">
        <f t="shared" si="27"/>
        <v>0</v>
      </c>
      <c r="BZ89" s="410">
        <f>SUM(BZ86:BZ88)</f>
        <v>6803780055</v>
      </c>
      <c r="CA89" s="410">
        <f t="shared" ref="CA89:CB89" si="28">SUM(CA86:CA88)</f>
        <v>1813467977</v>
      </c>
      <c r="CB89" s="410">
        <f t="shared" si="28"/>
        <v>745135513</v>
      </c>
    </row>
    <row r="90" spans="1:80" ht="30" customHeight="1" x14ac:dyDescent="0.2">
      <c r="A90" s="205"/>
      <c r="B90" s="746"/>
      <c r="C90" s="137"/>
      <c r="D90" s="72"/>
      <c r="E90" s="150"/>
      <c r="F90" s="150"/>
      <c r="G90" s="72"/>
      <c r="H90" s="150"/>
      <c r="I90" s="72"/>
      <c r="J90" s="150"/>
      <c r="K90" s="151"/>
      <c r="L90" s="151"/>
      <c r="M90" s="151"/>
      <c r="N90" s="150"/>
      <c r="O90" s="150"/>
      <c r="P90" s="72"/>
      <c r="Q90" s="150"/>
      <c r="R90" s="405"/>
      <c r="S90" s="405"/>
      <c r="T90" s="405"/>
      <c r="U90" s="406"/>
      <c r="V90" s="406"/>
      <c r="W90" s="406"/>
      <c r="X90" s="405"/>
      <c r="Y90" s="405"/>
      <c r="Z90" s="405"/>
      <c r="AA90" s="405"/>
      <c r="AB90" s="405"/>
      <c r="AC90" s="405"/>
      <c r="AD90" s="405"/>
      <c r="AE90" s="405"/>
      <c r="AF90" s="405"/>
      <c r="AG90" s="405"/>
      <c r="AH90" s="405"/>
      <c r="AI90" s="405"/>
      <c r="AJ90" s="405"/>
      <c r="AK90" s="405"/>
      <c r="AL90" s="405"/>
      <c r="AM90" s="405"/>
      <c r="AN90" s="405"/>
      <c r="AO90" s="405"/>
      <c r="AP90" s="405"/>
      <c r="AQ90" s="405"/>
      <c r="AR90" s="405"/>
      <c r="AS90" s="405"/>
      <c r="AT90" s="405"/>
      <c r="AU90" s="405"/>
      <c r="AV90" s="405"/>
      <c r="AW90" s="405"/>
      <c r="AX90" s="405"/>
      <c r="AY90" s="406"/>
      <c r="AZ90" s="406"/>
      <c r="BA90" s="406"/>
      <c r="BB90" s="406"/>
      <c r="BC90" s="406"/>
      <c r="BD90" s="406"/>
      <c r="BE90" s="405"/>
      <c r="BF90" s="405"/>
      <c r="BG90" s="405"/>
      <c r="BH90" s="405"/>
      <c r="BI90" s="405"/>
      <c r="BJ90" s="405"/>
      <c r="BK90" s="407"/>
      <c r="BL90" s="407"/>
      <c r="BM90" s="407"/>
      <c r="BN90" s="408"/>
      <c r="BO90" s="408"/>
      <c r="BP90" s="408"/>
      <c r="BQ90" s="405"/>
      <c r="BR90" s="405"/>
      <c r="BS90" s="405"/>
      <c r="BT90" s="405"/>
      <c r="BU90" s="405"/>
      <c r="BV90" s="405"/>
      <c r="BW90" s="406"/>
      <c r="BX90" s="406"/>
      <c r="BY90" s="406"/>
      <c r="BZ90" s="405"/>
      <c r="CA90" s="405"/>
      <c r="CB90" s="409"/>
    </row>
    <row r="91" spans="1:80" ht="30" customHeight="1" x14ac:dyDescent="0.2">
      <c r="A91" s="205"/>
      <c r="B91" s="746"/>
      <c r="C91" s="137"/>
      <c r="D91" s="138"/>
      <c r="E91" s="138"/>
      <c r="F91" s="139"/>
      <c r="G91" s="140">
        <v>15</v>
      </c>
      <c r="H91" s="141" t="s">
        <v>139</v>
      </c>
      <c r="I91" s="80"/>
      <c r="J91" s="80"/>
      <c r="K91" s="128"/>
      <c r="L91" s="128"/>
      <c r="M91" s="128"/>
      <c r="N91" s="173"/>
      <c r="O91" s="173"/>
      <c r="P91" s="80"/>
      <c r="Q91" s="80"/>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7"/>
      <c r="BA91" s="267"/>
      <c r="BB91" s="267"/>
      <c r="BC91" s="267"/>
      <c r="BD91" s="267"/>
      <c r="BE91" s="267"/>
      <c r="BF91" s="267"/>
      <c r="BG91" s="267"/>
      <c r="BH91" s="267"/>
      <c r="BI91" s="267"/>
      <c r="BJ91" s="267"/>
      <c r="BK91" s="414"/>
      <c r="BL91" s="414"/>
      <c r="BM91" s="414"/>
      <c r="BN91" s="267"/>
      <c r="BO91" s="267"/>
      <c r="BP91" s="267"/>
      <c r="BQ91" s="267"/>
      <c r="BR91" s="267"/>
      <c r="BS91" s="267"/>
      <c r="BT91" s="267"/>
      <c r="BU91" s="267"/>
      <c r="BV91" s="267"/>
      <c r="BW91" s="267"/>
      <c r="BX91" s="267"/>
      <c r="BY91" s="267"/>
      <c r="BZ91" s="269"/>
      <c r="CA91" s="269"/>
      <c r="CB91" s="269"/>
    </row>
    <row r="92" spans="1:80" ht="108.75" customHeight="1" x14ac:dyDescent="0.2">
      <c r="A92" s="205"/>
      <c r="B92" s="746"/>
      <c r="C92" s="895">
        <v>7</v>
      </c>
      <c r="D92" s="890" t="s">
        <v>140</v>
      </c>
      <c r="E92" s="937">
        <v>0.317</v>
      </c>
      <c r="F92" s="938">
        <v>0.27</v>
      </c>
      <c r="G92" s="43"/>
      <c r="H92" s="57">
        <v>57</v>
      </c>
      <c r="I92" s="729" t="s">
        <v>141</v>
      </c>
      <c r="J92" s="57">
        <v>103</v>
      </c>
      <c r="K92" s="107">
        <v>12</v>
      </c>
      <c r="L92" s="107">
        <v>22</v>
      </c>
      <c r="M92" s="907">
        <f>[2]ANDRES!$G$8</f>
        <v>2017003630044</v>
      </c>
      <c r="N92" s="857" t="s">
        <v>142</v>
      </c>
      <c r="O92" s="895" t="s">
        <v>143</v>
      </c>
      <c r="P92" s="890" t="s">
        <v>144</v>
      </c>
      <c r="Q92" s="57" t="s">
        <v>67</v>
      </c>
      <c r="R92" s="401"/>
      <c r="S92" s="401"/>
      <c r="T92" s="401"/>
      <c r="U92" s="401"/>
      <c r="V92" s="401"/>
      <c r="W92" s="401"/>
      <c r="X92" s="673">
        <f>4150000000+2390695347</f>
        <v>6540695347</v>
      </c>
      <c r="Y92" s="673">
        <v>5055498341.2600002</v>
      </c>
      <c r="Z92" s="673">
        <v>3330801484.7600002</v>
      </c>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1"/>
      <c r="AZ92" s="401"/>
      <c r="BA92" s="401"/>
      <c r="BB92" s="401"/>
      <c r="BC92" s="401"/>
      <c r="BD92" s="401"/>
      <c r="BE92" s="401"/>
      <c r="BF92" s="401"/>
      <c r="BG92" s="401"/>
      <c r="BH92" s="401"/>
      <c r="BI92" s="401"/>
      <c r="BJ92" s="401"/>
      <c r="BK92" s="402"/>
      <c r="BL92" s="402"/>
      <c r="BM92" s="402"/>
      <c r="BN92" s="415"/>
      <c r="BO92" s="415"/>
      <c r="BP92" s="415"/>
      <c r="BQ92" s="401">
        <v>0</v>
      </c>
      <c r="BR92" s="403"/>
      <c r="BS92" s="403"/>
      <c r="BT92" s="403"/>
      <c r="BU92" s="403"/>
      <c r="BV92" s="403"/>
      <c r="BW92" s="429"/>
      <c r="BX92" s="429"/>
      <c r="BY92" s="429"/>
      <c r="BZ92" s="401">
        <f t="shared" ref="BZ92:CB100" si="29">R92+U92+X92+AA92+AD92+AG92+AJ92+AM92+AP92+AS92+AV92+AY92+BB92+BE92+BH92+BK92+BN92+BQ92+BT92+BW92</f>
        <v>6540695347</v>
      </c>
      <c r="CA92" s="401">
        <f t="shared" si="29"/>
        <v>5055498341.2600002</v>
      </c>
      <c r="CB92" s="401">
        <f t="shared" si="29"/>
        <v>3330801484.7600002</v>
      </c>
    </row>
    <row r="93" spans="1:80" ht="108.75" customHeight="1" x14ac:dyDescent="0.2">
      <c r="A93" s="205"/>
      <c r="B93" s="746"/>
      <c r="C93" s="883"/>
      <c r="D93" s="891"/>
      <c r="E93" s="906"/>
      <c r="F93" s="894"/>
      <c r="G93" s="49"/>
      <c r="H93" s="57">
        <v>58</v>
      </c>
      <c r="I93" s="729" t="s">
        <v>145</v>
      </c>
      <c r="J93" s="57">
        <v>6</v>
      </c>
      <c r="K93" s="107">
        <v>2</v>
      </c>
      <c r="L93" s="107">
        <v>2</v>
      </c>
      <c r="M93" s="908"/>
      <c r="N93" s="857" t="s">
        <v>146</v>
      </c>
      <c r="O93" s="883"/>
      <c r="P93" s="891"/>
      <c r="Q93" s="57" t="s">
        <v>67</v>
      </c>
      <c r="R93" s="401">
        <v>0</v>
      </c>
      <c r="S93" s="401"/>
      <c r="T93" s="401"/>
      <c r="U93" s="401">
        <v>0</v>
      </c>
      <c r="V93" s="401"/>
      <c r="W93" s="401"/>
      <c r="X93" s="673"/>
      <c r="Y93" s="673"/>
      <c r="Z93" s="673"/>
      <c r="AA93" s="401">
        <v>0</v>
      </c>
      <c r="AB93" s="401"/>
      <c r="AC93" s="401"/>
      <c r="AD93" s="401">
        <v>0</v>
      </c>
      <c r="AE93" s="401"/>
      <c r="AF93" s="401"/>
      <c r="AG93" s="401">
        <v>0</v>
      </c>
      <c r="AH93" s="401"/>
      <c r="AI93" s="401"/>
      <c r="AJ93" s="401">
        <v>0</v>
      </c>
      <c r="AK93" s="401"/>
      <c r="AL93" s="401"/>
      <c r="AM93" s="401"/>
      <c r="AN93" s="401"/>
      <c r="AO93" s="401"/>
      <c r="AP93" s="401"/>
      <c r="AQ93" s="401"/>
      <c r="AR93" s="401"/>
      <c r="AS93" s="401">
        <v>0</v>
      </c>
      <c r="AT93" s="401"/>
      <c r="AU93" s="401"/>
      <c r="AV93" s="401">
        <v>0</v>
      </c>
      <c r="AW93" s="401"/>
      <c r="AX93" s="401"/>
      <c r="AY93" s="401"/>
      <c r="AZ93" s="401"/>
      <c r="BA93" s="401"/>
      <c r="BB93" s="401"/>
      <c r="BC93" s="401"/>
      <c r="BD93" s="401"/>
      <c r="BE93" s="401">
        <v>0</v>
      </c>
      <c r="BF93" s="401"/>
      <c r="BG93" s="401"/>
      <c r="BH93" s="401">
        <v>0</v>
      </c>
      <c r="BI93" s="401"/>
      <c r="BJ93" s="401"/>
      <c r="BK93" s="402"/>
      <c r="BL93" s="402"/>
      <c r="BM93" s="402"/>
      <c r="BN93" s="415"/>
      <c r="BO93" s="415"/>
      <c r="BP93" s="415"/>
      <c r="BQ93" s="401">
        <v>0</v>
      </c>
      <c r="BR93" s="401"/>
      <c r="BS93" s="401"/>
      <c r="BT93" s="673">
        <f>5400000000-4601825364</f>
        <v>798174636</v>
      </c>
      <c r="BU93" s="699">
        <v>368501367</v>
      </c>
      <c r="BV93" s="699">
        <v>110550410</v>
      </c>
      <c r="BW93" s="403">
        <v>0</v>
      </c>
      <c r="BX93" s="403"/>
      <c r="BY93" s="403"/>
      <c r="BZ93" s="401">
        <f t="shared" si="29"/>
        <v>798174636</v>
      </c>
      <c r="CA93" s="401">
        <f t="shared" si="29"/>
        <v>368501367</v>
      </c>
      <c r="CB93" s="401">
        <f t="shared" si="29"/>
        <v>110550410</v>
      </c>
    </row>
    <row r="94" spans="1:80" ht="108.75" customHeight="1" x14ac:dyDescent="0.2">
      <c r="A94" s="205"/>
      <c r="B94" s="746"/>
      <c r="C94" s="883"/>
      <c r="D94" s="891"/>
      <c r="E94" s="906"/>
      <c r="F94" s="894"/>
      <c r="G94" s="49"/>
      <c r="H94" s="57">
        <v>59</v>
      </c>
      <c r="I94" s="729" t="s">
        <v>147</v>
      </c>
      <c r="J94" s="57">
        <v>82</v>
      </c>
      <c r="K94" s="107">
        <v>12</v>
      </c>
      <c r="L94" s="107">
        <v>16</v>
      </c>
      <c r="M94" s="908"/>
      <c r="N94" s="857" t="s">
        <v>146</v>
      </c>
      <c r="O94" s="883"/>
      <c r="P94" s="891"/>
      <c r="Q94" s="57" t="s">
        <v>67</v>
      </c>
      <c r="R94" s="401">
        <v>0</v>
      </c>
      <c r="S94" s="401"/>
      <c r="T94" s="401"/>
      <c r="U94" s="401">
        <v>0</v>
      </c>
      <c r="V94" s="401"/>
      <c r="W94" s="401"/>
      <c r="X94" s="673">
        <f>2000000000+1110062514</f>
        <v>3110062514</v>
      </c>
      <c r="Y94" s="673">
        <v>1019621263</v>
      </c>
      <c r="Z94" s="673">
        <v>384266732.69999999</v>
      </c>
      <c r="AA94" s="401">
        <v>0</v>
      </c>
      <c r="AB94" s="401"/>
      <c r="AC94" s="401"/>
      <c r="AD94" s="401">
        <v>0</v>
      </c>
      <c r="AE94" s="401"/>
      <c r="AF94" s="401"/>
      <c r="AG94" s="401">
        <v>0</v>
      </c>
      <c r="AH94" s="401"/>
      <c r="AI94" s="401"/>
      <c r="AJ94" s="401">
        <v>0</v>
      </c>
      <c r="AK94" s="401"/>
      <c r="AL94" s="401"/>
      <c r="AM94" s="401"/>
      <c r="AN94" s="401"/>
      <c r="AO94" s="401"/>
      <c r="AP94" s="401"/>
      <c r="AQ94" s="401"/>
      <c r="AR94" s="401"/>
      <c r="AS94" s="401">
        <v>0</v>
      </c>
      <c r="AT94" s="401"/>
      <c r="AU94" s="401"/>
      <c r="AV94" s="401">
        <v>0</v>
      </c>
      <c r="AW94" s="401"/>
      <c r="AX94" s="401"/>
      <c r="AY94" s="401"/>
      <c r="AZ94" s="401"/>
      <c r="BA94" s="401"/>
      <c r="BB94" s="401"/>
      <c r="BC94" s="401"/>
      <c r="BD94" s="401"/>
      <c r="BE94" s="401">
        <v>0</v>
      </c>
      <c r="BF94" s="401"/>
      <c r="BG94" s="401"/>
      <c r="BH94" s="401">
        <v>0</v>
      </c>
      <c r="BI94" s="401"/>
      <c r="BJ94" s="401"/>
      <c r="BK94" s="402">
        <v>0</v>
      </c>
      <c r="BL94" s="402"/>
      <c r="BM94" s="402"/>
      <c r="BN94" s="415"/>
      <c r="BO94" s="415"/>
      <c r="BP94" s="415"/>
      <c r="BQ94" s="401">
        <v>0</v>
      </c>
      <c r="BR94" s="403"/>
      <c r="BS94" s="403"/>
      <c r="BT94" s="676">
        <f>280000000+120000000</f>
        <v>400000000</v>
      </c>
      <c r="BU94" s="676">
        <v>400000000</v>
      </c>
      <c r="BV94" s="676">
        <v>120000000</v>
      </c>
      <c r="BW94" s="403"/>
      <c r="BX94" s="403"/>
      <c r="BY94" s="403"/>
      <c r="BZ94" s="401">
        <f t="shared" si="29"/>
        <v>3510062514</v>
      </c>
      <c r="CA94" s="401">
        <f t="shared" si="29"/>
        <v>1419621263</v>
      </c>
      <c r="CB94" s="401">
        <f t="shared" si="29"/>
        <v>504266732.69999999</v>
      </c>
    </row>
    <row r="95" spans="1:80" ht="108.75" customHeight="1" x14ac:dyDescent="0.2">
      <c r="A95" s="205"/>
      <c r="B95" s="746"/>
      <c r="C95" s="883"/>
      <c r="D95" s="891"/>
      <c r="E95" s="906"/>
      <c r="F95" s="894"/>
      <c r="G95" s="49"/>
      <c r="H95" s="57">
        <v>60</v>
      </c>
      <c r="I95" s="729" t="s">
        <v>148</v>
      </c>
      <c r="J95" s="57">
        <v>9</v>
      </c>
      <c r="K95" s="107">
        <v>12</v>
      </c>
      <c r="L95" s="107">
        <v>2</v>
      </c>
      <c r="M95" s="908"/>
      <c r="N95" s="857" t="s">
        <v>146</v>
      </c>
      <c r="O95" s="883"/>
      <c r="P95" s="891"/>
      <c r="Q95" s="57" t="s">
        <v>67</v>
      </c>
      <c r="R95" s="401">
        <v>0</v>
      </c>
      <c r="S95" s="401"/>
      <c r="T95" s="401"/>
      <c r="U95" s="401">
        <v>0</v>
      </c>
      <c r="V95" s="401"/>
      <c r="W95" s="401"/>
      <c r="X95" s="430"/>
      <c r="Y95" s="430"/>
      <c r="Z95" s="430"/>
      <c r="AA95" s="401">
        <v>0</v>
      </c>
      <c r="AB95" s="401"/>
      <c r="AC95" s="401"/>
      <c r="AD95" s="401">
        <v>0</v>
      </c>
      <c r="AE95" s="401"/>
      <c r="AF95" s="401"/>
      <c r="AG95" s="401">
        <v>0</v>
      </c>
      <c r="AH95" s="401"/>
      <c r="AI95" s="401"/>
      <c r="AJ95" s="401">
        <v>0</v>
      </c>
      <c r="AK95" s="401"/>
      <c r="AL95" s="401"/>
      <c r="AM95" s="401"/>
      <c r="AN95" s="401"/>
      <c r="AO95" s="401"/>
      <c r="AP95" s="401"/>
      <c r="AQ95" s="401"/>
      <c r="AR95" s="401"/>
      <c r="AS95" s="401">
        <v>0</v>
      </c>
      <c r="AT95" s="401"/>
      <c r="AU95" s="401"/>
      <c r="AV95" s="401">
        <v>0</v>
      </c>
      <c r="AW95" s="401"/>
      <c r="AX95" s="401"/>
      <c r="AY95" s="401"/>
      <c r="AZ95" s="401"/>
      <c r="BA95" s="401"/>
      <c r="BB95" s="401"/>
      <c r="BC95" s="401"/>
      <c r="BD95" s="401"/>
      <c r="BE95" s="401">
        <v>0</v>
      </c>
      <c r="BF95" s="401"/>
      <c r="BG95" s="401"/>
      <c r="BH95" s="401">
        <v>0</v>
      </c>
      <c r="BI95" s="401"/>
      <c r="BJ95" s="401"/>
      <c r="BK95" s="673">
        <f>226000000-60000000</f>
        <v>166000000</v>
      </c>
      <c r="BL95" s="673">
        <v>14472000</v>
      </c>
      <c r="BM95" s="673"/>
      <c r="BN95" s="415"/>
      <c r="BO95" s="415"/>
      <c r="BP95" s="415"/>
      <c r="BQ95" s="401">
        <v>0</v>
      </c>
      <c r="BR95" s="403"/>
      <c r="BS95" s="403"/>
      <c r="BT95" s="676">
        <f>3400000000-900000000-1068941717</f>
        <v>1431058283</v>
      </c>
      <c r="BU95" s="676">
        <v>315765602</v>
      </c>
      <c r="BV95" s="676">
        <v>25074976</v>
      </c>
      <c r="BW95" s="403">
        <v>0</v>
      </c>
      <c r="BX95" s="403"/>
      <c r="BY95" s="403"/>
      <c r="BZ95" s="401">
        <f t="shared" si="29"/>
        <v>1597058283</v>
      </c>
      <c r="CA95" s="401">
        <f t="shared" si="29"/>
        <v>330237602</v>
      </c>
      <c r="CB95" s="401">
        <f t="shared" si="29"/>
        <v>25074976</v>
      </c>
    </row>
    <row r="96" spans="1:80" ht="108.75" customHeight="1" x14ac:dyDescent="0.2">
      <c r="A96" s="205"/>
      <c r="B96" s="746"/>
      <c r="C96" s="883"/>
      <c r="D96" s="891"/>
      <c r="E96" s="906"/>
      <c r="F96" s="894"/>
      <c r="G96" s="49"/>
      <c r="H96" s="57">
        <v>61</v>
      </c>
      <c r="I96" s="729" t="s">
        <v>149</v>
      </c>
      <c r="J96" s="57">
        <v>2</v>
      </c>
      <c r="K96" s="107">
        <v>1</v>
      </c>
      <c r="L96" s="107">
        <v>1</v>
      </c>
      <c r="M96" s="908"/>
      <c r="N96" s="857" t="s">
        <v>146</v>
      </c>
      <c r="O96" s="883"/>
      <c r="P96" s="891"/>
      <c r="Q96" s="57" t="s">
        <v>67</v>
      </c>
      <c r="R96" s="401">
        <v>0</v>
      </c>
      <c r="S96" s="401"/>
      <c r="T96" s="401"/>
      <c r="U96" s="401">
        <v>0</v>
      </c>
      <c r="V96" s="401"/>
      <c r="W96" s="401"/>
      <c r="X96" s="430"/>
      <c r="Y96" s="430"/>
      <c r="Z96" s="430"/>
      <c r="AA96" s="401">
        <v>0</v>
      </c>
      <c r="AB96" s="401"/>
      <c r="AC96" s="401"/>
      <c r="AD96" s="401">
        <v>0</v>
      </c>
      <c r="AE96" s="401"/>
      <c r="AF96" s="401"/>
      <c r="AG96" s="401">
        <v>0</v>
      </c>
      <c r="AH96" s="401"/>
      <c r="AI96" s="401"/>
      <c r="AJ96" s="401">
        <v>0</v>
      </c>
      <c r="AK96" s="401"/>
      <c r="AL96" s="401"/>
      <c r="AM96" s="401"/>
      <c r="AN96" s="401"/>
      <c r="AO96" s="401"/>
      <c r="AP96" s="401"/>
      <c r="AQ96" s="401"/>
      <c r="AR96" s="401"/>
      <c r="AS96" s="401">
        <v>0</v>
      </c>
      <c r="AT96" s="401"/>
      <c r="AU96" s="401"/>
      <c r="AV96" s="401">
        <v>0</v>
      </c>
      <c r="AW96" s="401"/>
      <c r="AX96" s="401"/>
      <c r="AY96" s="401"/>
      <c r="AZ96" s="401"/>
      <c r="BA96" s="401"/>
      <c r="BB96" s="401"/>
      <c r="BC96" s="401"/>
      <c r="BD96" s="401"/>
      <c r="BE96" s="401">
        <v>0</v>
      </c>
      <c r="BF96" s="401"/>
      <c r="BG96" s="401"/>
      <c r="BH96" s="401">
        <v>0</v>
      </c>
      <c r="BI96" s="401"/>
      <c r="BJ96" s="401"/>
      <c r="BK96" s="672">
        <f>120000000+60000000</f>
        <v>180000000</v>
      </c>
      <c r="BL96" s="672">
        <v>178984114</v>
      </c>
      <c r="BM96" s="672">
        <v>85660997.790000007</v>
      </c>
      <c r="BN96" s="415"/>
      <c r="BO96" s="415"/>
      <c r="BP96" s="415"/>
      <c r="BQ96" s="401">
        <v>0</v>
      </c>
      <c r="BR96" s="401"/>
      <c r="BS96" s="401"/>
      <c r="BT96" s="673">
        <f>1340000000+280000000</f>
        <v>1620000000</v>
      </c>
      <c r="BU96" s="699">
        <v>1077328965</v>
      </c>
      <c r="BV96" s="699"/>
      <c r="BW96" s="403">
        <v>0</v>
      </c>
      <c r="BX96" s="403"/>
      <c r="BY96" s="403"/>
      <c r="BZ96" s="401">
        <f t="shared" si="29"/>
        <v>1800000000</v>
      </c>
      <c r="CA96" s="401">
        <f t="shared" si="29"/>
        <v>1256313079</v>
      </c>
      <c r="CB96" s="401">
        <f t="shared" si="29"/>
        <v>85660997.790000007</v>
      </c>
    </row>
    <row r="97" spans="1:80" ht="108.75" customHeight="1" x14ac:dyDescent="0.2">
      <c r="A97" s="205"/>
      <c r="B97" s="746"/>
      <c r="C97" s="883"/>
      <c r="D97" s="891"/>
      <c r="E97" s="906"/>
      <c r="F97" s="894"/>
      <c r="G97" s="49"/>
      <c r="H97" s="57">
        <v>62</v>
      </c>
      <c r="I97" s="729" t="s">
        <v>150</v>
      </c>
      <c r="J97" s="57">
        <v>1</v>
      </c>
      <c r="K97" s="107">
        <v>2</v>
      </c>
      <c r="L97" s="107">
        <v>2</v>
      </c>
      <c r="M97" s="908"/>
      <c r="N97" s="57" t="s">
        <v>146</v>
      </c>
      <c r="O97" s="883"/>
      <c r="P97" s="891"/>
      <c r="Q97" s="57" t="s">
        <v>52</v>
      </c>
      <c r="R97" s="401">
        <v>0</v>
      </c>
      <c r="S97" s="401"/>
      <c r="T97" s="401"/>
      <c r="U97" s="401">
        <v>0</v>
      </c>
      <c r="V97" s="401"/>
      <c r="W97" s="401"/>
      <c r="X97" s="430"/>
      <c r="Y97" s="430"/>
      <c r="Z97" s="430"/>
      <c r="AA97" s="401">
        <v>0</v>
      </c>
      <c r="AB97" s="401"/>
      <c r="AC97" s="401"/>
      <c r="AD97" s="401">
        <v>0</v>
      </c>
      <c r="AE97" s="401"/>
      <c r="AF97" s="401"/>
      <c r="AG97" s="401">
        <v>0</v>
      </c>
      <c r="AH97" s="401"/>
      <c r="AI97" s="401"/>
      <c r="AJ97" s="401">
        <v>0</v>
      </c>
      <c r="AK97" s="401"/>
      <c r="AL97" s="401"/>
      <c r="AM97" s="401"/>
      <c r="AN97" s="401"/>
      <c r="AO97" s="401"/>
      <c r="AP97" s="401"/>
      <c r="AQ97" s="401"/>
      <c r="AR97" s="401"/>
      <c r="AS97" s="401">
        <v>0</v>
      </c>
      <c r="AT97" s="401"/>
      <c r="AU97" s="401"/>
      <c r="AV97" s="401">
        <v>0</v>
      </c>
      <c r="AW97" s="401"/>
      <c r="AX97" s="401"/>
      <c r="AY97" s="401"/>
      <c r="AZ97" s="401"/>
      <c r="BA97" s="401"/>
      <c r="BB97" s="401"/>
      <c r="BC97" s="401"/>
      <c r="BD97" s="401"/>
      <c r="BE97" s="401">
        <v>0</v>
      </c>
      <c r="BF97" s="401"/>
      <c r="BG97" s="401"/>
      <c r="BH97" s="401">
        <v>0</v>
      </c>
      <c r="BI97" s="401"/>
      <c r="BJ97" s="401"/>
      <c r="BK97" s="402">
        <v>0</v>
      </c>
      <c r="BL97" s="402"/>
      <c r="BM97" s="402"/>
      <c r="BN97" s="415"/>
      <c r="BO97" s="415"/>
      <c r="BP97" s="415"/>
      <c r="BQ97" s="401">
        <v>0</v>
      </c>
      <c r="BR97" s="401"/>
      <c r="BS97" s="401"/>
      <c r="BT97" s="135">
        <v>1500000000</v>
      </c>
      <c r="BU97" s="142"/>
      <c r="BV97" s="142"/>
      <c r="BW97" s="403">
        <v>0</v>
      </c>
      <c r="BX97" s="403"/>
      <c r="BY97" s="403"/>
      <c r="BZ97" s="401">
        <f t="shared" si="29"/>
        <v>1500000000</v>
      </c>
      <c r="CA97" s="401">
        <f t="shared" si="29"/>
        <v>0</v>
      </c>
      <c r="CB97" s="401">
        <f t="shared" si="29"/>
        <v>0</v>
      </c>
    </row>
    <row r="98" spans="1:80" ht="108.75" customHeight="1" x14ac:dyDescent="0.2">
      <c r="A98" s="205"/>
      <c r="B98" s="746"/>
      <c r="C98" s="883"/>
      <c r="D98" s="891"/>
      <c r="E98" s="906"/>
      <c r="F98" s="894"/>
      <c r="G98" s="49"/>
      <c r="H98" s="57">
        <v>63</v>
      </c>
      <c r="I98" s="729" t="s">
        <v>151</v>
      </c>
      <c r="J98" s="57" t="s">
        <v>43</v>
      </c>
      <c r="K98" s="107">
        <v>250</v>
      </c>
      <c r="L98" s="107">
        <v>0</v>
      </c>
      <c r="M98" s="908"/>
      <c r="N98" s="57" t="s">
        <v>152</v>
      </c>
      <c r="O98" s="883"/>
      <c r="P98" s="891"/>
      <c r="Q98" s="57" t="s">
        <v>67</v>
      </c>
      <c r="R98" s="401"/>
      <c r="S98" s="401"/>
      <c r="T98" s="401"/>
      <c r="U98" s="401"/>
      <c r="V98" s="401"/>
      <c r="W98" s="401"/>
      <c r="X98" s="430"/>
      <c r="Y98" s="430"/>
      <c r="Z98" s="430"/>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1"/>
      <c r="AY98" s="401"/>
      <c r="AZ98" s="401"/>
      <c r="BA98" s="401"/>
      <c r="BB98" s="401"/>
      <c r="BC98" s="401"/>
      <c r="BD98" s="401"/>
      <c r="BE98" s="401"/>
      <c r="BF98" s="401"/>
      <c r="BG98" s="401"/>
      <c r="BH98" s="401"/>
      <c r="BI98" s="403"/>
      <c r="BJ98" s="403"/>
      <c r="BK98" s="404">
        <v>0</v>
      </c>
      <c r="BL98" s="404"/>
      <c r="BM98" s="404"/>
      <c r="BN98" s="431"/>
      <c r="BO98" s="431"/>
      <c r="BP98" s="431"/>
      <c r="BQ98" s="401"/>
      <c r="BR98" s="401"/>
      <c r="BS98" s="401"/>
      <c r="BT98" s="673">
        <f>2200000000+500000000-2700000000</f>
        <v>0</v>
      </c>
      <c r="BU98" s="699"/>
      <c r="BV98" s="699"/>
      <c r="BW98" s="403"/>
      <c r="BX98" s="403"/>
      <c r="BY98" s="403"/>
      <c r="BZ98" s="401">
        <f t="shared" si="29"/>
        <v>0</v>
      </c>
      <c r="CA98" s="401">
        <f t="shared" si="29"/>
        <v>0</v>
      </c>
      <c r="CB98" s="401">
        <f t="shared" si="29"/>
        <v>0</v>
      </c>
    </row>
    <row r="99" spans="1:80" ht="108.75" customHeight="1" x14ac:dyDescent="0.2">
      <c r="A99" s="205"/>
      <c r="B99" s="746"/>
      <c r="C99" s="883"/>
      <c r="D99" s="891"/>
      <c r="E99" s="906"/>
      <c r="F99" s="894"/>
      <c r="G99" s="49"/>
      <c r="H99" s="57">
        <v>64</v>
      </c>
      <c r="I99" s="729" t="s">
        <v>153</v>
      </c>
      <c r="J99" s="57">
        <v>0</v>
      </c>
      <c r="K99" s="770">
        <v>2</v>
      </c>
      <c r="L99" s="107">
        <v>0</v>
      </c>
      <c r="M99" s="909"/>
      <c r="N99" s="857" t="s">
        <v>146</v>
      </c>
      <c r="O99" s="898"/>
      <c r="P99" s="892"/>
      <c r="Q99" s="57" t="s">
        <v>67</v>
      </c>
      <c r="R99" s="401">
        <v>0</v>
      </c>
      <c r="S99" s="401"/>
      <c r="T99" s="401"/>
      <c r="U99" s="401">
        <v>0</v>
      </c>
      <c r="V99" s="401"/>
      <c r="W99" s="401"/>
      <c r="X99" s="135"/>
      <c r="Y99" s="135"/>
      <c r="Z99" s="135"/>
      <c r="AA99" s="401">
        <v>0</v>
      </c>
      <c r="AB99" s="401"/>
      <c r="AC99" s="401"/>
      <c r="AD99" s="401">
        <v>0</v>
      </c>
      <c r="AE99" s="401"/>
      <c r="AF99" s="401"/>
      <c r="AG99" s="401">
        <v>0</v>
      </c>
      <c r="AH99" s="401"/>
      <c r="AI99" s="401"/>
      <c r="AJ99" s="401">
        <v>0</v>
      </c>
      <c r="AK99" s="401"/>
      <c r="AL99" s="401"/>
      <c r="AM99" s="401"/>
      <c r="AN99" s="401"/>
      <c r="AO99" s="401"/>
      <c r="AP99" s="401"/>
      <c r="AQ99" s="401"/>
      <c r="AR99" s="401"/>
      <c r="AS99" s="401">
        <v>0</v>
      </c>
      <c r="AT99" s="401"/>
      <c r="AU99" s="401"/>
      <c r="AV99" s="401">
        <v>0</v>
      </c>
      <c r="AW99" s="401"/>
      <c r="AX99" s="401"/>
      <c r="AY99" s="401"/>
      <c r="AZ99" s="401"/>
      <c r="BA99" s="401"/>
      <c r="BB99" s="401"/>
      <c r="BC99" s="401"/>
      <c r="BD99" s="401"/>
      <c r="BE99" s="401">
        <v>0</v>
      </c>
      <c r="BF99" s="401"/>
      <c r="BG99" s="401"/>
      <c r="BH99" s="401">
        <v>0</v>
      </c>
      <c r="BI99" s="403"/>
      <c r="BJ99" s="403"/>
      <c r="BK99" s="404">
        <v>30000000</v>
      </c>
      <c r="BL99" s="404"/>
      <c r="BM99" s="404"/>
      <c r="BN99" s="404"/>
      <c r="BO99" s="404"/>
      <c r="BP99" s="404"/>
      <c r="BQ99" s="401">
        <v>0</v>
      </c>
      <c r="BR99" s="403"/>
      <c r="BS99" s="403"/>
      <c r="BT99" s="403"/>
      <c r="BU99" s="403"/>
      <c r="BV99" s="403"/>
      <c r="BW99" s="403">
        <v>0</v>
      </c>
      <c r="BX99" s="403"/>
      <c r="BY99" s="403"/>
      <c r="BZ99" s="401">
        <f t="shared" si="29"/>
        <v>30000000</v>
      </c>
      <c r="CA99" s="401">
        <f t="shared" si="29"/>
        <v>0</v>
      </c>
      <c r="CB99" s="401">
        <f t="shared" si="29"/>
        <v>0</v>
      </c>
    </row>
    <row r="100" spans="1:80" ht="108.75" customHeight="1" x14ac:dyDescent="0.2">
      <c r="A100" s="205"/>
      <c r="B100" s="746"/>
      <c r="C100" s="702"/>
      <c r="D100" s="708"/>
      <c r="E100" s="716"/>
      <c r="F100" s="712"/>
      <c r="G100" s="92"/>
      <c r="H100" s="57">
        <v>59</v>
      </c>
      <c r="I100" s="729" t="s">
        <v>154</v>
      </c>
      <c r="J100" s="57" t="s">
        <v>43</v>
      </c>
      <c r="K100" s="57" t="s">
        <v>155</v>
      </c>
      <c r="L100" s="57">
        <v>0</v>
      </c>
      <c r="M100" s="57">
        <v>0</v>
      </c>
      <c r="N100" s="858" t="s">
        <v>146</v>
      </c>
      <c r="O100" s="718" t="s">
        <v>156</v>
      </c>
      <c r="P100" s="709" t="s">
        <v>157</v>
      </c>
      <c r="Q100" s="57"/>
      <c r="R100" s="401"/>
      <c r="S100" s="401"/>
      <c r="T100" s="401"/>
      <c r="U100" s="401"/>
      <c r="V100" s="401"/>
      <c r="W100" s="401"/>
      <c r="X100" s="135"/>
      <c r="Y100" s="135"/>
      <c r="Z100" s="135"/>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1"/>
      <c r="AY100" s="401"/>
      <c r="AZ100" s="401"/>
      <c r="BA100" s="401"/>
      <c r="BB100" s="401"/>
      <c r="BC100" s="401"/>
      <c r="BD100" s="401"/>
      <c r="BE100" s="401"/>
      <c r="BF100" s="401"/>
      <c r="BG100" s="401"/>
      <c r="BH100" s="401"/>
      <c r="BI100" s="403"/>
      <c r="BJ100" s="403"/>
      <c r="BK100" s="404"/>
      <c r="BL100" s="404"/>
      <c r="BM100" s="404"/>
      <c r="BN100" s="404"/>
      <c r="BO100" s="404"/>
      <c r="BP100" s="404"/>
      <c r="BQ100" s="401"/>
      <c r="BR100" s="403"/>
      <c r="BS100" s="403"/>
      <c r="BT100" s="403"/>
      <c r="BU100" s="403"/>
      <c r="BV100" s="403"/>
      <c r="BW100" s="676">
        <f>611890318+611890317</f>
        <v>1223780635</v>
      </c>
      <c r="BX100" s="403"/>
      <c r="BY100" s="403"/>
      <c r="BZ100" s="401">
        <f t="shared" si="29"/>
        <v>1223780635</v>
      </c>
      <c r="CA100" s="401">
        <f t="shared" si="29"/>
        <v>0</v>
      </c>
      <c r="CB100" s="401">
        <f t="shared" si="29"/>
        <v>0</v>
      </c>
    </row>
    <row r="101" spans="1:80" ht="30" customHeight="1" x14ac:dyDescent="0.2">
      <c r="A101" s="205"/>
      <c r="B101" s="61"/>
      <c r="C101" s="714"/>
      <c r="D101" s="709"/>
      <c r="E101" s="714"/>
      <c r="F101" s="714"/>
      <c r="G101" s="58"/>
      <c r="H101" s="59"/>
      <c r="I101" s="145"/>
      <c r="J101" s="59"/>
      <c r="K101" s="136"/>
      <c r="L101" s="136"/>
      <c r="M101" s="136"/>
      <c r="N101" s="146"/>
      <c r="O101" s="59"/>
      <c r="P101" s="145"/>
      <c r="Q101" s="59"/>
      <c r="R101" s="410">
        <f t="shared" ref="R101:BY101" si="30">SUM(R92:R100)</f>
        <v>0</v>
      </c>
      <c r="S101" s="410">
        <f t="shared" si="30"/>
        <v>0</v>
      </c>
      <c r="T101" s="410">
        <f t="shared" si="30"/>
        <v>0</v>
      </c>
      <c r="U101" s="410">
        <f t="shared" si="30"/>
        <v>0</v>
      </c>
      <c r="V101" s="410">
        <f t="shared" si="30"/>
        <v>0</v>
      </c>
      <c r="W101" s="410">
        <f t="shared" si="30"/>
        <v>0</v>
      </c>
      <c r="X101" s="410">
        <f t="shared" si="30"/>
        <v>9650757861</v>
      </c>
      <c r="Y101" s="410">
        <f t="shared" si="30"/>
        <v>6075119604.2600002</v>
      </c>
      <c r="Z101" s="410">
        <f t="shared" si="30"/>
        <v>3715068217.46</v>
      </c>
      <c r="AA101" s="410">
        <f t="shared" si="30"/>
        <v>0</v>
      </c>
      <c r="AB101" s="410">
        <f t="shared" si="30"/>
        <v>0</v>
      </c>
      <c r="AC101" s="410">
        <f t="shared" si="30"/>
        <v>0</v>
      </c>
      <c r="AD101" s="410">
        <f t="shared" si="30"/>
        <v>0</v>
      </c>
      <c r="AE101" s="410">
        <f t="shared" si="30"/>
        <v>0</v>
      </c>
      <c r="AF101" s="410">
        <f t="shared" si="30"/>
        <v>0</v>
      </c>
      <c r="AG101" s="410">
        <f t="shared" si="30"/>
        <v>0</v>
      </c>
      <c r="AH101" s="410">
        <f t="shared" si="30"/>
        <v>0</v>
      </c>
      <c r="AI101" s="410">
        <f t="shared" si="30"/>
        <v>0</v>
      </c>
      <c r="AJ101" s="410">
        <f t="shared" si="30"/>
        <v>0</v>
      </c>
      <c r="AK101" s="410">
        <f t="shared" si="30"/>
        <v>0</v>
      </c>
      <c r="AL101" s="410">
        <f t="shared" si="30"/>
        <v>0</v>
      </c>
      <c r="AM101" s="410">
        <f t="shared" si="30"/>
        <v>0</v>
      </c>
      <c r="AN101" s="410">
        <f t="shared" si="30"/>
        <v>0</v>
      </c>
      <c r="AO101" s="410">
        <f t="shared" si="30"/>
        <v>0</v>
      </c>
      <c r="AP101" s="410">
        <f t="shared" si="30"/>
        <v>0</v>
      </c>
      <c r="AQ101" s="410">
        <f t="shared" si="30"/>
        <v>0</v>
      </c>
      <c r="AR101" s="410">
        <f t="shared" si="30"/>
        <v>0</v>
      </c>
      <c r="AS101" s="410">
        <f t="shared" si="30"/>
        <v>0</v>
      </c>
      <c r="AT101" s="410">
        <f t="shared" si="30"/>
        <v>0</v>
      </c>
      <c r="AU101" s="410">
        <f t="shared" si="30"/>
        <v>0</v>
      </c>
      <c r="AV101" s="410">
        <f t="shared" si="30"/>
        <v>0</v>
      </c>
      <c r="AW101" s="410">
        <f t="shared" si="30"/>
        <v>0</v>
      </c>
      <c r="AX101" s="410">
        <f t="shared" si="30"/>
        <v>0</v>
      </c>
      <c r="AY101" s="410">
        <f t="shared" si="30"/>
        <v>0</v>
      </c>
      <c r="AZ101" s="410">
        <f t="shared" si="30"/>
        <v>0</v>
      </c>
      <c r="BA101" s="410">
        <f t="shared" si="30"/>
        <v>0</v>
      </c>
      <c r="BB101" s="410">
        <f t="shared" si="30"/>
        <v>0</v>
      </c>
      <c r="BC101" s="410">
        <f t="shared" si="30"/>
        <v>0</v>
      </c>
      <c r="BD101" s="410">
        <f t="shared" si="30"/>
        <v>0</v>
      </c>
      <c r="BE101" s="410">
        <f t="shared" si="30"/>
        <v>0</v>
      </c>
      <c r="BF101" s="410">
        <f t="shared" si="30"/>
        <v>0</v>
      </c>
      <c r="BG101" s="410">
        <f t="shared" si="30"/>
        <v>0</v>
      </c>
      <c r="BH101" s="410">
        <f t="shared" si="30"/>
        <v>0</v>
      </c>
      <c r="BI101" s="410">
        <f t="shared" si="30"/>
        <v>0</v>
      </c>
      <c r="BJ101" s="410">
        <f t="shared" si="30"/>
        <v>0</v>
      </c>
      <c r="BK101" s="410">
        <f t="shared" si="30"/>
        <v>376000000</v>
      </c>
      <c r="BL101" s="410">
        <f t="shared" si="30"/>
        <v>193456114</v>
      </c>
      <c r="BM101" s="410">
        <f t="shared" si="30"/>
        <v>85660997.790000007</v>
      </c>
      <c r="BN101" s="410">
        <f t="shared" si="30"/>
        <v>0</v>
      </c>
      <c r="BO101" s="410">
        <f t="shared" si="30"/>
        <v>0</v>
      </c>
      <c r="BP101" s="410">
        <f t="shared" si="30"/>
        <v>0</v>
      </c>
      <c r="BQ101" s="410">
        <f t="shared" si="30"/>
        <v>0</v>
      </c>
      <c r="BR101" s="410">
        <f t="shared" si="30"/>
        <v>0</v>
      </c>
      <c r="BS101" s="410">
        <f t="shared" si="30"/>
        <v>0</v>
      </c>
      <c r="BT101" s="410">
        <f t="shared" si="30"/>
        <v>5749232919</v>
      </c>
      <c r="BU101" s="410">
        <f t="shared" si="30"/>
        <v>2161595934</v>
      </c>
      <c r="BV101" s="410">
        <f t="shared" si="30"/>
        <v>255625386</v>
      </c>
      <c r="BW101" s="410">
        <f t="shared" si="30"/>
        <v>1223780635</v>
      </c>
      <c r="BX101" s="410">
        <f t="shared" si="30"/>
        <v>0</v>
      </c>
      <c r="BY101" s="410">
        <f t="shared" si="30"/>
        <v>0</v>
      </c>
      <c r="BZ101" s="410">
        <f t="shared" ref="BZ101:CB101" si="31">SUM(BZ92:BZ100)</f>
        <v>16999771415</v>
      </c>
      <c r="CA101" s="410">
        <f t="shared" si="31"/>
        <v>8430171652.2600002</v>
      </c>
      <c r="CB101" s="410">
        <f t="shared" si="31"/>
        <v>4056354601.25</v>
      </c>
    </row>
    <row r="102" spans="1:80" ht="30" customHeight="1" x14ac:dyDescent="0.2">
      <c r="A102" s="207"/>
      <c r="B102" s="62"/>
      <c r="C102" s="63"/>
      <c r="D102" s="62"/>
      <c r="E102" s="63"/>
      <c r="F102" s="63"/>
      <c r="G102" s="62"/>
      <c r="H102" s="63"/>
      <c r="I102" s="62"/>
      <c r="J102" s="63"/>
      <c r="K102" s="147"/>
      <c r="L102" s="147"/>
      <c r="M102" s="147"/>
      <c r="N102" s="63"/>
      <c r="O102" s="63"/>
      <c r="P102" s="62"/>
      <c r="Q102" s="63"/>
      <c r="R102" s="416">
        <f t="shared" ref="R102:CB102" si="32">R101+R89</f>
        <v>0</v>
      </c>
      <c r="S102" s="416">
        <f t="shared" si="32"/>
        <v>0</v>
      </c>
      <c r="T102" s="416">
        <f t="shared" si="32"/>
        <v>0</v>
      </c>
      <c r="U102" s="416">
        <f t="shared" si="32"/>
        <v>0</v>
      </c>
      <c r="V102" s="416">
        <f t="shared" si="32"/>
        <v>0</v>
      </c>
      <c r="W102" s="416">
        <f t="shared" si="32"/>
        <v>0</v>
      </c>
      <c r="X102" s="416">
        <f t="shared" si="32"/>
        <v>9650757861</v>
      </c>
      <c r="Y102" s="416">
        <f t="shared" si="32"/>
        <v>6075119604.2600002</v>
      </c>
      <c r="Z102" s="416">
        <f t="shared" si="32"/>
        <v>3715068217.46</v>
      </c>
      <c r="AA102" s="416">
        <f t="shared" si="32"/>
        <v>0</v>
      </c>
      <c r="AB102" s="416">
        <f t="shared" si="32"/>
        <v>0</v>
      </c>
      <c r="AC102" s="416">
        <f t="shared" si="32"/>
        <v>0</v>
      </c>
      <c r="AD102" s="416">
        <f t="shared" si="32"/>
        <v>0</v>
      </c>
      <c r="AE102" s="416">
        <f t="shared" si="32"/>
        <v>0</v>
      </c>
      <c r="AF102" s="416">
        <f t="shared" si="32"/>
        <v>0</v>
      </c>
      <c r="AG102" s="416">
        <f t="shared" si="32"/>
        <v>893940463</v>
      </c>
      <c r="AH102" s="416">
        <f t="shared" si="32"/>
        <v>574338763</v>
      </c>
      <c r="AI102" s="416">
        <f t="shared" si="32"/>
        <v>492064457</v>
      </c>
      <c r="AJ102" s="416">
        <f t="shared" si="32"/>
        <v>0</v>
      </c>
      <c r="AK102" s="416">
        <f t="shared" si="32"/>
        <v>0</v>
      </c>
      <c r="AL102" s="416">
        <f t="shared" si="32"/>
        <v>0</v>
      </c>
      <c r="AM102" s="416">
        <f t="shared" si="32"/>
        <v>0</v>
      </c>
      <c r="AN102" s="416">
        <f t="shared" si="32"/>
        <v>0</v>
      </c>
      <c r="AO102" s="416">
        <f t="shared" si="32"/>
        <v>0</v>
      </c>
      <c r="AP102" s="416">
        <f t="shared" si="32"/>
        <v>0</v>
      </c>
      <c r="AQ102" s="416">
        <f t="shared" si="32"/>
        <v>0</v>
      </c>
      <c r="AR102" s="416">
        <f t="shared" si="32"/>
        <v>0</v>
      </c>
      <c r="AS102" s="416">
        <f t="shared" si="32"/>
        <v>0</v>
      </c>
      <c r="AT102" s="416">
        <f t="shared" si="32"/>
        <v>0</v>
      </c>
      <c r="AU102" s="416">
        <f t="shared" si="32"/>
        <v>0</v>
      </c>
      <c r="AV102" s="416">
        <f t="shared" si="32"/>
        <v>0</v>
      </c>
      <c r="AW102" s="416">
        <f t="shared" si="32"/>
        <v>0</v>
      </c>
      <c r="AX102" s="416">
        <f t="shared" si="32"/>
        <v>0</v>
      </c>
      <c r="AY102" s="416">
        <f t="shared" si="32"/>
        <v>0</v>
      </c>
      <c r="AZ102" s="416">
        <f t="shared" si="32"/>
        <v>0</v>
      </c>
      <c r="BA102" s="416">
        <f t="shared" si="32"/>
        <v>0</v>
      </c>
      <c r="BB102" s="416">
        <f t="shared" si="32"/>
        <v>0</v>
      </c>
      <c r="BC102" s="416">
        <f t="shared" si="32"/>
        <v>0</v>
      </c>
      <c r="BD102" s="416">
        <f t="shared" si="32"/>
        <v>0</v>
      </c>
      <c r="BE102" s="416">
        <f t="shared" si="32"/>
        <v>0</v>
      </c>
      <c r="BF102" s="416">
        <f t="shared" si="32"/>
        <v>0</v>
      </c>
      <c r="BG102" s="416">
        <f t="shared" si="32"/>
        <v>0</v>
      </c>
      <c r="BH102" s="416">
        <f t="shared" si="32"/>
        <v>0</v>
      </c>
      <c r="BI102" s="416">
        <f t="shared" si="32"/>
        <v>0</v>
      </c>
      <c r="BJ102" s="416">
        <f t="shared" si="32"/>
        <v>0</v>
      </c>
      <c r="BK102" s="416">
        <f t="shared" si="32"/>
        <v>1405839592</v>
      </c>
      <c r="BL102" s="416">
        <f t="shared" si="32"/>
        <v>922585328</v>
      </c>
      <c r="BM102" s="416">
        <f t="shared" si="32"/>
        <v>338732053.79000002</v>
      </c>
      <c r="BN102" s="416">
        <f t="shared" si="32"/>
        <v>0</v>
      </c>
      <c r="BO102" s="416">
        <f t="shared" si="32"/>
        <v>0</v>
      </c>
      <c r="BP102" s="416">
        <f t="shared" si="32"/>
        <v>0</v>
      </c>
      <c r="BQ102" s="416">
        <f t="shared" si="32"/>
        <v>0</v>
      </c>
      <c r="BR102" s="416">
        <f t="shared" si="32"/>
        <v>0</v>
      </c>
      <c r="BS102" s="416">
        <f t="shared" si="32"/>
        <v>0</v>
      </c>
      <c r="BT102" s="416">
        <f t="shared" si="32"/>
        <v>10629232919</v>
      </c>
      <c r="BU102" s="416">
        <f t="shared" si="32"/>
        <v>2671595934</v>
      </c>
      <c r="BV102" s="416">
        <f t="shared" si="32"/>
        <v>255625386</v>
      </c>
      <c r="BW102" s="416">
        <f t="shared" si="32"/>
        <v>1223780635</v>
      </c>
      <c r="BX102" s="416">
        <f t="shared" si="32"/>
        <v>0</v>
      </c>
      <c r="BY102" s="416">
        <f t="shared" si="32"/>
        <v>0</v>
      </c>
      <c r="BZ102" s="416">
        <f t="shared" si="32"/>
        <v>23803551470</v>
      </c>
      <c r="CA102" s="416">
        <f t="shared" si="32"/>
        <v>10243639629.26</v>
      </c>
      <c r="CB102" s="416">
        <f t="shared" si="32"/>
        <v>4801490114.25</v>
      </c>
    </row>
    <row r="103" spans="1:80" ht="30" customHeight="1" x14ac:dyDescent="0.2">
      <c r="A103" s="65"/>
      <c r="B103" s="65"/>
      <c r="C103" s="66"/>
      <c r="D103" s="65"/>
      <c r="E103" s="66"/>
      <c r="F103" s="66"/>
      <c r="G103" s="65"/>
      <c r="H103" s="66"/>
      <c r="I103" s="65"/>
      <c r="J103" s="66"/>
      <c r="K103" s="149"/>
      <c r="L103" s="149"/>
      <c r="M103" s="149"/>
      <c r="N103" s="66"/>
      <c r="O103" s="66"/>
      <c r="P103" s="65"/>
      <c r="Q103" s="66"/>
      <c r="R103" s="422">
        <f t="shared" ref="R103:CB103" si="33">R102</f>
        <v>0</v>
      </c>
      <c r="S103" s="422">
        <f t="shared" si="33"/>
        <v>0</v>
      </c>
      <c r="T103" s="422">
        <f t="shared" si="33"/>
        <v>0</v>
      </c>
      <c r="U103" s="422">
        <f t="shared" si="33"/>
        <v>0</v>
      </c>
      <c r="V103" s="422">
        <f t="shared" si="33"/>
        <v>0</v>
      </c>
      <c r="W103" s="422">
        <f t="shared" si="33"/>
        <v>0</v>
      </c>
      <c r="X103" s="422">
        <f t="shared" si="33"/>
        <v>9650757861</v>
      </c>
      <c r="Y103" s="422">
        <f t="shared" si="33"/>
        <v>6075119604.2600002</v>
      </c>
      <c r="Z103" s="422">
        <f t="shared" si="33"/>
        <v>3715068217.46</v>
      </c>
      <c r="AA103" s="422">
        <f t="shared" si="33"/>
        <v>0</v>
      </c>
      <c r="AB103" s="422">
        <f t="shared" si="33"/>
        <v>0</v>
      </c>
      <c r="AC103" s="422">
        <f t="shared" si="33"/>
        <v>0</v>
      </c>
      <c r="AD103" s="422">
        <f t="shared" si="33"/>
        <v>0</v>
      </c>
      <c r="AE103" s="422">
        <f t="shared" si="33"/>
        <v>0</v>
      </c>
      <c r="AF103" s="422">
        <f t="shared" si="33"/>
        <v>0</v>
      </c>
      <c r="AG103" s="422">
        <f t="shared" si="33"/>
        <v>893940463</v>
      </c>
      <c r="AH103" s="422">
        <f t="shared" si="33"/>
        <v>574338763</v>
      </c>
      <c r="AI103" s="422">
        <f t="shared" si="33"/>
        <v>492064457</v>
      </c>
      <c r="AJ103" s="422">
        <f t="shared" si="33"/>
        <v>0</v>
      </c>
      <c r="AK103" s="422">
        <f t="shared" si="33"/>
        <v>0</v>
      </c>
      <c r="AL103" s="422">
        <f t="shared" si="33"/>
        <v>0</v>
      </c>
      <c r="AM103" s="422">
        <f t="shared" si="33"/>
        <v>0</v>
      </c>
      <c r="AN103" s="422">
        <f t="shared" si="33"/>
        <v>0</v>
      </c>
      <c r="AO103" s="422">
        <f t="shared" si="33"/>
        <v>0</v>
      </c>
      <c r="AP103" s="422">
        <f t="shared" si="33"/>
        <v>0</v>
      </c>
      <c r="AQ103" s="422">
        <f t="shared" si="33"/>
        <v>0</v>
      </c>
      <c r="AR103" s="422">
        <f t="shared" si="33"/>
        <v>0</v>
      </c>
      <c r="AS103" s="422">
        <f t="shared" si="33"/>
        <v>0</v>
      </c>
      <c r="AT103" s="422">
        <f t="shared" si="33"/>
        <v>0</v>
      </c>
      <c r="AU103" s="422">
        <f t="shared" si="33"/>
        <v>0</v>
      </c>
      <c r="AV103" s="422">
        <f t="shared" si="33"/>
        <v>0</v>
      </c>
      <c r="AW103" s="422">
        <f t="shared" si="33"/>
        <v>0</v>
      </c>
      <c r="AX103" s="422">
        <f t="shared" si="33"/>
        <v>0</v>
      </c>
      <c r="AY103" s="422">
        <f t="shared" si="33"/>
        <v>0</v>
      </c>
      <c r="AZ103" s="422">
        <f t="shared" si="33"/>
        <v>0</v>
      </c>
      <c r="BA103" s="422">
        <f t="shared" si="33"/>
        <v>0</v>
      </c>
      <c r="BB103" s="422">
        <f t="shared" si="33"/>
        <v>0</v>
      </c>
      <c r="BC103" s="422">
        <f t="shared" si="33"/>
        <v>0</v>
      </c>
      <c r="BD103" s="422">
        <f t="shared" si="33"/>
        <v>0</v>
      </c>
      <c r="BE103" s="422">
        <f t="shared" si="33"/>
        <v>0</v>
      </c>
      <c r="BF103" s="422">
        <f t="shared" si="33"/>
        <v>0</v>
      </c>
      <c r="BG103" s="422">
        <f t="shared" si="33"/>
        <v>0</v>
      </c>
      <c r="BH103" s="422">
        <f t="shared" si="33"/>
        <v>0</v>
      </c>
      <c r="BI103" s="422">
        <f t="shared" si="33"/>
        <v>0</v>
      </c>
      <c r="BJ103" s="422">
        <f t="shared" si="33"/>
        <v>0</v>
      </c>
      <c r="BK103" s="422">
        <f t="shared" si="33"/>
        <v>1405839592</v>
      </c>
      <c r="BL103" s="422">
        <f t="shared" si="33"/>
        <v>922585328</v>
      </c>
      <c r="BM103" s="422">
        <f t="shared" si="33"/>
        <v>338732053.79000002</v>
      </c>
      <c r="BN103" s="422">
        <f t="shared" si="33"/>
        <v>0</v>
      </c>
      <c r="BO103" s="422">
        <f t="shared" si="33"/>
        <v>0</v>
      </c>
      <c r="BP103" s="422">
        <f t="shared" si="33"/>
        <v>0</v>
      </c>
      <c r="BQ103" s="422">
        <f t="shared" si="33"/>
        <v>0</v>
      </c>
      <c r="BR103" s="422">
        <f t="shared" si="33"/>
        <v>0</v>
      </c>
      <c r="BS103" s="422">
        <f t="shared" si="33"/>
        <v>0</v>
      </c>
      <c r="BT103" s="422">
        <f t="shared" si="33"/>
        <v>10629232919</v>
      </c>
      <c r="BU103" s="422">
        <f t="shared" si="33"/>
        <v>2671595934</v>
      </c>
      <c r="BV103" s="422">
        <f t="shared" si="33"/>
        <v>255625386</v>
      </c>
      <c r="BW103" s="422">
        <f t="shared" si="33"/>
        <v>1223780635</v>
      </c>
      <c r="BX103" s="422">
        <f t="shared" si="33"/>
        <v>0</v>
      </c>
      <c r="BY103" s="422">
        <f t="shared" si="33"/>
        <v>0</v>
      </c>
      <c r="BZ103" s="422">
        <f t="shared" si="33"/>
        <v>23803551470</v>
      </c>
      <c r="CA103" s="422">
        <f t="shared" si="33"/>
        <v>10243639629.26</v>
      </c>
      <c r="CB103" s="422">
        <f t="shared" si="33"/>
        <v>4801490114.25</v>
      </c>
    </row>
    <row r="104" spans="1:80" ht="30" customHeight="1" x14ac:dyDescent="0.2">
      <c r="A104" s="71"/>
      <c r="B104" s="72"/>
      <c r="C104" s="150"/>
      <c r="D104" s="72"/>
      <c r="E104" s="150"/>
      <c r="F104" s="150"/>
      <c r="G104" s="72"/>
      <c r="H104" s="150"/>
      <c r="I104" s="72"/>
      <c r="J104" s="150"/>
      <c r="K104" s="151"/>
      <c r="L104" s="151"/>
      <c r="M104" s="151"/>
      <c r="N104" s="150"/>
      <c r="O104" s="150"/>
      <c r="P104" s="72"/>
      <c r="Q104" s="150"/>
      <c r="R104" s="405"/>
      <c r="S104" s="405"/>
      <c r="T104" s="405"/>
      <c r="U104" s="406"/>
      <c r="V104" s="406"/>
      <c r="W104" s="406"/>
      <c r="X104" s="405"/>
      <c r="Y104" s="405"/>
      <c r="Z104" s="405"/>
      <c r="AA104" s="405"/>
      <c r="AB104" s="405"/>
      <c r="AC104" s="405"/>
      <c r="AD104" s="405"/>
      <c r="AE104" s="405"/>
      <c r="AF104" s="405"/>
      <c r="AG104" s="405"/>
      <c r="AH104" s="405"/>
      <c r="AI104" s="405"/>
      <c r="AJ104" s="405"/>
      <c r="AK104" s="405"/>
      <c r="AL104" s="405"/>
      <c r="AM104" s="405"/>
      <c r="AN104" s="405"/>
      <c r="AO104" s="405"/>
      <c r="AP104" s="405"/>
      <c r="AQ104" s="405"/>
      <c r="AR104" s="405"/>
      <c r="AS104" s="405"/>
      <c r="AT104" s="405"/>
      <c r="AU104" s="405"/>
      <c r="AV104" s="405"/>
      <c r="AW104" s="791"/>
      <c r="AX104" s="791"/>
      <c r="AY104" s="792"/>
      <c r="AZ104" s="792"/>
      <c r="BA104" s="792"/>
      <c r="BB104" s="792"/>
      <c r="BC104" s="792"/>
      <c r="BD104" s="792"/>
      <c r="BE104" s="791"/>
      <c r="BF104" s="791"/>
      <c r="BG104" s="791"/>
      <c r="BH104" s="405"/>
      <c r="BI104" s="405"/>
      <c r="BJ104" s="405"/>
      <c r="BK104" s="407"/>
      <c r="BL104" s="407"/>
      <c r="BM104" s="407"/>
      <c r="BN104" s="408"/>
      <c r="BO104" s="408"/>
      <c r="BP104" s="408"/>
      <c r="BQ104" s="405"/>
      <c r="BR104" s="405"/>
      <c r="BS104" s="405"/>
      <c r="BT104" s="405"/>
      <c r="BU104" s="405"/>
      <c r="BV104" s="405"/>
      <c r="BW104" s="406"/>
      <c r="BX104" s="406"/>
      <c r="BY104" s="406"/>
      <c r="BZ104" s="405"/>
      <c r="CA104" s="405"/>
      <c r="CB104" s="409"/>
    </row>
    <row r="105" spans="1:80" ht="30" customHeight="1" x14ac:dyDescent="0.2">
      <c r="A105" s="787">
        <v>1</v>
      </c>
      <c r="B105" s="34" t="s">
        <v>158</v>
      </c>
      <c r="C105" s="35"/>
      <c r="D105" s="34"/>
      <c r="E105" s="34"/>
      <c r="F105" s="34"/>
      <c r="G105" s="34"/>
      <c r="H105" s="35"/>
      <c r="I105" s="34"/>
      <c r="J105" s="34"/>
      <c r="K105" s="124"/>
      <c r="L105" s="124"/>
      <c r="M105" s="124"/>
      <c r="N105" s="35"/>
      <c r="O105" s="35"/>
      <c r="P105" s="34"/>
      <c r="Q105" s="34"/>
      <c r="R105" s="432"/>
      <c r="S105" s="432"/>
      <c r="T105" s="432"/>
      <c r="U105" s="432"/>
      <c r="V105" s="432"/>
      <c r="W105" s="432"/>
      <c r="X105" s="432"/>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2"/>
      <c r="AY105" s="432"/>
      <c r="AZ105" s="432"/>
      <c r="BA105" s="432"/>
      <c r="BB105" s="432"/>
      <c r="BC105" s="432"/>
      <c r="BD105" s="432"/>
      <c r="BE105" s="432"/>
      <c r="BF105" s="432"/>
      <c r="BG105" s="432"/>
      <c r="BH105" s="432"/>
      <c r="BI105" s="432"/>
      <c r="BJ105" s="432"/>
      <c r="BK105" s="433"/>
      <c r="BL105" s="433"/>
      <c r="BM105" s="433"/>
      <c r="BN105" s="432"/>
      <c r="BO105" s="432"/>
      <c r="BP105" s="432"/>
      <c r="BQ105" s="432"/>
      <c r="BR105" s="432"/>
      <c r="BS105" s="432"/>
      <c r="BT105" s="432"/>
      <c r="BU105" s="432"/>
      <c r="BV105" s="432"/>
      <c r="BW105" s="432"/>
      <c r="BX105" s="432"/>
      <c r="BY105" s="432"/>
      <c r="BZ105" s="434"/>
      <c r="CA105" s="434"/>
      <c r="CB105" s="434"/>
    </row>
    <row r="106" spans="1:80" ht="30" customHeight="1" x14ac:dyDescent="0.2">
      <c r="A106" s="76"/>
      <c r="B106" s="152">
        <v>1</v>
      </c>
      <c r="C106" s="38" t="s">
        <v>159</v>
      </c>
      <c r="D106" s="39"/>
      <c r="E106" s="39"/>
      <c r="F106" s="39"/>
      <c r="G106" s="39"/>
      <c r="H106" s="40"/>
      <c r="I106" s="39"/>
      <c r="J106" s="39"/>
      <c r="K106" s="126"/>
      <c r="L106" s="126"/>
      <c r="M106" s="126"/>
      <c r="N106" s="40"/>
      <c r="O106" s="40"/>
      <c r="P106" s="39"/>
      <c r="Q106" s="39"/>
      <c r="R106" s="412"/>
      <c r="S106" s="412"/>
      <c r="T106" s="412"/>
      <c r="U106" s="412"/>
      <c r="V106" s="412"/>
      <c r="W106" s="412"/>
      <c r="X106" s="412"/>
      <c r="Y106" s="412"/>
      <c r="Z106" s="412"/>
      <c r="AA106" s="412"/>
      <c r="AB106" s="412"/>
      <c r="AC106" s="412"/>
      <c r="AD106" s="412"/>
      <c r="AE106" s="412"/>
      <c r="AF106" s="412"/>
      <c r="AG106" s="412"/>
      <c r="AH106" s="412"/>
      <c r="AI106" s="412"/>
      <c r="AJ106" s="412"/>
      <c r="AK106" s="412"/>
      <c r="AL106" s="412"/>
      <c r="AM106" s="412"/>
      <c r="AN106" s="412"/>
      <c r="AO106" s="412"/>
      <c r="AP106" s="412"/>
      <c r="AQ106" s="412"/>
      <c r="AR106" s="412"/>
      <c r="AS106" s="412"/>
      <c r="AT106" s="412"/>
      <c r="AU106" s="412"/>
      <c r="AV106" s="412"/>
      <c r="AW106" s="412"/>
      <c r="AX106" s="412"/>
      <c r="AY106" s="412"/>
      <c r="AZ106" s="412"/>
      <c r="BA106" s="412"/>
      <c r="BB106" s="412"/>
      <c r="BC106" s="412"/>
      <c r="BD106" s="412"/>
      <c r="BE106" s="412"/>
      <c r="BF106" s="412"/>
      <c r="BG106" s="412"/>
      <c r="BH106" s="412"/>
      <c r="BI106" s="412"/>
      <c r="BJ106" s="412"/>
      <c r="BK106" s="413"/>
      <c r="BL106" s="413"/>
      <c r="BM106" s="413"/>
      <c r="BN106" s="412"/>
      <c r="BO106" s="412"/>
      <c r="BP106" s="412"/>
      <c r="BQ106" s="412"/>
      <c r="BR106" s="412"/>
      <c r="BS106" s="412"/>
      <c r="BT106" s="412"/>
      <c r="BU106" s="412"/>
      <c r="BV106" s="412"/>
      <c r="BW106" s="412"/>
      <c r="BX106" s="412"/>
      <c r="BY106" s="412"/>
      <c r="BZ106" s="417"/>
      <c r="CA106" s="417"/>
      <c r="CB106" s="417"/>
    </row>
    <row r="107" spans="1:80" ht="30" customHeight="1" x14ac:dyDescent="0.2">
      <c r="A107" s="42"/>
      <c r="B107" s="76"/>
      <c r="C107" s="27"/>
      <c r="D107" s="76"/>
      <c r="E107" s="76"/>
      <c r="F107" s="76"/>
      <c r="G107" s="78">
        <v>2</v>
      </c>
      <c r="H107" s="80" t="s">
        <v>160</v>
      </c>
      <c r="I107" s="80"/>
      <c r="J107" s="80"/>
      <c r="K107" s="128"/>
      <c r="L107" s="128"/>
      <c r="M107" s="128"/>
      <c r="N107" s="173"/>
      <c r="O107" s="173"/>
      <c r="P107" s="80"/>
      <c r="Q107" s="80"/>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414"/>
      <c r="BL107" s="414"/>
      <c r="BM107" s="414"/>
      <c r="BN107" s="267"/>
      <c r="BO107" s="267"/>
      <c r="BP107" s="267"/>
      <c r="BQ107" s="267"/>
      <c r="BR107" s="267"/>
      <c r="BS107" s="267"/>
      <c r="BT107" s="267"/>
      <c r="BU107" s="267"/>
      <c r="BV107" s="267"/>
      <c r="BW107" s="267"/>
      <c r="BX107" s="267"/>
      <c r="BY107" s="267"/>
      <c r="BZ107" s="269"/>
      <c r="CA107" s="269"/>
      <c r="CB107" s="269"/>
    </row>
    <row r="108" spans="1:80" ht="84.75" customHeight="1" x14ac:dyDescent="0.2">
      <c r="A108" s="42"/>
      <c r="B108" s="42"/>
      <c r="C108" s="714">
        <v>3</v>
      </c>
      <c r="D108" s="709" t="s">
        <v>170</v>
      </c>
      <c r="E108" s="714" t="s">
        <v>162</v>
      </c>
      <c r="F108" s="714" t="s">
        <v>163</v>
      </c>
      <c r="G108" s="43"/>
      <c r="H108" s="57">
        <v>9</v>
      </c>
      <c r="I108" s="729" t="s">
        <v>164</v>
      </c>
      <c r="J108" s="57">
        <v>35</v>
      </c>
      <c r="K108" s="107">
        <v>5</v>
      </c>
      <c r="L108" s="107">
        <v>1</v>
      </c>
      <c r="M108" s="46">
        <v>2017003630097</v>
      </c>
      <c r="N108" s="57" t="s">
        <v>165</v>
      </c>
      <c r="O108" s="44" t="s">
        <v>166</v>
      </c>
      <c r="P108" s="729" t="s">
        <v>167</v>
      </c>
      <c r="Q108" s="57" t="s">
        <v>67</v>
      </c>
      <c r="R108" s="401">
        <v>0</v>
      </c>
      <c r="S108" s="401"/>
      <c r="T108" s="401"/>
      <c r="U108" s="401">
        <v>0</v>
      </c>
      <c r="V108" s="401"/>
      <c r="W108" s="401"/>
      <c r="X108" s="675">
        <f>1074750000+159691948+22323484</f>
        <v>1256765432</v>
      </c>
      <c r="Y108" s="675">
        <v>172190347</v>
      </c>
      <c r="Z108" s="675">
        <v>166440083</v>
      </c>
      <c r="AA108" s="401">
        <v>0</v>
      </c>
      <c r="AB108" s="401"/>
      <c r="AC108" s="401"/>
      <c r="AD108" s="401">
        <v>0</v>
      </c>
      <c r="AE108" s="401"/>
      <c r="AF108" s="401"/>
      <c r="AG108" s="401">
        <v>0</v>
      </c>
      <c r="AH108" s="401"/>
      <c r="AI108" s="401"/>
      <c r="AJ108" s="401">
        <v>0</v>
      </c>
      <c r="AK108" s="401"/>
      <c r="AL108" s="401"/>
      <c r="AM108" s="401"/>
      <c r="AN108" s="401"/>
      <c r="AO108" s="401"/>
      <c r="AP108" s="401"/>
      <c r="AQ108" s="401"/>
      <c r="AR108" s="401"/>
      <c r="AS108" s="401">
        <v>0</v>
      </c>
      <c r="AT108" s="401"/>
      <c r="AU108" s="401"/>
      <c r="AV108" s="401">
        <v>0</v>
      </c>
      <c r="AW108" s="401"/>
      <c r="AX108" s="401"/>
      <c r="AY108" s="401"/>
      <c r="AZ108" s="401"/>
      <c r="BA108" s="401"/>
      <c r="BB108" s="401"/>
      <c r="BC108" s="401"/>
      <c r="BD108" s="401"/>
      <c r="BE108" s="401">
        <v>0</v>
      </c>
      <c r="BF108" s="401"/>
      <c r="BG108" s="401"/>
      <c r="BH108" s="675">
        <f>3800000+6592117</f>
        <v>10392117</v>
      </c>
      <c r="BI108" s="675"/>
      <c r="BJ108" s="675"/>
      <c r="BK108" s="135"/>
      <c r="BL108" s="135"/>
      <c r="BM108" s="135"/>
      <c r="BN108" s="48"/>
      <c r="BO108" s="48"/>
      <c r="BP108" s="48"/>
      <c r="BQ108" s="401">
        <v>0</v>
      </c>
      <c r="BR108" s="403"/>
      <c r="BS108" s="403"/>
      <c r="BT108" s="403"/>
      <c r="BU108" s="403"/>
      <c r="BV108" s="403"/>
      <c r="BW108" s="403">
        <v>0</v>
      </c>
      <c r="BX108" s="403"/>
      <c r="BY108" s="403"/>
      <c r="BZ108" s="401">
        <f t="shared" ref="BZ108:CB113" si="34">R108+U108+X108+AA108+AD108+AG108+AJ108+AM108+AP108+AS108+AV108+AY108+BB108+BE108+BH108+BK108+BN108+BQ108+BT108+BW108</f>
        <v>1267157549</v>
      </c>
      <c r="CA108" s="401">
        <f t="shared" si="34"/>
        <v>172190347</v>
      </c>
      <c r="CB108" s="401">
        <f t="shared" si="34"/>
        <v>166440083</v>
      </c>
    </row>
    <row r="109" spans="1:80" ht="77.25" customHeight="1" x14ac:dyDescent="0.2">
      <c r="A109" s="42"/>
      <c r="B109" s="42"/>
      <c r="C109" s="727">
        <v>3</v>
      </c>
      <c r="D109" s="729" t="s">
        <v>161</v>
      </c>
      <c r="E109" s="57" t="s">
        <v>162</v>
      </c>
      <c r="F109" s="57" t="s">
        <v>163</v>
      </c>
      <c r="G109" s="49"/>
      <c r="H109" s="57">
        <v>9</v>
      </c>
      <c r="I109" s="729" t="s">
        <v>164</v>
      </c>
      <c r="J109" s="57">
        <v>35</v>
      </c>
      <c r="K109" s="107">
        <v>5</v>
      </c>
      <c r="L109" s="107">
        <v>1</v>
      </c>
      <c r="M109" s="46">
        <v>20170036300121</v>
      </c>
      <c r="N109" s="57" t="s">
        <v>165</v>
      </c>
      <c r="O109" s="44" t="s">
        <v>168</v>
      </c>
      <c r="P109" s="729" t="s">
        <v>169</v>
      </c>
      <c r="Q109" s="57" t="s">
        <v>67</v>
      </c>
      <c r="R109" s="401"/>
      <c r="S109" s="401"/>
      <c r="T109" s="401"/>
      <c r="U109" s="401"/>
      <c r="V109" s="401"/>
      <c r="W109" s="401"/>
      <c r="X109" s="680">
        <v>54317072</v>
      </c>
      <c r="Y109" s="680">
        <v>47359624.649999999</v>
      </c>
      <c r="Z109" s="680">
        <v>24128708.050000001</v>
      </c>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1"/>
      <c r="AY109" s="401"/>
      <c r="AZ109" s="401"/>
      <c r="BA109" s="401"/>
      <c r="BB109" s="401"/>
      <c r="BC109" s="401"/>
      <c r="BD109" s="401"/>
      <c r="BE109" s="401">
        <v>0</v>
      </c>
      <c r="BF109" s="401"/>
      <c r="BG109" s="401"/>
      <c r="BH109" s="673">
        <f>646081112+126635520</f>
        <v>772716632</v>
      </c>
      <c r="BI109" s="699">
        <v>772716632</v>
      </c>
      <c r="BJ109" s="699"/>
      <c r="BK109" s="404"/>
      <c r="BL109" s="404"/>
      <c r="BM109" s="404"/>
      <c r="BN109" s="404"/>
      <c r="BO109" s="404"/>
      <c r="BP109" s="404"/>
      <c r="BQ109" s="401"/>
      <c r="BR109" s="403"/>
      <c r="BS109" s="403"/>
      <c r="BT109" s="403"/>
      <c r="BU109" s="403"/>
      <c r="BV109" s="403"/>
      <c r="BW109" s="403"/>
      <c r="BX109" s="403"/>
      <c r="BY109" s="403"/>
      <c r="BZ109" s="401">
        <f t="shared" si="34"/>
        <v>827033704</v>
      </c>
      <c r="CA109" s="401">
        <f t="shared" si="34"/>
        <v>820076256.64999998</v>
      </c>
      <c r="CB109" s="401">
        <f t="shared" si="34"/>
        <v>24128708.050000001</v>
      </c>
    </row>
    <row r="110" spans="1:80" ht="75" x14ac:dyDescent="0.2">
      <c r="A110" s="42"/>
      <c r="B110" s="42"/>
      <c r="C110" s="727">
        <v>3</v>
      </c>
      <c r="D110" s="729" t="s">
        <v>170</v>
      </c>
      <c r="E110" s="57" t="s">
        <v>162</v>
      </c>
      <c r="F110" s="57" t="s">
        <v>163</v>
      </c>
      <c r="G110" s="49"/>
      <c r="H110" s="57">
        <v>10</v>
      </c>
      <c r="I110" s="729" t="s">
        <v>171</v>
      </c>
      <c r="J110" s="154">
        <v>1</v>
      </c>
      <c r="K110" s="155">
        <v>5</v>
      </c>
      <c r="L110" s="155">
        <v>0</v>
      </c>
      <c r="M110" s="46">
        <v>20170036300118</v>
      </c>
      <c r="N110" s="57" t="s">
        <v>165</v>
      </c>
      <c r="O110" s="44" t="s">
        <v>172</v>
      </c>
      <c r="P110" s="729" t="s">
        <v>173</v>
      </c>
      <c r="Q110" s="57" t="s">
        <v>67</v>
      </c>
      <c r="R110" s="401">
        <v>0</v>
      </c>
      <c r="S110" s="401"/>
      <c r="T110" s="401"/>
      <c r="U110" s="401">
        <v>0</v>
      </c>
      <c r="V110" s="401"/>
      <c r="W110" s="401"/>
      <c r="X110" s="401">
        <v>0</v>
      </c>
      <c r="Y110" s="401"/>
      <c r="Z110" s="401"/>
      <c r="AA110" s="401">
        <v>0</v>
      </c>
      <c r="AB110" s="401"/>
      <c r="AC110" s="401"/>
      <c r="AD110" s="401">
        <v>0</v>
      </c>
      <c r="AE110" s="401"/>
      <c r="AF110" s="401"/>
      <c r="AG110" s="401">
        <v>0</v>
      </c>
      <c r="AH110" s="401"/>
      <c r="AI110" s="401"/>
      <c r="AJ110" s="401">
        <v>0</v>
      </c>
      <c r="AK110" s="401"/>
      <c r="AL110" s="401"/>
      <c r="AM110" s="401"/>
      <c r="AN110" s="401"/>
      <c r="AO110" s="401"/>
      <c r="AP110" s="401"/>
      <c r="AQ110" s="401"/>
      <c r="AR110" s="401"/>
      <c r="AS110" s="401">
        <v>0</v>
      </c>
      <c r="AT110" s="401"/>
      <c r="AU110" s="401"/>
      <c r="AV110" s="401">
        <v>0</v>
      </c>
      <c r="AW110" s="401"/>
      <c r="AX110" s="401"/>
      <c r="AY110" s="401"/>
      <c r="AZ110" s="401"/>
      <c r="BA110" s="401"/>
      <c r="BB110" s="401"/>
      <c r="BC110" s="401"/>
      <c r="BD110" s="401"/>
      <c r="BE110" s="401">
        <v>0</v>
      </c>
      <c r="BF110" s="401"/>
      <c r="BG110" s="401"/>
      <c r="BH110" s="135">
        <v>80000000</v>
      </c>
      <c r="BI110" s="135">
        <v>80000000</v>
      </c>
      <c r="BJ110" s="135"/>
      <c r="BK110" s="402">
        <v>0</v>
      </c>
      <c r="BL110" s="402"/>
      <c r="BM110" s="402"/>
      <c r="BN110" s="415"/>
      <c r="BO110" s="415"/>
      <c r="BP110" s="415"/>
      <c r="BQ110" s="401">
        <v>0</v>
      </c>
      <c r="BR110" s="403"/>
      <c r="BS110" s="403"/>
      <c r="BT110" s="403"/>
      <c r="BU110" s="403"/>
      <c r="BV110" s="403"/>
      <c r="BW110" s="403">
        <v>0</v>
      </c>
      <c r="BX110" s="403"/>
      <c r="BY110" s="403"/>
      <c r="BZ110" s="401">
        <f t="shared" si="34"/>
        <v>80000000</v>
      </c>
      <c r="CA110" s="401">
        <f t="shared" si="34"/>
        <v>80000000</v>
      </c>
      <c r="CB110" s="401">
        <f t="shared" si="34"/>
        <v>0</v>
      </c>
    </row>
    <row r="111" spans="1:80" s="2" customFormat="1" ht="73.5" customHeight="1" x14ac:dyDescent="0.25">
      <c r="A111" s="42"/>
      <c r="B111" s="42"/>
      <c r="C111" s="727">
        <v>3</v>
      </c>
      <c r="D111" s="729" t="s">
        <v>170</v>
      </c>
      <c r="E111" s="57" t="s">
        <v>162</v>
      </c>
      <c r="F111" s="57" t="s">
        <v>163</v>
      </c>
      <c r="G111" s="49"/>
      <c r="H111" s="57">
        <v>11</v>
      </c>
      <c r="I111" s="729" t="s">
        <v>174</v>
      </c>
      <c r="J111" s="57">
        <v>1</v>
      </c>
      <c r="K111" s="107">
        <v>1</v>
      </c>
      <c r="L111" s="107">
        <v>0</v>
      </c>
      <c r="M111" s="46">
        <v>20170036300117</v>
      </c>
      <c r="N111" s="57" t="s">
        <v>165</v>
      </c>
      <c r="O111" s="44" t="s">
        <v>175</v>
      </c>
      <c r="P111" s="729" t="s">
        <v>962</v>
      </c>
      <c r="Q111" s="57" t="s">
        <v>52</v>
      </c>
      <c r="R111" s="401">
        <v>0</v>
      </c>
      <c r="S111" s="401"/>
      <c r="T111" s="401"/>
      <c r="U111" s="401">
        <v>0</v>
      </c>
      <c r="V111" s="401"/>
      <c r="W111" s="401"/>
      <c r="X111" s="401">
        <v>0</v>
      </c>
      <c r="Y111" s="401"/>
      <c r="Z111" s="401"/>
      <c r="AA111" s="401">
        <v>0</v>
      </c>
      <c r="AB111" s="401"/>
      <c r="AC111" s="401"/>
      <c r="AD111" s="401">
        <v>0</v>
      </c>
      <c r="AE111" s="401"/>
      <c r="AF111" s="401"/>
      <c r="AG111" s="401">
        <v>0</v>
      </c>
      <c r="AH111" s="401"/>
      <c r="AI111" s="401"/>
      <c r="AJ111" s="401">
        <v>0</v>
      </c>
      <c r="AK111" s="401"/>
      <c r="AL111" s="401"/>
      <c r="AM111" s="401"/>
      <c r="AN111" s="401"/>
      <c r="AO111" s="401"/>
      <c r="AP111" s="401"/>
      <c r="AQ111" s="401"/>
      <c r="AR111" s="401"/>
      <c r="AS111" s="401">
        <v>0</v>
      </c>
      <c r="AT111" s="401"/>
      <c r="AU111" s="401"/>
      <c r="AV111" s="401">
        <v>0</v>
      </c>
      <c r="AW111" s="401"/>
      <c r="AX111" s="401"/>
      <c r="AY111" s="401"/>
      <c r="AZ111" s="401"/>
      <c r="BA111" s="401"/>
      <c r="BB111" s="401"/>
      <c r="BC111" s="401"/>
      <c r="BD111" s="401"/>
      <c r="BE111" s="401">
        <v>0</v>
      </c>
      <c r="BF111" s="401"/>
      <c r="BG111" s="401"/>
      <c r="BH111" s="135">
        <v>312000000</v>
      </c>
      <c r="BI111" s="135">
        <v>312000000</v>
      </c>
      <c r="BJ111" s="135"/>
      <c r="BK111" s="402">
        <v>0</v>
      </c>
      <c r="BL111" s="402"/>
      <c r="BM111" s="402"/>
      <c r="BN111" s="415"/>
      <c r="BO111" s="415"/>
      <c r="BP111" s="415"/>
      <c r="BQ111" s="401">
        <v>0</v>
      </c>
      <c r="BR111" s="403"/>
      <c r="BS111" s="403"/>
      <c r="BT111" s="403"/>
      <c r="BU111" s="403"/>
      <c r="BV111" s="403"/>
      <c r="BW111" s="403">
        <v>0</v>
      </c>
      <c r="BX111" s="403"/>
      <c r="BY111" s="403"/>
      <c r="BZ111" s="401">
        <f t="shared" si="34"/>
        <v>312000000</v>
      </c>
      <c r="CA111" s="401">
        <f t="shared" si="34"/>
        <v>312000000</v>
      </c>
      <c r="CB111" s="401">
        <f t="shared" si="34"/>
        <v>0</v>
      </c>
    </row>
    <row r="112" spans="1:80" ht="60" x14ac:dyDescent="0.2">
      <c r="A112" s="42"/>
      <c r="B112" s="42"/>
      <c r="C112" s="727">
        <v>3</v>
      </c>
      <c r="D112" s="729" t="s">
        <v>170</v>
      </c>
      <c r="E112" s="57" t="s">
        <v>162</v>
      </c>
      <c r="F112" s="57" t="s">
        <v>163</v>
      </c>
      <c r="G112" s="49"/>
      <c r="H112" s="57">
        <v>12</v>
      </c>
      <c r="I112" s="729" t="s">
        <v>177</v>
      </c>
      <c r="J112" s="57">
        <v>1</v>
      </c>
      <c r="K112" s="107">
        <v>3</v>
      </c>
      <c r="L112" s="107">
        <v>0</v>
      </c>
      <c r="M112" s="46">
        <v>20170036300120</v>
      </c>
      <c r="N112" s="57" t="s">
        <v>165</v>
      </c>
      <c r="O112" s="44" t="s">
        <v>178</v>
      </c>
      <c r="P112" s="729" t="s">
        <v>179</v>
      </c>
      <c r="Q112" s="57" t="s">
        <v>52</v>
      </c>
      <c r="R112" s="401">
        <v>0</v>
      </c>
      <c r="S112" s="401"/>
      <c r="T112" s="401"/>
      <c r="U112" s="401">
        <v>0</v>
      </c>
      <c r="V112" s="401"/>
      <c r="W112" s="401"/>
      <c r="X112" s="401">
        <v>0</v>
      </c>
      <c r="Y112" s="401"/>
      <c r="Z112" s="401"/>
      <c r="AA112" s="401">
        <v>0</v>
      </c>
      <c r="AB112" s="401"/>
      <c r="AC112" s="401"/>
      <c r="AD112" s="401">
        <v>0</v>
      </c>
      <c r="AE112" s="401"/>
      <c r="AF112" s="401"/>
      <c r="AG112" s="401">
        <v>0</v>
      </c>
      <c r="AH112" s="401"/>
      <c r="AI112" s="401"/>
      <c r="AJ112" s="401">
        <v>0</v>
      </c>
      <c r="AK112" s="401"/>
      <c r="AL112" s="401"/>
      <c r="AM112" s="401"/>
      <c r="AN112" s="401"/>
      <c r="AO112" s="401"/>
      <c r="AP112" s="401"/>
      <c r="AQ112" s="401"/>
      <c r="AR112" s="401"/>
      <c r="AS112" s="401">
        <v>0</v>
      </c>
      <c r="AT112" s="401"/>
      <c r="AU112" s="401"/>
      <c r="AV112" s="401">
        <v>0</v>
      </c>
      <c r="AW112" s="401"/>
      <c r="AX112" s="401"/>
      <c r="AY112" s="401"/>
      <c r="AZ112" s="401"/>
      <c r="BA112" s="401"/>
      <c r="BB112" s="401"/>
      <c r="BC112" s="401"/>
      <c r="BD112" s="401"/>
      <c r="BE112" s="401">
        <v>0</v>
      </c>
      <c r="BF112" s="401"/>
      <c r="BG112" s="401"/>
      <c r="BH112" s="135">
        <v>1050000000</v>
      </c>
      <c r="BI112" s="135">
        <v>1050000000</v>
      </c>
      <c r="BJ112" s="135"/>
      <c r="BK112" s="402">
        <v>0</v>
      </c>
      <c r="BL112" s="402"/>
      <c r="BM112" s="402"/>
      <c r="BN112" s="415"/>
      <c r="BO112" s="415"/>
      <c r="BP112" s="415"/>
      <c r="BQ112" s="401">
        <v>0</v>
      </c>
      <c r="BR112" s="403"/>
      <c r="BS112" s="403"/>
      <c r="BT112" s="403"/>
      <c r="BU112" s="403"/>
      <c r="BV112" s="403"/>
      <c r="BW112" s="403">
        <v>0</v>
      </c>
      <c r="BX112" s="403"/>
      <c r="BY112" s="403"/>
      <c r="BZ112" s="401">
        <f t="shared" si="34"/>
        <v>1050000000</v>
      </c>
      <c r="CA112" s="401">
        <f t="shared" si="34"/>
        <v>1050000000</v>
      </c>
      <c r="CB112" s="401">
        <f t="shared" si="34"/>
        <v>0</v>
      </c>
    </row>
    <row r="113" spans="1:80" ht="60" x14ac:dyDescent="0.2">
      <c r="A113" s="42"/>
      <c r="B113" s="42"/>
      <c r="C113" s="713">
        <v>3</v>
      </c>
      <c r="D113" s="707" t="s">
        <v>170</v>
      </c>
      <c r="E113" s="713" t="s">
        <v>162</v>
      </c>
      <c r="F113" s="713" t="s">
        <v>163</v>
      </c>
      <c r="G113" s="92"/>
      <c r="H113" s="57">
        <v>13</v>
      </c>
      <c r="I113" s="729" t="s">
        <v>180</v>
      </c>
      <c r="J113" s="57">
        <v>0</v>
      </c>
      <c r="K113" s="107">
        <v>2</v>
      </c>
      <c r="L113" s="107">
        <v>0</v>
      </c>
      <c r="M113" s="46">
        <v>20170036300119</v>
      </c>
      <c r="N113" s="57" t="s">
        <v>165</v>
      </c>
      <c r="O113" s="44" t="s">
        <v>181</v>
      </c>
      <c r="P113" s="729" t="s">
        <v>182</v>
      </c>
      <c r="Q113" s="57" t="s">
        <v>52</v>
      </c>
      <c r="R113" s="401">
        <v>0</v>
      </c>
      <c r="S113" s="401"/>
      <c r="T113" s="401"/>
      <c r="U113" s="401">
        <v>0</v>
      </c>
      <c r="V113" s="401"/>
      <c r="W113" s="401"/>
      <c r="X113" s="401"/>
      <c r="Y113" s="401"/>
      <c r="Z113" s="401"/>
      <c r="AA113" s="401">
        <v>0</v>
      </c>
      <c r="AB113" s="401"/>
      <c r="AC113" s="401"/>
      <c r="AD113" s="401">
        <v>0</v>
      </c>
      <c r="AE113" s="401"/>
      <c r="AF113" s="401"/>
      <c r="AG113" s="401">
        <v>0</v>
      </c>
      <c r="AH113" s="401"/>
      <c r="AI113" s="401"/>
      <c r="AJ113" s="401">
        <v>0</v>
      </c>
      <c r="AK113" s="401"/>
      <c r="AL113" s="401"/>
      <c r="AM113" s="401"/>
      <c r="AN113" s="401"/>
      <c r="AO113" s="401"/>
      <c r="AP113" s="401"/>
      <c r="AQ113" s="401"/>
      <c r="AR113" s="401"/>
      <c r="AS113" s="401">
        <v>0</v>
      </c>
      <c r="AT113" s="401"/>
      <c r="AU113" s="401"/>
      <c r="AV113" s="401">
        <v>0</v>
      </c>
      <c r="AW113" s="401"/>
      <c r="AX113" s="401"/>
      <c r="AY113" s="401"/>
      <c r="AZ113" s="401"/>
      <c r="BA113" s="401"/>
      <c r="BB113" s="401"/>
      <c r="BC113" s="401"/>
      <c r="BD113" s="401"/>
      <c r="BE113" s="401">
        <v>0</v>
      </c>
      <c r="BF113" s="401"/>
      <c r="BG113" s="401"/>
      <c r="BH113" s="135">
        <v>300000000</v>
      </c>
      <c r="BI113" s="135">
        <v>300000000</v>
      </c>
      <c r="BJ113" s="135"/>
      <c r="BK113" s="402">
        <v>0</v>
      </c>
      <c r="BL113" s="402"/>
      <c r="BM113" s="402"/>
      <c r="BN113" s="415"/>
      <c r="BO113" s="415"/>
      <c r="BP113" s="415"/>
      <c r="BQ113" s="401">
        <v>0</v>
      </c>
      <c r="BR113" s="403"/>
      <c r="BS113" s="403"/>
      <c r="BT113" s="403"/>
      <c r="BU113" s="403"/>
      <c r="BV113" s="403"/>
      <c r="BW113" s="403">
        <v>0</v>
      </c>
      <c r="BX113" s="403"/>
      <c r="BY113" s="403"/>
      <c r="BZ113" s="401">
        <f t="shared" si="34"/>
        <v>300000000</v>
      </c>
      <c r="CA113" s="401">
        <f t="shared" si="34"/>
        <v>300000000</v>
      </c>
      <c r="CB113" s="401">
        <f t="shared" si="34"/>
        <v>0</v>
      </c>
    </row>
    <row r="114" spans="1:80" ht="30" customHeight="1" x14ac:dyDescent="0.2">
      <c r="A114" s="42"/>
      <c r="B114" s="55"/>
      <c r="C114" s="714"/>
      <c r="D114" s="709"/>
      <c r="E114" s="714"/>
      <c r="F114" s="714"/>
      <c r="G114" s="156"/>
      <c r="H114" s="156"/>
      <c r="I114" s="157"/>
      <c r="J114" s="156"/>
      <c r="K114" s="156"/>
      <c r="L114" s="156"/>
      <c r="M114" s="156"/>
      <c r="N114" s="156"/>
      <c r="O114" s="156"/>
      <c r="P114" s="158"/>
      <c r="Q114" s="156"/>
      <c r="R114" s="435">
        <f t="shared" ref="R114:CB114" si="35">SUM(R108:R113)</f>
        <v>0</v>
      </c>
      <c r="S114" s="435">
        <f t="shared" si="35"/>
        <v>0</v>
      </c>
      <c r="T114" s="435">
        <f t="shared" si="35"/>
        <v>0</v>
      </c>
      <c r="U114" s="435">
        <f t="shared" si="35"/>
        <v>0</v>
      </c>
      <c r="V114" s="435">
        <f t="shared" si="35"/>
        <v>0</v>
      </c>
      <c r="W114" s="435">
        <f t="shared" si="35"/>
        <v>0</v>
      </c>
      <c r="X114" s="435">
        <f t="shared" si="35"/>
        <v>1311082504</v>
      </c>
      <c r="Y114" s="435">
        <f t="shared" si="35"/>
        <v>219549971.65000001</v>
      </c>
      <c r="Z114" s="435">
        <f t="shared" si="35"/>
        <v>190568791.05000001</v>
      </c>
      <c r="AA114" s="435">
        <f t="shared" si="35"/>
        <v>0</v>
      </c>
      <c r="AB114" s="435">
        <f t="shared" si="35"/>
        <v>0</v>
      </c>
      <c r="AC114" s="435">
        <f t="shared" si="35"/>
        <v>0</v>
      </c>
      <c r="AD114" s="435">
        <f t="shared" si="35"/>
        <v>0</v>
      </c>
      <c r="AE114" s="435">
        <f t="shared" si="35"/>
        <v>0</v>
      </c>
      <c r="AF114" s="435">
        <f t="shared" si="35"/>
        <v>0</v>
      </c>
      <c r="AG114" s="435">
        <f t="shared" si="35"/>
        <v>0</v>
      </c>
      <c r="AH114" s="435">
        <f t="shared" si="35"/>
        <v>0</v>
      </c>
      <c r="AI114" s="435">
        <f t="shared" si="35"/>
        <v>0</v>
      </c>
      <c r="AJ114" s="435">
        <f t="shared" si="35"/>
        <v>0</v>
      </c>
      <c r="AK114" s="435">
        <f t="shared" si="35"/>
        <v>0</v>
      </c>
      <c r="AL114" s="435">
        <f t="shared" si="35"/>
        <v>0</v>
      </c>
      <c r="AM114" s="435">
        <f t="shared" si="35"/>
        <v>0</v>
      </c>
      <c r="AN114" s="435">
        <f t="shared" si="35"/>
        <v>0</v>
      </c>
      <c r="AO114" s="435">
        <f t="shared" si="35"/>
        <v>0</v>
      </c>
      <c r="AP114" s="435">
        <f t="shared" si="35"/>
        <v>0</v>
      </c>
      <c r="AQ114" s="435">
        <f t="shared" si="35"/>
        <v>0</v>
      </c>
      <c r="AR114" s="435">
        <f t="shared" si="35"/>
        <v>0</v>
      </c>
      <c r="AS114" s="435">
        <f t="shared" si="35"/>
        <v>0</v>
      </c>
      <c r="AT114" s="435">
        <f t="shared" si="35"/>
        <v>0</v>
      </c>
      <c r="AU114" s="435">
        <f t="shared" si="35"/>
        <v>0</v>
      </c>
      <c r="AV114" s="435">
        <f t="shared" si="35"/>
        <v>0</v>
      </c>
      <c r="AW114" s="435">
        <f t="shared" si="35"/>
        <v>0</v>
      </c>
      <c r="AX114" s="435">
        <f t="shared" si="35"/>
        <v>0</v>
      </c>
      <c r="AY114" s="435">
        <f t="shared" si="35"/>
        <v>0</v>
      </c>
      <c r="AZ114" s="435">
        <f t="shared" si="35"/>
        <v>0</v>
      </c>
      <c r="BA114" s="435">
        <f t="shared" si="35"/>
        <v>0</v>
      </c>
      <c r="BB114" s="435">
        <f t="shared" si="35"/>
        <v>0</v>
      </c>
      <c r="BC114" s="435">
        <f t="shared" si="35"/>
        <v>0</v>
      </c>
      <c r="BD114" s="435">
        <f t="shared" si="35"/>
        <v>0</v>
      </c>
      <c r="BE114" s="435">
        <f t="shared" si="35"/>
        <v>0</v>
      </c>
      <c r="BF114" s="435">
        <f t="shared" si="35"/>
        <v>0</v>
      </c>
      <c r="BG114" s="435">
        <f t="shared" si="35"/>
        <v>0</v>
      </c>
      <c r="BH114" s="435">
        <f t="shared" si="35"/>
        <v>2525108749</v>
      </c>
      <c r="BI114" s="435">
        <f t="shared" si="35"/>
        <v>2514716632</v>
      </c>
      <c r="BJ114" s="435">
        <f t="shared" si="35"/>
        <v>0</v>
      </c>
      <c r="BK114" s="435">
        <f t="shared" si="35"/>
        <v>0</v>
      </c>
      <c r="BL114" s="435">
        <f t="shared" si="35"/>
        <v>0</v>
      </c>
      <c r="BM114" s="435">
        <f t="shared" si="35"/>
        <v>0</v>
      </c>
      <c r="BN114" s="435">
        <f t="shared" si="35"/>
        <v>0</v>
      </c>
      <c r="BO114" s="435">
        <f t="shared" si="35"/>
        <v>0</v>
      </c>
      <c r="BP114" s="435">
        <f t="shared" si="35"/>
        <v>0</v>
      </c>
      <c r="BQ114" s="435">
        <f t="shared" si="35"/>
        <v>0</v>
      </c>
      <c r="BR114" s="435">
        <f t="shared" si="35"/>
        <v>0</v>
      </c>
      <c r="BS114" s="435">
        <f t="shared" si="35"/>
        <v>0</v>
      </c>
      <c r="BT114" s="435">
        <f t="shared" si="35"/>
        <v>0</v>
      </c>
      <c r="BU114" s="435">
        <f t="shared" si="35"/>
        <v>0</v>
      </c>
      <c r="BV114" s="435">
        <f t="shared" si="35"/>
        <v>0</v>
      </c>
      <c r="BW114" s="435">
        <f t="shared" si="35"/>
        <v>0</v>
      </c>
      <c r="BX114" s="435">
        <f t="shared" si="35"/>
        <v>0</v>
      </c>
      <c r="BY114" s="435">
        <f t="shared" si="35"/>
        <v>0</v>
      </c>
      <c r="BZ114" s="435">
        <f t="shared" si="35"/>
        <v>3836191253</v>
      </c>
      <c r="CA114" s="435">
        <f t="shared" si="35"/>
        <v>2734266603.6500001</v>
      </c>
      <c r="CB114" s="435">
        <f t="shared" si="35"/>
        <v>190568791.05000001</v>
      </c>
    </row>
    <row r="115" spans="1:80" ht="30" customHeight="1" x14ac:dyDescent="0.2">
      <c r="A115" s="55"/>
      <c r="B115" s="62"/>
      <c r="C115" s="97"/>
      <c r="D115" s="62"/>
      <c r="E115" s="63"/>
      <c r="F115" s="63"/>
      <c r="G115" s="62"/>
      <c r="H115" s="63"/>
      <c r="I115" s="62"/>
      <c r="J115" s="63"/>
      <c r="K115" s="63"/>
      <c r="L115" s="63"/>
      <c r="M115" s="63"/>
      <c r="N115" s="63"/>
      <c r="O115" s="63"/>
      <c r="P115" s="62"/>
      <c r="Q115" s="63"/>
      <c r="R115" s="416">
        <f t="shared" ref="R115:CB115" si="36">R114</f>
        <v>0</v>
      </c>
      <c r="S115" s="416">
        <f t="shared" si="36"/>
        <v>0</v>
      </c>
      <c r="T115" s="416">
        <f t="shared" si="36"/>
        <v>0</v>
      </c>
      <c r="U115" s="416">
        <f t="shared" si="36"/>
        <v>0</v>
      </c>
      <c r="V115" s="416">
        <f t="shared" si="36"/>
        <v>0</v>
      </c>
      <c r="W115" s="416">
        <f t="shared" si="36"/>
        <v>0</v>
      </c>
      <c r="X115" s="416">
        <f t="shared" si="36"/>
        <v>1311082504</v>
      </c>
      <c r="Y115" s="416">
        <f t="shared" si="36"/>
        <v>219549971.65000001</v>
      </c>
      <c r="Z115" s="416">
        <f t="shared" si="36"/>
        <v>190568791.05000001</v>
      </c>
      <c r="AA115" s="416">
        <f t="shared" si="36"/>
        <v>0</v>
      </c>
      <c r="AB115" s="416">
        <f t="shared" si="36"/>
        <v>0</v>
      </c>
      <c r="AC115" s="416">
        <f t="shared" si="36"/>
        <v>0</v>
      </c>
      <c r="AD115" s="416">
        <f t="shared" si="36"/>
        <v>0</v>
      </c>
      <c r="AE115" s="416">
        <f t="shared" si="36"/>
        <v>0</v>
      </c>
      <c r="AF115" s="416">
        <f t="shared" si="36"/>
        <v>0</v>
      </c>
      <c r="AG115" s="416">
        <f t="shared" si="36"/>
        <v>0</v>
      </c>
      <c r="AH115" s="416">
        <f t="shared" si="36"/>
        <v>0</v>
      </c>
      <c r="AI115" s="416">
        <f t="shared" si="36"/>
        <v>0</v>
      </c>
      <c r="AJ115" s="416">
        <f t="shared" si="36"/>
        <v>0</v>
      </c>
      <c r="AK115" s="416">
        <f t="shared" si="36"/>
        <v>0</v>
      </c>
      <c r="AL115" s="416">
        <f t="shared" si="36"/>
        <v>0</v>
      </c>
      <c r="AM115" s="416">
        <f t="shared" si="36"/>
        <v>0</v>
      </c>
      <c r="AN115" s="416">
        <f t="shared" si="36"/>
        <v>0</v>
      </c>
      <c r="AO115" s="416">
        <f t="shared" si="36"/>
        <v>0</v>
      </c>
      <c r="AP115" s="416">
        <f t="shared" si="36"/>
        <v>0</v>
      </c>
      <c r="AQ115" s="416">
        <f t="shared" si="36"/>
        <v>0</v>
      </c>
      <c r="AR115" s="416">
        <f t="shared" si="36"/>
        <v>0</v>
      </c>
      <c r="AS115" s="416">
        <f t="shared" si="36"/>
        <v>0</v>
      </c>
      <c r="AT115" s="416">
        <f t="shared" si="36"/>
        <v>0</v>
      </c>
      <c r="AU115" s="416">
        <f t="shared" si="36"/>
        <v>0</v>
      </c>
      <c r="AV115" s="416">
        <f t="shared" si="36"/>
        <v>0</v>
      </c>
      <c r="AW115" s="416">
        <f t="shared" si="36"/>
        <v>0</v>
      </c>
      <c r="AX115" s="416">
        <f t="shared" si="36"/>
        <v>0</v>
      </c>
      <c r="AY115" s="416">
        <f t="shared" si="36"/>
        <v>0</v>
      </c>
      <c r="AZ115" s="416">
        <f t="shared" si="36"/>
        <v>0</v>
      </c>
      <c r="BA115" s="416">
        <f t="shared" si="36"/>
        <v>0</v>
      </c>
      <c r="BB115" s="416">
        <f t="shared" si="36"/>
        <v>0</v>
      </c>
      <c r="BC115" s="416">
        <f t="shared" si="36"/>
        <v>0</v>
      </c>
      <c r="BD115" s="416">
        <f t="shared" si="36"/>
        <v>0</v>
      </c>
      <c r="BE115" s="416">
        <f t="shared" si="36"/>
        <v>0</v>
      </c>
      <c r="BF115" s="416">
        <f t="shared" si="36"/>
        <v>0</v>
      </c>
      <c r="BG115" s="416">
        <f t="shared" si="36"/>
        <v>0</v>
      </c>
      <c r="BH115" s="416">
        <f t="shared" si="36"/>
        <v>2525108749</v>
      </c>
      <c r="BI115" s="416">
        <f t="shared" si="36"/>
        <v>2514716632</v>
      </c>
      <c r="BJ115" s="416">
        <f t="shared" si="36"/>
        <v>0</v>
      </c>
      <c r="BK115" s="416">
        <f t="shared" si="36"/>
        <v>0</v>
      </c>
      <c r="BL115" s="416">
        <f t="shared" si="36"/>
        <v>0</v>
      </c>
      <c r="BM115" s="416">
        <f t="shared" si="36"/>
        <v>0</v>
      </c>
      <c r="BN115" s="416">
        <f t="shared" si="36"/>
        <v>0</v>
      </c>
      <c r="BO115" s="416">
        <f t="shared" si="36"/>
        <v>0</v>
      </c>
      <c r="BP115" s="416">
        <f t="shared" si="36"/>
        <v>0</v>
      </c>
      <c r="BQ115" s="416">
        <f t="shared" si="36"/>
        <v>0</v>
      </c>
      <c r="BR115" s="416">
        <f t="shared" si="36"/>
        <v>0</v>
      </c>
      <c r="BS115" s="416">
        <f t="shared" si="36"/>
        <v>0</v>
      </c>
      <c r="BT115" s="416">
        <f t="shared" si="36"/>
        <v>0</v>
      </c>
      <c r="BU115" s="416">
        <f t="shared" si="36"/>
        <v>0</v>
      </c>
      <c r="BV115" s="416">
        <f t="shared" si="36"/>
        <v>0</v>
      </c>
      <c r="BW115" s="416">
        <f t="shared" si="36"/>
        <v>0</v>
      </c>
      <c r="BX115" s="416">
        <f t="shared" si="36"/>
        <v>0</v>
      </c>
      <c r="BY115" s="416">
        <f t="shared" si="36"/>
        <v>0</v>
      </c>
      <c r="BZ115" s="416">
        <f t="shared" si="36"/>
        <v>3836191253</v>
      </c>
      <c r="CA115" s="416">
        <f t="shared" si="36"/>
        <v>2734266603.6500001</v>
      </c>
      <c r="CB115" s="416">
        <f t="shared" si="36"/>
        <v>190568791.05000001</v>
      </c>
    </row>
    <row r="116" spans="1:80" ht="30" customHeight="1" x14ac:dyDescent="0.2">
      <c r="A116" s="65"/>
      <c r="B116" s="65"/>
      <c r="C116" s="65"/>
      <c r="D116" s="65"/>
      <c r="E116" s="65"/>
      <c r="F116" s="65"/>
      <c r="G116" s="65"/>
      <c r="H116" s="65"/>
      <c r="I116" s="65"/>
      <c r="J116" s="65"/>
      <c r="K116" s="65"/>
      <c r="L116" s="65"/>
      <c r="M116" s="65"/>
      <c r="N116" s="66"/>
      <c r="O116" s="66"/>
      <c r="P116" s="65"/>
      <c r="Q116" s="66"/>
      <c r="R116" s="422">
        <f t="shared" ref="R116:CB116" si="37">+R115</f>
        <v>0</v>
      </c>
      <c r="S116" s="422">
        <f t="shared" si="37"/>
        <v>0</v>
      </c>
      <c r="T116" s="422">
        <f t="shared" si="37"/>
        <v>0</v>
      </c>
      <c r="U116" s="422">
        <f t="shared" si="37"/>
        <v>0</v>
      </c>
      <c r="V116" s="422">
        <f t="shared" si="37"/>
        <v>0</v>
      </c>
      <c r="W116" s="422">
        <f t="shared" si="37"/>
        <v>0</v>
      </c>
      <c r="X116" s="422">
        <f t="shared" si="37"/>
        <v>1311082504</v>
      </c>
      <c r="Y116" s="422">
        <f t="shared" si="37"/>
        <v>219549971.65000001</v>
      </c>
      <c r="Z116" s="422">
        <f t="shared" si="37"/>
        <v>190568791.05000001</v>
      </c>
      <c r="AA116" s="422">
        <f t="shared" si="37"/>
        <v>0</v>
      </c>
      <c r="AB116" s="422">
        <f t="shared" si="37"/>
        <v>0</v>
      </c>
      <c r="AC116" s="422">
        <f t="shared" si="37"/>
        <v>0</v>
      </c>
      <c r="AD116" s="422">
        <f t="shared" si="37"/>
        <v>0</v>
      </c>
      <c r="AE116" s="422">
        <f t="shared" si="37"/>
        <v>0</v>
      </c>
      <c r="AF116" s="422">
        <f t="shared" si="37"/>
        <v>0</v>
      </c>
      <c r="AG116" s="422">
        <f t="shared" si="37"/>
        <v>0</v>
      </c>
      <c r="AH116" s="422">
        <f t="shared" si="37"/>
        <v>0</v>
      </c>
      <c r="AI116" s="422">
        <f t="shared" si="37"/>
        <v>0</v>
      </c>
      <c r="AJ116" s="422">
        <f t="shared" si="37"/>
        <v>0</v>
      </c>
      <c r="AK116" s="422">
        <f t="shared" si="37"/>
        <v>0</v>
      </c>
      <c r="AL116" s="422">
        <f t="shared" si="37"/>
        <v>0</v>
      </c>
      <c r="AM116" s="422">
        <f t="shared" si="37"/>
        <v>0</v>
      </c>
      <c r="AN116" s="422">
        <f t="shared" si="37"/>
        <v>0</v>
      </c>
      <c r="AO116" s="422">
        <f t="shared" si="37"/>
        <v>0</v>
      </c>
      <c r="AP116" s="422">
        <f t="shared" si="37"/>
        <v>0</v>
      </c>
      <c r="AQ116" s="422">
        <f t="shared" si="37"/>
        <v>0</v>
      </c>
      <c r="AR116" s="422">
        <f t="shared" si="37"/>
        <v>0</v>
      </c>
      <c r="AS116" s="422">
        <f t="shared" si="37"/>
        <v>0</v>
      </c>
      <c r="AT116" s="422">
        <f t="shared" si="37"/>
        <v>0</v>
      </c>
      <c r="AU116" s="422">
        <f t="shared" si="37"/>
        <v>0</v>
      </c>
      <c r="AV116" s="422">
        <f t="shared" si="37"/>
        <v>0</v>
      </c>
      <c r="AW116" s="422">
        <f t="shared" si="37"/>
        <v>0</v>
      </c>
      <c r="AX116" s="422">
        <f t="shared" si="37"/>
        <v>0</v>
      </c>
      <c r="AY116" s="422">
        <f t="shared" si="37"/>
        <v>0</v>
      </c>
      <c r="AZ116" s="422">
        <f t="shared" si="37"/>
        <v>0</v>
      </c>
      <c r="BA116" s="422">
        <f t="shared" si="37"/>
        <v>0</v>
      </c>
      <c r="BB116" s="422">
        <f t="shared" si="37"/>
        <v>0</v>
      </c>
      <c r="BC116" s="422">
        <f t="shared" si="37"/>
        <v>0</v>
      </c>
      <c r="BD116" s="422">
        <f t="shared" si="37"/>
        <v>0</v>
      </c>
      <c r="BE116" s="422">
        <f t="shared" si="37"/>
        <v>0</v>
      </c>
      <c r="BF116" s="422">
        <f t="shared" si="37"/>
        <v>0</v>
      </c>
      <c r="BG116" s="422">
        <f t="shared" si="37"/>
        <v>0</v>
      </c>
      <c r="BH116" s="422">
        <f t="shared" si="37"/>
        <v>2525108749</v>
      </c>
      <c r="BI116" s="422">
        <f t="shared" si="37"/>
        <v>2514716632</v>
      </c>
      <c r="BJ116" s="422">
        <f t="shared" si="37"/>
        <v>0</v>
      </c>
      <c r="BK116" s="422">
        <f t="shared" si="37"/>
        <v>0</v>
      </c>
      <c r="BL116" s="422">
        <f t="shared" si="37"/>
        <v>0</v>
      </c>
      <c r="BM116" s="422">
        <f t="shared" si="37"/>
        <v>0</v>
      </c>
      <c r="BN116" s="422">
        <f t="shared" si="37"/>
        <v>0</v>
      </c>
      <c r="BO116" s="422">
        <f t="shared" si="37"/>
        <v>0</v>
      </c>
      <c r="BP116" s="422">
        <f t="shared" si="37"/>
        <v>0</v>
      </c>
      <c r="BQ116" s="422">
        <f t="shared" si="37"/>
        <v>0</v>
      </c>
      <c r="BR116" s="422">
        <f t="shared" si="37"/>
        <v>0</v>
      </c>
      <c r="BS116" s="422">
        <f t="shared" si="37"/>
        <v>0</v>
      </c>
      <c r="BT116" s="422">
        <f t="shared" si="37"/>
        <v>0</v>
      </c>
      <c r="BU116" s="422">
        <f t="shared" si="37"/>
        <v>0</v>
      </c>
      <c r="BV116" s="422">
        <f t="shared" si="37"/>
        <v>0</v>
      </c>
      <c r="BW116" s="422">
        <f t="shared" si="37"/>
        <v>0</v>
      </c>
      <c r="BX116" s="422">
        <f t="shared" si="37"/>
        <v>0</v>
      </c>
      <c r="BY116" s="422">
        <f t="shared" si="37"/>
        <v>0</v>
      </c>
      <c r="BZ116" s="422">
        <f t="shared" si="37"/>
        <v>3836191253</v>
      </c>
      <c r="CA116" s="422">
        <f t="shared" si="37"/>
        <v>2734266603.6500001</v>
      </c>
      <c r="CB116" s="422">
        <f t="shared" si="37"/>
        <v>190568791.05000001</v>
      </c>
    </row>
    <row r="117" spans="1:80" ht="30" customHeight="1" x14ac:dyDescent="0.2">
      <c r="A117" s="207"/>
      <c r="B117" s="72"/>
      <c r="C117" s="150"/>
      <c r="D117" s="72"/>
      <c r="E117" s="150"/>
      <c r="F117" s="150"/>
      <c r="G117" s="72"/>
      <c r="H117" s="150"/>
      <c r="I117" s="72"/>
      <c r="J117" s="150"/>
      <c r="K117" s="150"/>
      <c r="L117" s="150"/>
      <c r="M117" s="150"/>
      <c r="N117" s="150"/>
      <c r="O117" s="150"/>
      <c r="P117" s="72"/>
      <c r="Q117" s="150"/>
      <c r="R117" s="405"/>
      <c r="S117" s="405"/>
      <c r="T117" s="405"/>
      <c r="U117" s="405"/>
      <c r="V117" s="405"/>
      <c r="W117" s="405"/>
      <c r="X117" s="405"/>
      <c r="Y117" s="405"/>
      <c r="Z117" s="405"/>
      <c r="AA117" s="405"/>
      <c r="AB117" s="405"/>
      <c r="AC117" s="405"/>
      <c r="AD117" s="405"/>
      <c r="AE117" s="405"/>
      <c r="AF117" s="405"/>
      <c r="AG117" s="405"/>
      <c r="AH117" s="405"/>
      <c r="AI117" s="405"/>
      <c r="AJ117" s="405"/>
      <c r="AK117" s="405"/>
      <c r="AL117" s="405"/>
      <c r="AM117" s="405"/>
      <c r="AN117" s="405"/>
      <c r="AO117" s="405"/>
      <c r="AP117" s="405"/>
      <c r="AQ117" s="405"/>
      <c r="AR117" s="405"/>
      <c r="AS117" s="405"/>
      <c r="AT117" s="405"/>
      <c r="AU117" s="405"/>
      <c r="AV117" s="405"/>
      <c r="AW117" s="405"/>
      <c r="AX117" s="405"/>
      <c r="AY117" s="405"/>
      <c r="AZ117" s="405"/>
      <c r="BA117" s="405"/>
      <c r="BB117" s="405"/>
      <c r="BC117" s="405"/>
      <c r="BD117" s="405"/>
      <c r="BE117" s="405"/>
      <c r="BF117" s="405"/>
      <c r="BG117" s="405"/>
      <c r="BH117" s="405"/>
      <c r="BI117" s="405"/>
      <c r="BJ117" s="405"/>
      <c r="BK117" s="405"/>
      <c r="BL117" s="405"/>
      <c r="BM117" s="405"/>
      <c r="BN117" s="405"/>
      <c r="BO117" s="405"/>
      <c r="BP117" s="405"/>
      <c r="BQ117" s="405"/>
      <c r="BR117" s="405"/>
      <c r="BS117" s="405"/>
      <c r="BT117" s="405"/>
      <c r="BU117" s="405"/>
      <c r="BV117" s="405"/>
      <c r="BW117" s="405"/>
      <c r="BX117" s="405"/>
      <c r="BY117" s="405"/>
      <c r="BZ117" s="405"/>
      <c r="CA117" s="405"/>
      <c r="CB117" s="409"/>
    </row>
    <row r="118" spans="1:80" ht="30" customHeight="1" x14ac:dyDescent="0.2">
      <c r="A118" s="787">
        <v>4</v>
      </c>
      <c r="B118" s="34" t="s">
        <v>183</v>
      </c>
      <c r="C118" s="35"/>
      <c r="D118" s="34"/>
      <c r="E118" s="34"/>
      <c r="F118" s="34"/>
      <c r="G118" s="34"/>
      <c r="H118" s="34"/>
      <c r="I118" s="34"/>
      <c r="J118" s="34"/>
      <c r="K118" s="34"/>
      <c r="L118" s="34"/>
      <c r="M118" s="34"/>
      <c r="N118" s="35"/>
      <c r="O118" s="35"/>
      <c r="P118" s="34"/>
      <c r="Q118" s="34"/>
      <c r="R118" s="432"/>
      <c r="S118" s="432"/>
      <c r="T118" s="432"/>
      <c r="U118" s="432"/>
      <c r="V118" s="432"/>
      <c r="W118" s="432"/>
      <c r="X118" s="432"/>
      <c r="Y118" s="432"/>
      <c r="Z118" s="432"/>
      <c r="AA118" s="432"/>
      <c r="AB118" s="432"/>
      <c r="AC118" s="432"/>
      <c r="AD118" s="432"/>
      <c r="AE118" s="432"/>
      <c r="AF118" s="432"/>
      <c r="AG118" s="432"/>
      <c r="AH118" s="432"/>
      <c r="AI118" s="432"/>
      <c r="AJ118" s="432"/>
      <c r="AK118" s="432"/>
      <c r="AL118" s="432"/>
      <c r="AM118" s="432"/>
      <c r="AN118" s="432"/>
      <c r="AO118" s="432"/>
      <c r="AP118" s="432"/>
      <c r="AQ118" s="432"/>
      <c r="AR118" s="432"/>
      <c r="AS118" s="432"/>
      <c r="AT118" s="432"/>
      <c r="AU118" s="432"/>
      <c r="AV118" s="432"/>
      <c r="AW118" s="432"/>
      <c r="AX118" s="432"/>
      <c r="AY118" s="432"/>
      <c r="AZ118" s="432"/>
      <c r="BA118" s="432"/>
      <c r="BB118" s="432"/>
      <c r="BC118" s="432"/>
      <c r="BD118" s="432"/>
      <c r="BE118" s="432"/>
      <c r="BF118" s="432"/>
      <c r="BG118" s="432"/>
      <c r="BH118" s="432"/>
      <c r="BI118" s="432"/>
      <c r="BJ118" s="432"/>
      <c r="BK118" s="432"/>
      <c r="BL118" s="432"/>
      <c r="BM118" s="432"/>
      <c r="BN118" s="432"/>
      <c r="BO118" s="432"/>
      <c r="BP118" s="432"/>
      <c r="BQ118" s="432"/>
      <c r="BR118" s="432"/>
      <c r="BS118" s="432"/>
      <c r="BT118" s="432"/>
      <c r="BU118" s="432"/>
      <c r="BV118" s="432"/>
      <c r="BW118" s="432"/>
      <c r="BX118" s="432"/>
      <c r="BY118" s="432"/>
      <c r="BZ118" s="432"/>
      <c r="CA118" s="432"/>
      <c r="CB118" s="434"/>
    </row>
    <row r="119" spans="1:80" ht="30" customHeight="1" x14ac:dyDescent="0.2">
      <c r="A119" s="76"/>
      <c r="B119" s="152">
        <v>23</v>
      </c>
      <c r="C119" s="38" t="s">
        <v>184</v>
      </c>
      <c r="D119" s="39"/>
      <c r="E119" s="39"/>
      <c r="F119" s="39"/>
      <c r="G119" s="39"/>
      <c r="H119" s="40"/>
      <c r="I119" s="39"/>
      <c r="J119" s="39"/>
      <c r="K119" s="39"/>
      <c r="L119" s="39"/>
      <c r="M119" s="39"/>
      <c r="N119" s="40"/>
      <c r="O119" s="87"/>
      <c r="P119" s="39"/>
      <c r="Q119" s="39"/>
      <c r="R119" s="412"/>
      <c r="S119" s="412"/>
      <c r="T119" s="412"/>
      <c r="U119" s="412"/>
      <c r="V119" s="412"/>
      <c r="W119" s="412"/>
      <c r="X119" s="412"/>
      <c r="Y119" s="412"/>
      <c r="Z119" s="412"/>
      <c r="AA119" s="412"/>
      <c r="AB119" s="412"/>
      <c r="AC119" s="412"/>
      <c r="AD119" s="412"/>
      <c r="AE119" s="412"/>
      <c r="AF119" s="412"/>
      <c r="AG119" s="412"/>
      <c r="AH119" s="412"/>
      <c r="AI119" s="412"/>
      <c r="AJ119" s="412"/>
      <c r="AK119" s="412"/>
      <c r="AL119" s="412"/>
      <c r="AM119" s="412"/>
      <c r="AN119" s="412"/>
      <c r="AO119" s="412"/>
      <c r="AP119" s="412"/>
      <c r="AQ119" s="412"/>
      <c r="AR119" s="412"/>
      <c r="AS119" s="412"/>
      <c r="AT119" s="412"/>
      <c r="AU119" s="412"/>
      <c r="AV119" s="412"/>
      <c r="AW119" s="412"/>
      <c r="AX119" s="412"/>
      <c r="AY119" s="412"/>
      <c r="AZ119" s="412"/>
      <c r="BA119" s="412"/>
      <c r="BB119" s="412"/>
      <c r="BC119" s="412"/>
      <c r="BD119" s="412"/>
      <c r="BE119" s="412"/>
      <c r="BF119" s="412"/>
      <c r="BG119" s="412"/>
      <c r="BH119" s="412"/>
      <c r="BI119" s="412"/>
      <c r="BJ119" s="412"/>
      <c r="BK119" s="412"/>
      <c r="BL119" s="412"/>
      <c r="BM119" s="412"/>
      <c r="BN119" s="412"/>
      <c r="BO119" s="412"/>
      <c r="BP119" s="412"/>
      <c r="BQ119" s="412"/>
      <c r="BR119" s="412"/>
      <c r="BS119" s="412"/>
      <c r="BT119" s="412"/>
      <c r="BU119" s="412"/>
      <c r="BV119" s="412"/>
      <c r="BW119" s="412"/>
      <c r="BX119" s="412"/>
      <c r="BY119" s="412"/>
      <c r="BZ119" s="412"/>
      <c r="CA119" s="412"/>
      <c r="CB119" s="417"/>
    </row>
    <row r="120" spans="1:80" ht="30" customHeight="1" x14ac:dyDescent="0.2">
      <c r="A120" s="42"/>
      <c r="B120" s="159"/>
      <c r="C120" s="533"/>
      <c r="D120" s="101"/>
      <c r="E120" s="400"/>
      <c r="F120" s="719"/>
      <c r="G120" s="160">
        <v>77</v>
      </c>
      <c r="H120" s="161" t="s">
        <v>185</v>
      </c>
      <c r="I120" s="162"/>
      <c r="J120" s="162"/>
      <c r="K120" s="162"/>
      <c r="L120" s="162"/>
      <c r="M120" s="163"/>
      <c r="N120" s="393"/>
      <c r="O120" s="392"/>
      <c r="P120" s="162"/>
      <c r="Q120" s="80"/>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7"/>
      <c r="AY120" s="267"/>
      <c r="AZ120" s="267"/>
      <c r="BA120" s="267"/>
      <c r="BB120" s="267"/>
      <c r="BC120" s="267"/>
      <c r="BD120" s="267"/>
      <c r="BE120" s="267"/>
      <c r="BF120" s="267"/>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9"/>
    </row>
    <row r="121" spans="1:80" ht="101.25" customHeight="1" x14ac:dyDescent="0.2">
      <c r="A121" s="55"/>
      <c r="B121" s="164"/>
      <c r="C121" s="202"/>
      <c r="D121" s="61"/>
      <c r="E121" s="61"/>
      <c r="F121" s="114"/>
      <c r="G121" s="165"/>
      <c r="H121" s="57">
        <v>223</v>
      </c>
      <c r="I121" s="729" t="s">
        <v>186</v>
      </c>
      <c r="J121" s="44" t="s">
        <v>43</v>
      </c>
      <c r="K121" s="44">
        <v>1</v>
      </c>
      <c r="L121" s="44">
        <v>0</v>
      </c>
      <c r="M121" s="44">
        <v>1</v>
      </c>
      <c r="N121" s="44" t="s">
        <v>134</v>
      </c>
      <c r="O121" s="45" t="s">
        <v>187</v>
      </c>
      <c r="P121" s="89" t="s">
        <v>188</v>
      </c>
      <c r="Q121" s="57" t="s">
        <v>52</v>
      </c>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1"/>
      <c r="AY121" s="401"/>
      <c r="AZ121" s="401"/>
      <c r="BA121" s="401"/>
      <c r="BB121" s="401"/>
      <c r="BC121" s="401"/>
      <c r="BD121" s="401"/>
      <c r="BE121" s="401"/>
      <c r="BF121" s="401"/>
      <c r="BG121" s="401"/>
      <c r="BH121" s="401"/>
      <c r="BI121" s="401"/>
      <c r="BJ121" s="401"/>
      <c r="BK121" s="401"/>
      <c r="BL121" s="401"/>
      <c r="BM121" s="401"/>
      <c r="BN121" s="401"/>
      <c r="BO121" s="401"/>
      <c r="BP121" s="401"/>
      <c r="BQ121" s="401"/>
      <c r="BR121" s="401"/>
      <c r="BS121" s="401"/>
      <c r="BT121" s="401"/>
      <c r="BU121" s="401"/>
      <c r="BV121" s="401"/>
      <c r="BW121" s="401">
        <v>500000000</v>
      </c>
      <c r="BX121" s="401"/>
      <c r="BY121" s="401"/>
      <c r="BZ121" s="401">
        <f>R121+U121+X121+AA121+AD121+AG121+AJ121+AM121+AP121+AS121+AV121+AY121+BB121+BE121+BH121+BK121+BN121+BQ121+BT121+BW121</f>
        <v>500000000</v>
      </c>
      <c r="CA121" s="401">
        <f t="shared" ref="CA121:CB121" si="38">S121+V121+Y121+AB121+AE121+AH121+AK121+AN121+AQ121+AT121+AW121+AZ121+BC121+BF121+BI121+BL121+BO121+BR121+BU121+BX121</f>
        <v>0</v>
      </c>
      <c r="CB121" s="401">
        <f t="shared" si="38"/>
        <v>0</v>
      </c>
    </row>
    <row r="122" spans="1:80" ht="30" customHeight="1" x14ac:dyDescent="0.2">
      <c r="A122" s="156"/>
      <c r="B122" s="166"/>
      <c r="C122" s="166"/>
      <c r="D122" s="166"/>
      <c r="E122" s="166"/>
      <c r="F122" s="166"/>
      <c r="G122" s="156"/>
      <c r="H122" s="157"/>
      <c r="I122" s="157"/>
      <c r="J122" s="157"/>
      <c r="K122" s="157"/>
      <c r="L122" s="157"/>
      <c r="M122" s="157"/>
      <c r="N122" s="156"/>
      <c r="O122" s="156"/>
      <c r="P122" s="157"/>
      <c r="Q122" s="157"/>
      <c r="R122" s="436">
        <f t="shared" ref="R122:BY124" si="39">+R121</f>
        <v>0</v>
      </c>
      <c r="S122" s="436">
        <f t="shared" si="39"/>
        <v>0</v>
      </c>
      <c r="T122" s="436">
        <f t="shared" si="39"/>
        <v>0</v>
      </c>
      <c r="U122" s="436">
        <f t="shared" si="39"/>
        <v>0</v>
      </c>
      <c r="V122" s="436">
        <f t="shared" si="39"/>
        <v>0</v>
      </c>
      <c r="W122" s="436">
        <f t="shared" si="39"/>
        <v>0</v>
      </c>
      <c r="X122" s="436">
        <f t="shared" si="39"/>
        <v>0</v>
      </c>
      <c r="Y122" s="436">
        <f t="shared" si="39"/>
        <v>0</v>
      </c>
      <c r="Z122" s="436">
        <f t="shared" si="39"/>
        <v>0</v>
      </c>
      <c r="AA122" s="436">
        <f t="shared" si="39"/>
        <v>0</v>
      </c>
      <c r="AB122" s="436">
        <f t="shared" si="39"/>
        <v>0</v>
      </c>
      <c r="AC122" s="436">
        <f t="shared" si="39"/>
        <v>0</v>
      </c>
      <c r="AD122" s="436">
        <f t="shared" si="39"/>
        <v>0</v>
      </c>
      <c r="AE122" s="436">
        <f t="shared" si="39"/>
        <v>0</v>
      </c>
      <c r="AF122" s="436">
        <f t="shared" si="39"/>
        <v>0</v>
      </c>
      <c r="AG122" s="436">
        <f t="shared" si="39"/>
        <v>0</v>
      </c>
      <c r="AH122" s="436">
        <f t="shared" si="39"/>
        <v>0</v>
      </c>
      <c r="AI122" s="436">
        <f t="shared" si="39"/>
        <v>0</v>
      </c>
      <c r="AJ122" s="436">
        <f t="shared" si="39"/>
        <v>0</v>
      </c>
      <c r="AK122" s="436">
        <f t="shared" si="39"/>
        <v>0</v>
      </c>
      <c r="AL122" s="436">
        <f t="shared" si="39"/>
        <v>0</v>
      </c>
      <c r="AM122" s="436">
        <f t="shared" si="39"/>
        <v>0</v>
      </c>
      <c r="AN122" s="436">
        <f t="shared" si="39"/>
        <v>0</v>
      </c>
      <c r="AO122" s="436">
        <f t="shared" si="39"/>
        <v>0</v>
      </c>
      <c r="AP122" s="436">
        <f t="shared" si="39"/>
        <v>0</v>
      </c>
      <c r="AQ122" s="436">
        <f t="shared" si="39"/>
        <v>0</v>
      </c>
      <c r="AR122" s="436">
        <f t="shared" si="39"/>
        <v>0</v>
      </c>
      <c r="AS122" s="436">
        <f t="shared" si="39"/>
        <v>0</v>
      </c>
      <c r="AT122" s="436">
        <f t="shared" si="39"/>
        <v>0</v>
      </c>
      <c r="AU122" s="436">
        <f t="shared" si="39"/>
        <v>0</v>
      </c>
      <c r="AV122" s="436">
        <f t="shared" si="39"/>
        <v>0</v>
      </c>
      <c r="AW122" s="436">
        <f t="shared" si="39"/>
        <v>0</v>
      </c>
      <c r="AX122" s="436">
        <f t="shared" si="39"/>
        <v>0</v>
      </c>
      <c r="AY122" s="436">
        <f t="shared" si="39"/>
        <v>0</v>
      </c>
      <c r="AZ122" s="436">
        <f t="shared" si="39"/>
        <v>0</v>
      </c>
      <c r="BA122" s="436">
        <f t="shared" si="39"/>
        <v>0</v>
      </c>
      <c r="BB122" s="436">
        <f t="shared" si="39"/>
        <v>0</v>
      </c>
      <c r="BC122" s="436">
        <f t="shared" si="39"/>
        <v>0</v>
      </c>
      <c r="BD122" s="436">
        <f t="shared" si="39"/>
        <v>0</v>
      </c>
      <c r="BE122" s="436">
        <f t="shared" si="39"/>
        <v>0</v>
      </c>
      <c r="BF122" s="436">
        <f t="shared" si="39"/>
        <v>0</v>
      </c>
      <c r="BG122" s="436">
        <f t="shared" si="39"/>
        <v>0</v>
      </c>
      <c r="BH122" s="436">
        <f t="shared" si="39"/>
        <v>0</v>
      </c>
      <c r="BI122" s="436">
        <f t="shared" si="39"/>
        <v>0</v>
      </c>
      <c r="BJ122" s="436">
        <f t="shared" si="39"/>
        <v>0</v>
      </c>
      <c r="BK122" s="436">
        <f t="shared" si="39"/>
        <v>0</v>
      </c>
      <c r="BL122" s="436">
        <f t="shared" si="39"/>
        <v>0</v>
      </c>
      <c r="BM122" s="436">
        <f t="shared" si="39"/>
        <v>0</v>
      </c>
      <c r="BN122" s="436">
        <f t="shared" si="39"/>
        <v>0</v>
      </c>
      <c r="BO122" s="436">
        <f t="shared" si="39"/>
        <v>0</v>
      </c>
      <c r="BP122" s="436">
        <f t="shared" si="39"/>
        <v>0</v>
      </c>
      <c r="BQ122" s="436">
        <f t="shared" si="39"/>
        <v>0</v>
      </c>
      <c r="BR122" s="436">
        <f t="shared" si="39"/>
        <v>0</v>
      </c>
      <c r="BS122" s="436">
        <f t="shared" si="39"/>
        <v>0</v>
      </c>
      <c r="BT122" s="436">
        <f t="shared" si="39"/>
        <v>0</v>
      </c>
      <c r="BU122" s="436">
        <f t="shared" si="39"/>
        <v>0</v>
      </c>
      <c r="BV122" s="436">
        <f t="shared" si="39"/>
        <v>0</v>
      </c>
      <c r="BW122" s="436">
        <f t="shared" si="39"/>
        <v>500000000</v>
      </c>
      <c r="BX122" s="436">
        <f t="shared" si="39"/>
        <v>0</v>
      </c>
      <c r="BY122" s="436">
        <f t="shared" si="39"/>
        <v>0</v>
      </c>
      <c r="BZ122" s="436">
        <f>+BZ121</f>
        <v>500000000</v>
      </c>
      <c r="CA122" s="436">
        <f t="shared" ref="CA122:CB124" si="40">+CA121</f>
        <v>0</v>
      </c>
      <c r="CB122" s="436">
        <f t="shared" si="40"/>
        <v>0</v>
      </c>
    </row>
    <row r="123" spans="1:80" ht="30" customHeight="1" x14ac:dyDescent="0.2">
      <c r="A123" s="62"/>
      <c r="B123" s="62"/>
      <c r="C123" s="62"/>
      <c r="D123" s="62"/>
      <c r="E123" s="62"/>
      <c r="F123" s="62"/>
      <c r="G123" s="62"/>
      <c r="H123" s="62"/>
      <c r="I123" s="62"/>
      <c r="J123" s="62"/>
      <c r="K123" s="62"/>
      <c r="L123" s="62"/>
      <c r="M123" s="62"/>
      <c r="N123" s="63"/>
      <c r="O123" s="63"/>
      <c r="P123" s="62"/>
      <c r="Q123" s="62"/>
      <c r="R123" s="437">
        <f t="shared" si="39"/>
        <v>0</v>
      </c>
      <c r="S123" s="437">
        <f t="shared" si="39"/>
        <v>0</v>
      </c>
      <c r="T123" s="437">
        <f t="shared" si="39"/>
        <v>0</v>
      </c>
      <c r="U123" s="437">
        <f t="shared" si="39"/>
        <v>0</v>
      </c>
      <c r="V123" s="437">
        <f t="shared" si="39"/>
        <v>0</v>
      </c>
      <c r="W123" s="437">
        <f t="shared" si="39"/>
        <v>0</v>
      </c>
      <c r="X123" s="437">
        <f t="shared" si="39"/>
        <v>0</v>
      </c>
      <c r="Y123" s="437">
        <f t="shared" si="39"/>
        <v>0</v>
      </c>
      <c r="Z123" s="437">
        <f t="shared" si="39"/>
        <v>0</v>
      </c>
      <c r="AA123" s="437">
        <f t="shared" si="39"/>
        <v>0</v>
      </c>
      <c r="AB123" s="437">
        <f t="shared" si="39"/>
        <v>0</v>
      </c>
      <c r="AC123" s="437">
        <f t="shared" si="39"/>
        <v>0</v>
      </c>
      <c r="AD123" s="437">
        <f t="shared" si="39"/>
        <v>0</v>
      </c>
      <c r="AE123" s="437">
        <f t="shared" si="39"/>
        <v>0</v>
      </c>
      <c r="AF123" s="437">
        <f t="shared" si="39"/>
        <v>0</v>
      </c>
      <c r="AG123" s="437">
        <f t="shared" si="39"/>
        <v>0</v>
      </c>
      <c r="AH123" s="437">
        <f t="shared" si="39"/>
        <v>0</v>
      </c>
      <c r="AI123" s="437">
        <f t="shared" si="39"/>
        <v>0</v>
      </c>
      <c r="AJ123" s="437">
        <f t="shared" si="39"/>
        <v>0</v>
      </c>
      <c r="AK123" s="437">
        <f t="shared" si="39"/>
        <v>0</v>
      </c>
      <c r="AL123" s="437">
        <f t="shared" si="39"/>
        <v>0</v>
      </c>
      <c r="AM123" s="437">
        <f t="shared" si="39"/>
        <v>0</v>
      </c>
      <c r="AN123" s="437">
        <f t="shared" si="39"/>
        <v>0</v>
      </c>
      <c r="AO123" s="437">
        <f t="shared" si="39"/>
        <v>0</v>
      </c>
      <c r="AP123" s="437">
        <f t="shared" si="39"/>
        <v>0</v>
      </c>
      <c r="AQ123" s="437">
        <f t="shared" si="39"/>
        <v>0</v>
      </c>
      <c r="AR123" s="437">
        <f t="shared" si="39"/>
        <v>0</v>
      </c>
      <c r="AS123" s="437">
        <f t="shared" si="39"/>
        <v>0</v>
      </c>
      <c r="AT123" s="437">
        <f t="shared" si="39"/>
        <v>0</v>
      </c>
      <c r="AU123" s="437">
        <f t="shared" si="39"/>
        <v>0</v>
      </c>
      <c r="AV123" s="437">
        <f t="shared" si="39"/>
        <v>0</v>
      </c>
      <c r="AW123" s="437">
        <f t="shared" si="39"/>
        <v>0</v>
      </c>
      <c r="AX123" s="437">
        <f t="shared" si="39"/>
        <v>0</v>
      </c>
      <c r="AY123" s="437">
        <f t="shared" si="39"/>
        <v>0</v>
      </c>
      <c r="AZ123" s="437">
        <f t="shared" si="39"/>
        <v>0</v>
      </c>
      <c r="BA123" s="437">
        <f t="shared" si="39"/>
        <v>0</v>
      </c>
      <c r="BB123" s="437">
        <f t="shared" si="39"/>
        <v>0</v>
      </c>
      <c r="BC123" s="437">
        <f t="shared" si="39"/>
        <v>0</v>
      </c>
      <c r="BD123" s="437">
        <f t="shared" si="39"/>
        <v>0</v>
      </c>
      <c r="BE123" s="437">
        <f t="shared" si="39"/>
        <v>0</v>
      </c>
      <c r="BF123" s="437">
        <f t="shared" si="39"/>
        <v>0</v>
      </c>
      <c r="BG123" s="437">
        <f t="shared" si="39"/>
        <v>0</v>
      </c>
      <c r="BH123" s="437">
        <f t="shared" si="39"/>
        <v>0</v>
      </c>
      <c r="BI123" s="437">
        <f t="shared" si="39"/>
        <v>0</v>
      </c>
      <c r="BJ123" s="437">
        <f t="shared" si="39"/>
        <v>0</v>
      </c>
      <c r="BK123" s="437">
        <f t="shared" si="39"/>
        <v>0</v>
      </c>
      <c r="BL123" s="437">
        <f t="shared" si="39"/>
        <v>0</v>
      </c>
      <c r="BM123" s="437">
        <f t="shared" si="39"/>
        <v>0</v>
      </c>
      <c r="BN123" s="437">
        <f t="shared" si="39"/>
        <v>0</v>
      </c>
      <c r="BO123" s="437">
        <f t="shared" si="39"/>
        <v>0</v>
      </c>
      <c r="BP123" s="437">
        <f t="shared" si="39"/>
        <v>0</v>
      </c>
      <c r="BQ123" s="437">
        <f t="shared" si="39"/>
        <v>0</v>
      </c>
      <c r="BR123" s="437">
        <f t="shared" si="39"/>
        <v>0</v>
      </c>
      <c r="BS123" s="437">
        <f t="shared" si="39"/>
        <v>0</v>
      </c>
      <c r="BT123" s="437">
        <f t="shared" si="39"/>
        <v>0</v>
      </c>
      <c r="BU123" s="437">
        <f t="shared" si="39"/>
        <v>0</v>
      </c>
      <c r="BV123" s="437">
        <f t="shared" si="39"/>
        <v>0</v>
      </c>
      <c r="BW123" s="437">
        <f t="shared" si="39"/>
        <v>500000000</v>
      </c>
      <c r="BX123" s="437">
        <f t="shared" si="39"/>
        <v>0</v>
      </c>
      <c r="BY123" s="437">
        <f t="shared" si="39"/>
        <v>0</v>
      </c>
      <c r="BZ123" s="437">
        <f>+BZ122</f>
        <v>500000000</v>
      </c>
      <c r="CA123" s="437">
        <f t="shared" si="40"/>
        <v>0</v>
      </c>
      <c r="CB123" s="437">
        <f t="shared" si="40"/>
        <v>0</v>
      </c>
    </row>
    <row r="124" spans="1:80" ht="30" customHeight="1" x14ac:dyDescent="0.2">
      <c r="A124" s="65"/>
      <c r="B124" s="65"/>
      <c r="C124" s="65"/>
      <c r="D124" s="65"/>
      <c r="E124" s="65"/>
      <c r="F124" s="65"/>
      <c r="G124" s="65"/>
      <c r="H124" s="65"/>
      <c r="I124" s="65"/>
      <c r="J124" s="65"/>
      <c r="K124" s="65"/>
      <c r="L124" s="65"/>
      <c r="M124" s="65"/>
      <c r="N124" s="66"/>
      <c r="O124" s="66"/>
      <c r="P124" s="65"/>
      <c r="Q124" s="66"/>
      <c r="R124" s="422">
        <f t="shared" si="39"/>
        <v>0</v>
      </c>
      <c r="S124" s="422">
        <f t="shared" si="39"/>
        <v>0</v>
      </c>
      <c r="T124" s="422">
        <f t="shared" si="39"/>
        <v>0</v>
      </c>
      <c r="U124" s="422">
        <f t="shared" si="39"/>
        <v>0</v>
      </c>
      <c r="V124" s="422">
        <f t="shared" si="39"/>
        <v>0</v>
      </c>
      <c r="W124" s="422">
        <f t="shared" si="39"/>
        <v>0</v>
      </c>
      <c r="X124" s="422">
        <f t="shared" si="39"/>
        <v>0</v>
      </c>
      <c r="Y124" s="422">
        <f t="shared" si="39"/>
        <v>0</v>
      </c>
      <c r="Z124" s="422">
        <f t="shared" si="39"/>
        <v>0</v>
      </c>
      <c r="AA124" s="422">
        <f t="shared" si="39"/>
        <v>0</v>
      </c>
      <c r="AB124" s="422">
        <f t="shared" si="39"/>
        <v>0</v>
      </c>
      <c r="AC124" s="422">
        <f t="shared" si="39"/>
        <v>0</v>
      </c>
      <c r="AD124" s="422">
        <f t="shared" si="39"/>
        <v>0</v>
      </c>
      <c r="AE124" s="422">
        <f t="shared" si="39"/>
        <v>0</v>
      </c>
      <c r="AF124" s="422">
        <f t="shared" si="39"/>
        <v>0</v>
      </c>
      <c r="AG124" s="422">
        <f t="shared" si="39"/>
        <v>0</v>
      </c>
      <c r="AH124" s="422">
        <f t="shared" si="39"/>
        <v>0</v>
      </c>
      <c r="AI124" s="422">
        <f t="shared" si="39"/>
        <v>0</v>
      </c>
      <c r="AJ124" s="422">
        <f t="shared" si="39"/>
        <v>0</v>
      </c>
      <c r="AK124" s="422">
        <f t="shared" si="39"/>
        <v>0</v>
      </c>
      <c r="AL124" s="422">
        <f t="shared" si="39"/>
        <v>0</v>
      </c>
      <c r="AM124" s="422">
        <f t="shared" si="39"/>
        <v>0</v>
      </c>
      <c r="AN124" s="422">
        <f t="shared" si="39"/>
        <v>0</v>
      </c>
      <c r="AO124" s="422">
        <f t="shared" si="39"/>
        <v>0</v>
      </c>
      <c r="AP124" s="422">
        <f t="shared" si="39"/>
        <v>0</v>
      </c>
      <c r="AQ124" s="422">
        <f t="shared" si="39"/>
        <v>0</v>
      </c>
      <c r="AR124" s="422">
        <f t="shared" si="39"/>
        <v>0</v>
      </c>
      <c r="AS124" s="422">
        <f t="shared" si="39"/>
        <v>0</v>
      </c>
      <c r="AT124" s="422">
        <f t="shared" si="39"/>
        <v>0</v>
      </c>
      <c r="AU124" s="422">
        <f t="shared" si="39"/>
        <v>0</v>
      </c>
      <c r="AV124" s="422">
        <f t="shared" si="39"/>
        <v>0</v>
      </c>
      <c r="AW124" s="422">
        <f t="shared" si="39"/>
        <v>0</v>
      </c>
      <c r="AX124" s="422">
        <f t="shared" si="39"/>
        <v>0</v>
      </c>
      <c r="AY124" s="422">
        <f t="shared" si="39"/>
        <v>0</v>
      </c>
      <c r="AZ124" s="422">
        <f t="shared" si="39"/>
        <v>0</v>
      </c>
      <c r="BA124" s="422">
        <f t="shared" si="39"/>
        <v>0</v>
      </c>
      <c r="BB124" s="422">
        <f t="shared" si="39"/>
        <v>0</v>
      </c>
      <c r="BC124" s="422">
        <f t="shared" si="39"/>
        <v>0</v>
      </c>
      <c r="BD124" s="422">
        <f t="shared" si="39"/>
        <v>0</v>
      </c>
      <c r="BE124" s="422">
        <f t="shared" si="39"/>
        <v>0</v>
      </c>
      <c r="BF124" s="422">
        <f t="shared" si="39"/>
        <v>0</v>
      </c>
      <c r="BG124" s="422">
        <f t="shared" si="39"/>
        <v>0</v>
      </c>
      <c r="BH124" s="422">
        <f t="shared" si="39"/>
        <v>0</v>
      </c>
      <c r="BI124" s="422">
        <f t="shared" si="39"/>
        <v>0</v>
      </c>
      <c r="BJ124" s="422">
        <f t="shared" si="39"/>
        <v>0</v>
      </c>
      <c r="BK124" s="422">
        <f t="shared" si="39"/>
        <v>0</v>
      </c>
      <c r="BL124" s="422">
        <f t="shared" si="39"/>
        <v>0</v>
      </c>
      <c r="BM124" s="422">
        <f t="shared" si="39"/>
        <v>0</v>
      </c>
      <c r="BN124" s="422">
        <f t="shared" si="39"/>
        <v>0</v>
      </c>
      <c r="BO124" s="422">
        <f t="shared" si="39"/>
        <v>0</v>
      </c>
      <c r="BP124" s="422">
        <f t="shared" si="39"/>
        <v>0</v>
      </c>
      <c r="BQ124" s="422">
        <f t="shared" si="39"/>
        <v>0</v>
      </c>
      <c r="BR124" s="422">
        <f t="shared" si="39"/>
        <v>0</v>
      </c>
      <c r="BS124" s="422">
        <f t="shared" si="39"/>
        <v>0</v>
      </c>
      <c r="BT124" s="422">
        <f t="shared" si="39"/>
        <v>0</v>
      </c>
      <c r="BU124" s="422">
        <f t="shared" si="39"/>
        <v>0</v>
      </c>
      <c r="BV124" s="422">
        <f t="shared" si="39"/>
        <v>0</v>
      </c>
      <c r="BW124" s="422">
        <f t="shared" si="39"/>
        <v>500000000</v>
      </c>
      <c r="BX124" s="422">
        <f t="shared" si="39"/>
        <v>0</v>
      </c>
      <c r="BY124" s="422">
        <f t="shared" si="39"/>
        <v>0</v>
      </c>
      <c r="BZ124" s="422">
        <f>+BZ123</f>
        <v>500000000</v>
      </c>
      <c r="CA124" s="422">
        <f t="shared" si="40"/>
        <v>0</v>
      </c>
      <c r="CB124" s="422">
        <f t="shared" si="40"/>
        <v>0</v>
      </c>
    </row>
    <row r="125" spans="1:80" ht="30" customHeight="1" x14ac:dyDescent="0.2">
      <c r="A125" s="68"/>
      <c r="B125" s="68"/>
      <c r="C125" s="68"/>
      <c r="D125" s="68"/>
      <c r="E125" s="68"/>
      <c r="F125" s="68"/>
      <c r="G125" s="68"/>
      <c r="H125" s="68"/>
      <c r="I125" s="68"/>
      <c r="J125" s="68"/>
      <c r="K125" s="167"/>
      <c r="L125" s="167"/>
      <c r="M125" s="68"/>
      <c r="N125" s="69"/>
      <c r="O125" s="69"/>
      <c r="P125" s="68"/>
      <c r="Q125" s="69"/>
      <c r="R125" s="423">
        <f t="shared" ref="R125:BY125" si="41">+R124+R116+R103</f>
        <v>0</v>
      </c>
      <c r="S125" s="423">
        <f t="shared" si="41"/>
        <v>0</v>
      </c>
      <c r="T125" s="423">
        <f t="shared" si="41"/>
        <v>0</v>
      </c>
      <c r="U125" s="423">
        <f t="shared" si="41"/>
        <v>0</v>
      </c>
      <c r="V125" s="423">
        <f t="shared" si="41"/>
        <v>0</v>
      </c>
      <c r="W125" s="423">
        <f t="shared" si="41"/>
        <v>0</v>
      </c>
      <c r="X125" s="423">
        <f t="shared" si="41"/>
        <v>10961840365</v>
      </c>
      <c r="Y125" s="423">
        <f t="shared" si="41"/>
        <v>6294669575.9099998</v>
      </c>
      <c r="Z125" s="423">
        <f t="shared" si="41"/>
        <v>3905637008.5100002</v>
      </c>
      <c r="AA125" s="423">
        <f t="shared" si="41"/>
        <v>0</v>
      </c>
      <c r="AB125" s="423">
        <f t="shared" si="41"/>
        <v>0</v>
      </c>
      <c r="AC125" s="423">
        <f t="shared" si="41"/>
        <v>0</v>
      </c>
      <c r="AD125" s="423">
        <f t="shared" si="41"/>
        <v>0</v>
      </c>
      <c r="AE125" s="423">
        <f t="shared" si="41"/>
        <v>0</v>
      </c>
      <c r="AF125" s="423">
        <f t="shared" si="41"/>
        <v>0</v>
      </c>
      <c r="AG125" s="423">
        <f t="shared" si="41"/>
        <v>893940463</v>
      </c>
      <c r="AH125" s="423">
        <f t="shared" si="41"/>
        <v>574338763</v>
      </c>
      <c r="AI125" s="423">
        <f t="shared" si="41"/>
        <v>492064457</v>
      </c>
      <c r="AJ125" s="423">
        <f t="shared" si="41"/>
        <v>0</v>
      </c>
      <c r="AK125" s="423">
        <f t="shared" si="41"/>
        <v>0</v>
      </c>
      <c r="AL125" s="423">
        <f t="shared" si="41"/>
        <v>0</v>
      </c>
      <c r="AM125" s="423">
        <f t="shared" si="41"/>
        <v>0</v>
      </c>
      <c r="AN125" s="423">
        <f t="shared" si="41"/>
        <v>0</v>
      </c>
      <c r="AO125" s="423">
        <f t="shared" si="41"/>
        <v>0</v>
      </c>
      <c r="AP125" s="423">
        <f t="shared" si="41"/>
        <v>0</v>
      </c>
      <c r="AQ125" s="423">
        <f t="shared" si="41"/>
        <v>0</v>
      </c>
      <c r="AR125" s="423">
        <f t="shared" si="41"/>
        <v>0</v>
      </c>
      <c r="AS125" s="423">
        <f t="shared" si="41"/>
        <v>0</v>
      </c>
      <c r="AT125" s="423">
        <f t="shared" si="41"/>
        <v>0</v>
      </c>
      <c r="AU125" s="423">
        <f t="shared" si="41"/>
        <v>0</v>
      </c>
      <c r="AV125" s="423">
        <f t="shared" si="41"/>
        <v>0</v>
      </c>
      <c r="AW125" s="423">
        <f t="shared" si="41"/>
        <v>0</v>
      </c>
      <c r="AX125" s="423">
        <f t="shared" si="41"/>
        <v>0</v>
      </c>
      <c r="AY125" s="423">
        <f t="shared" si="41"/>
        <v>0</v>
      </c>
      <c r="AZ125" s="423">
        <f t="shared" si="41"/>
        <v>0</v>
      </c>
      <c r="BA125" s="423">
        <f t="shared" si="41"/>
        <v>0</v>
      </c>
      <c r="BB125" s="423">
        <f t="shared" si="41"/>
        <v>0</v>
      </c>
      <c r="BC125" s="423">
        <f t="shared" si="41"/>
        <v>0</v>
      </c>
      <c r="BD125" s="423">
        <f t="shared" si="41"/>
        <v>0</v>
      </c>
      <c r="BE125" s="423">
        <f t="shared" si="41"/>
        <v>0</v>
      </c>
      <c r="BF125" s="423">
        <f t="shared" si="41"/>
        <v>0</v>
      </c>
      <c r="BG125" s="423">
        <f t="shared" si="41"/>
        <v>0</v>
      </c>
      <c r="BH125" s="423">
        <f t="shared" si="41"/>
        <v>2525108749</v>
      </c>
      <c r="BI125" s="423">
        <f t="shared" si="41"/>
        <v>2514716632</v>
      </c>
      <c r="BJ125" s="423">
        <f t="shared" si="41"/>
        <v>0</v>
      </c>
      <c r="BK125" s="423">
        <f t="shared" si="41"/>
        <v>1405839592</v>
      </c>
      <c r="BL125" s="423">
        <f t="shared" si="41"/>
        <v>922585328</v>
      </c>
      <c r="BM125" s="423">
        <f t="shared" si="41"/>
        <v>338732053.79000002</v>
      </c>
      <c r="BN125" s="423">
        <f t="shared" si="41"/>
        <v>0</v>
      </c>
      <c r="BO125" s="423">
        <f t="shared" si="41"/>
        <v>0</v>
      </c>
      <c r="BP125" s="423">
        <f t="shared" si="41"/>
        <v>0</v>
      </c>
      <c r="BQ125" s="423">
        <f t="shared" si="41"/>
        <v>0</v>
      </c>
      <c r="BR125" s="423">
        <f t="shared" si="41"/>
        <v>0</v>
      </c>
      <c r="BS125" s="423">
        <f t="shared" si="41"/>
        <v>0</v>
      </c>
      <c r="BT125" s="423">
        <f t="shared" si="41"/>
        <v>10629232919</v>
      </c>
      <c r="BU125" s="423">
        <f t="shared" si="41"/>
        <v>2671595934</v>
      </c>
      <c r="BV125" s="423">
        <f t="shared" si="41"/>
        <v>255625386</v>
      </c>
      <c r="BW125" s="423">
        <f t="shared" si="41"/>
        <v>1723780635</v>
      </c>
      <c r="BX125" s="423">
        <f t="shared" si="41"/>
        <v>0</v>
      </c>
      <c r="BY125" s="423">
        <f t="shared" si="41"/>
        <v>0</v>
      </c>
      <c r="BZ125" s="423">
        <f>+BZ124+BZ116+BZ103</f>
        <v>28139742723</v>
      </c>
      <c r="CA125" s="423">
        <f t="shared" ref="CA125:CB125" si="42">+CA124+CA116+CA103</f>
        <v>12977906232.91</v>
      </c>
      <c r="CB125" s="423">
        <f t="shared" si="42"/>
        <v>4992058905.3000002</v>
      </c>
    </row>
    <row r="126" spans="1:80" ht="30" customHeight="1" x14ac:dyDescent="0.2">
      <c r="A126" s="71"/>
      <c r="B126" s="72"/>
      <c r="C126" s="150"/>
      <c r="D126" s="101"/>
      <c r="E126" s="150"/>
      <c r="F126" s="150"/>
      <c r="G126" s="72"/>
      <c r="H126" s="150"/>
      <c r="I126" s="72"/>
      <c r="J126" s="150"/>
      <c r="K126" s="150"/>
      <c r="L126" s="150"/>
      <c r="M126" s="150"/>
      <c r="N126" s="150"/>
      <c r="O126" s="150"/>
      <c r="P126" s="72"/>
      <c r="Q126" s="150"/>
      <c r="R126" s="405"/>
      <c r="S126" s="405"/>
      <c r="T126" s="405"/>
      <c r="U126" s="406"/>
      <c r="V126" s="406"/>
      <c r="W126" s="406"/>
      <c r="X126" s="405"/>
      <c r="Y126" s="405"/>
      <c r="Z126" s="405"/>
      <c r="AA126" s="405"/>
      <c r="AB126" s="405"/>
      <c r="AC126" s="405"/>
      <c r="AD126" s="405"/>
      <c r="AE126" s="405"/>
      <c r="AF126" s="405"/>
      <c r="AG126" s="405"/>
      <c r="AH126" s="405"/>
      <c r="AI126" s="405"/>
      <c r="AJ126" s="405"/>
      <c r="AK126" s="405"/>
      <c r="AL126" s="405"/>
      <c r="AM126" s="405"/>
      <c r="AN126" s="405"/>
      <c r="AO126" s="405"/>
      <c r="AP126" s="405"/>
      <c r="AQ126" s="405"/>
      <c r="AR126" s="405"/>
      <c r="AS126" s="405"/>
      <c r="AT126" s="405"/>
      <c r="AU126" s="405"/>
      <c r="AV126" s="405"/>
      <c r="AW126" s="405"/>
      <c r="AX126" s="405"/>
      <c r="AY126" s="406"/>
      <c r="AZ126" s="406"/>
      <c r="BA126" s="406"/>
      <c r="BB126" s="406"/>
      <c r="BC126" s="406"/>
      <c r="BD126" s="406"/>
      <c r="BE126" s="405"/>
      <c r="BF126" s="405"/>
      <c r="BG126" s="405"/>
      <c r="BH126" s="405"/>
      <c r="BI126" s="405"/>
      <c r="BJ126" s="405"/>
      <c r="BK126" s="407"/>
      <c r="BL126" s="407"/>
      <c r="BM126" s="407"/>
      <c r="BN126" s="405"/>
      <c r="BO126" s="405"/>
      <c r="BP126" s="405"/>
      <c r="BQ126" s="405"/>
      <c r="BR126" s="405"/>
      <c r="BS126" s="405"/>
      <c r="BT126" s="405"/>
      <c r="BU126" s="405"/>
      <c r="BV126" s="405"/>
      <c r="BW126" s="406"/>
      <c r="BX126" s="406"/>
      <c r="BY126" s="406"/>
      <c r="BZ126" s="405"/>
      <c r="CA126" s="405"/>
      <c r="CB126" s="409"/>
    </row>
    <row r="127" spans="1:80" ht="30" customHeight="1" x14ac:dyDescent="0.2">
      <c r="A127" s="31" t="s">
        <v>189</v>
      </c>
      <c r="B127" s="32"/>
      <c r="C127" s="33"/>
      <c r="D127" s="121"/>
      <c r="E127" s="32"/>
      <c r="F127" s="32"/>
      <c r="G127" s="32"/>
      <c r="H127" s="33"/>
      <c r="I127" s="32"/>
      <c r="J127" s="32"/>
      <c r="K127" s="32"/>
      <c r="L127" s="32"/>
      <c r="M127" s="32"/>
      <c r="N127" s="33"/>
      <c r="O127" s="33"/>
      <c r="P127" s="32"/>
      <c r="Q127" s="33"/>
      <c r="R127" s="472"/>
      <c r="S127" s="472"/>
      <c r="T127" s="472"/>
      <c r="U127" s="472"/>
      <c r="V127" s="472"/>
      <c r="W127" s="472"/>
      <c r="X127" s="472"/>
      <c r="Y127" s="472"/>
      <c r="Z127" s="472"/>
      <c r="AA127" s="472"/>
      <c r="AB127" s="472"/>
      <c r="AC127" s="472"/>
      <c r="AD127" s="472"/>
      <c r="AE127" s="472"/>
      <c r="AF127" s="472"/>
      <c r="AG127" s="472"/>
      <c r="AH127" s="472"/>
      <c r="AI127" s="472"/>
      <c r="AJ127" s="472"/>
      <c r="AK127" s="472"/>
      <c r="AL127" s="472"/>
      <c r="AM127" s="472"/>
      <c r="AN127" s="472"/>
      <c r="AO127" s="472"/>
      <c r="AP127" s="472"/>
      <c r="AQ127" s="472"/>
      <c r="AR127" s="472"/>
      <c r="AS127" s="472"/>
      <c r="AT127" s="472"/>
      <c r="AU127" s="472"/>
      <c r="AV127" s="472"/>
      <c r="AW127" s="472"/>
      <c r="AX127" s="472"/>
      <c r="AY127" s="472"/>
      <c r="AZ127" s="472"/>
      <c r="BA127" s="472"/>
      <c r="BB127" s="472"/>
      <c r="BC127" s="472"/>
      <c r="BD127" s="472"/>
      <c r="BE127" s="472"/>
      <c r="BF127" s="472"/>
      <c r="BG127" s="472"/>
      <c r="BH127" s="472"/>
      <c r="BI127" s="472"/>
      <c r="BJ127" s="472"/>
      <c r="BK127" s="473"/>
      <c r="BL127" s="473"/>
      <c r="BM127" s="473"/>
      <c r="BN127" s="474"/>
      <c r="BO127" s="474"/>
      <c r="BP127" s="474"/>
      <c r="BQ127" s="472"/>
      <c r="BR127" s="472"/>
      <c r="BS127" s="472"/>
      <c r="BT127" s="472"/>
      <c r="BU127" s="472"/>
      <c r="BV127" s="472"/>
      <c r="BW127" s="472"/>
      <c r="BX127" s="472"/>
      <c r="BY127" s="472"/>
      <c r="BZ127" s="472" t="s">
        <v>69</v>
      </c>
      <c r="CA127" s="472" t="s">
        <v>69</v>
      </c>
      <c r="CB127" s="475" t="s">
        <v>69</v>
      </c>
    </row>
    <row r="128" spans="1:80" ht="30" customHeight="1" x14ac:dyDescent="0.2">
      <c r="A128" s="787">
        <v>4</v>
      </c>
      <c r="B128" s="34" t="s">
        <v>183</v>
      </c>
      <c r="C128" s="35"/>
      <c r="D128" s="34"/>
      <c r="E128" s="34"/>
      <c r="F128" s="34"/>
      <c r="G128" s="34"/>
      <c r="H128" s="35"/>
      <c r="I128" s="34"/>
      <c r="J128" s="34"/>
      <c r="K128" s="34"/>
      <c r="L128" s="34"/>
      <c r="M128" s="34"/>
      <c r="N128" s="35"/>
      <c r="O128" s="35"/>
      <c r="P128" s="34"/>
      <c r="Q128" s="34"/>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3"/>
      <c r="BL128" s="433"/>
      <c r="BM128" s="433"/>
      <c r="BN128" s="432"/>
      <c r="BO128" s="432"/>
      <c r="BP128" s="432"/>
      <c r="BQ128" s="432"/>
      <c r="BR128" s="432"/>
      <c r="BS128" s="432"/>
      <c r="BT128" s="432"/>
      <c r="BU128" s="432"/>
      <c r="BV128" s="432"/>
      <c r="BW128" s="432"/>
      <c r="BX128" s="432"/>
      <c r="BY128" s="432"/>
      <c r="BZ128" s="432"/>
      <c r="CA128" s="432"/>
      <c r="CB128" s="434"/>
    </row>
    <row r="129" spans="1:80" ht="30" customHeight="1" x14ac:dyDescent="0.2">
      <c r="A129" s="76"/>
      <c r="B129" s="152">
        <v>23</v>
      </c>
      <c r="C129" s="40" t="s">
        <v>190</v>
      </c>
      <c r="D129" s="39"/>
      <c r="E129" s="39"/>
      <c r="F129" s="39"/>
      <c r="G129" s="39"/>
      <c r="H129" s="40"/>
      <c r="I129" s="39"/>
      <c r="J129" s="39"/>
      <c r="K129" s="39"/>
      <c r="L129" s="39"/>
      <c r="M129" s="39"/>
      <c r="N129" s="40"/>
      <c r="O129" s="40"/>
      <c r="P129" s="39"/>
      <c r="Q129" s="39"/>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2"/>
      <c r="AY129" s="412"/>
      <c r="AZ129" s="412"/>
      <c r="BA129" s="412"/>
      <c r="BB129" s="412"/>
      <c r="BC129" s="412"/>
      <c r="BD129" s="412"/>
      <c r="BE129" s="412"/>
      <c r="BF129" s="412"/>
      <c r="BG129" s="412"/>
      <c r="BH129" s="412"/>
      <c r="BI129" s="412"/>
      <c r="BJ129" s="412"/>
      <c r="BK129" s="413"/>
      <c r="BL129" s="413"/>
      <c r="BM129" s="413"/>
      <c r="BN129" s="412"/>
      <c r="BO129" s="412"/>
      <c r="BP129" s="412"/>
      <c r="BQ129" s="412"/>
      <c r="BR129" s="412"/>
      <c r="BS129" s="412"/>
      <c r="BT129" s="412"/>
      <c r="BU129" s="412"/>
      <c r="BV129" s="412"/>
      <c r="BW129" s="412"/>
      <c r="BX129" s="412"/>
      <c r="BY129" s="412"/>
      <c r="BZ129" s="412"/>
      <c r="CA129" s="412"/>
      <c r="CB129" s="417"/>
    </row>
    <row r="130" spans="1:80" ht="30" customHeight="1" thickBot="1" x14ac:dyDescent="0.25">
      <c r="A130" s="42"/>
      <c r="B130" s="76"/>
      <c r="C130" s="27"/>
      <c r="D130" s="76"/>
      <c r="E130" s="76"/>
      <c r="F130" s="76"/>
      <c r="G130" s="78">
        <v>75</v>
      </c>
      <c r="H130" s="80" t="s">
        <v>191</v>
      </c>
      <c r="I130" s="80"/>
      <c r="J130" s="80"/>
      <c r="K130" s="80"/>
      <c r="L130" s="80"/>
      <c r="M130" s="80"/>
      <c r="N130" s="173"/>
      <c r="O130" s="173"/>
      <c r="P130" s="80"/>
      <c r="Q130" s="80"/>
      <c r="R130" s="267"/>
      <c r="S130" s="267"/>
      <c r="T130" s="267"/>
      <c r="U130" s="267"/>
      <c r="V130" s="267"/>
      <c r="W130" s="267"/>
      <c r="X130" s="267"/>
      <c r="Y130" s="267"/>
      <c r="Z130" s="267"/>
      <c r="AA130" s="267"/>
      <c r="AB130" s="267"/>
      <c r="AC130" s="267"/>
      <c r="AD130" s="267"/>
      <c r="AE130" s="267"/>
      <c r="AF130" s="267"/>
      <c r="AG130" s="267"/>
      <c r="AH130" s="267"/>
      <c r="AI130" s="267"/>
      <c r="AJ130" s="267"/>
      <c r="AK130" s="267"/>
      <c r="AL130" s="267"/>
      <c r="AM130" s="267"/>
      <c r="AN130" s="267"/>
      <c r="AO130" s="267"/>
      <c r="AP130" s="267"/>
      <c r="AQ130" s="267"/>
      <c r="AR130" s="267"/>
      <c r="AS130" s="267"/>
      <c r="AT130" s="267"/>
      <c r="AU130" s="267"/>
      <c r="AV130" s="267"/>
      <c r="AW130" s="267"/>
      <c r="AX130" s="267"/>
      <c r="AY130" s="267"/>
      <c r="AZ130" s="267"/>
      <c r="BA130" s="267"/>
      <c r="BB130" s="267"/>
      <c r="BC130" s="267"/>
      <c r="BD130" s="267"/>
      <c r="BE130" s="267"/>
      <c r="BF130" s="267"/>
      <c r="BG130" s="267"/>
      <c r="BH130" s="267"/>
      <c r="BI130" s="267"/>
      <c r="BJ130" s="267"/>
      <c r="BK130" s="414"/>
      <c r="BL130" s="414"/>
      <c r="BM130" s="414"/>
      <c r="BN130" s="267"/>
      <c r="BO130" s="267"/>
      <c r="BP130" s="267"/>
      <c r="BQ130" s="267"/>
      <c r="BR130" s="267"/>
      <c r="BS130" s="267"/>
      <c r="BT130" s="267"/>
      <c r="BU130" s="267"/>
      <c r="BV130" s="267"/>
      <c r="BW130" s="267"/>
      <c r="BX130" s="267"/>
      <c r="BY130" s="267"/>
      <c r="BZ130" s="267"/>
      <c r="CA130" s="267"/>
      <c r="CB130" s="269"/>
    </row>
    <row r="131" spans="1:80" ht="67.5" customHeight="1" x14ac:dyDescent="0.2">
      <c r="A131" s="42"/>
      <c r="B131" s="42"/>
      <c r="C131" s="883">
        <v>10</v>
      </c>
      <c r="D131" s="891" t="s">
        <v>192</v>
      </c>
      <c r="E131" s="883" t="s">
        <v>193</v>
      </c>
      <c r="F131" s="883" t="s">
        <v>194</v>
      </c>
      <c r="G131" s="43"/>
      <c r="H131" s="57">
        <v>214</v>
      </c>
      <c r="I131" s="729" t="s">
        <v>195</v>
      </c>
      <c r="J131" s="44" t="s">
        <v>43</v>
      </c>
      <c r="K131" s="168">
        <v>3</v>
      </c>
      <c r="L131" s="45">
        <v>0</v>
      </c>
      <c r="M131" s="884">
        <v>2017003630010</v>
      </c>
      <c r="N131" s="887" t="s">
        <v>196</v>
      </c>
      <c r="O131" s="895" t="s">
        <v>197</v>
      </c>
      <c r="P131" s="890" t="s">
        <v>963</v>
      </c>
      <c r="Q131" s="169" t="s">
        <v>67</v>
      </c>
      <c r="R131" s="401">
        <v>0</v>
      </c>
      <c r="S131" s="401"/>
      <c r="T131" s="401"/>
      <c r="U131" s="401">
        <v>0</v>
      </c>
      <c r="V131" s="401"/>
      <c r="W131" s="401"/>
      <c r="X131" s="401">
        <v>0</v>
      </c>
      <c r="Y131" s="426"/>
      <c r="Z131" s="426"/>
      <c r="AA131" s="438">
        <f>20000000</f>
        <v>20000000</v>
      </c>
      <c r="AB131" s="439"/>
      <c r="AC131" s="439"/>
      <c r="AD131" s="401">
        <v>0</v>
      </c>
      <c r="AE131" s="401"/>
      <c r="AF131" s="401"/>
      <c r="AG131" s="401">
        <v>0</v>
      </c>
      <c r="AH131" s="401"/>
      <c r="AI131" s="401"/>
      <c r="AJ131" s="401">
        <v>0</v>
      </c>
      <c r="AK131" s="401"/>
      <c r="AL131" s="401"/>
      <c r="AM131" s="401"/>
      <c r="AN131" s="401"/>
      <c r="AO131" s="401"/>
      <c r="AP131" s="401"/>
      <c r="AQ131" s="401"/>
      <c r="AR131" s="401"/>
      <c r="AS131" s="401">
        <v>0</v>
      </c>
      <c r="AT131" s="401"/>
      <c r="AU131" s="401"/>
      <c r="AV131" s="401">
        <v>0</v>
      </c>
      <c r="AW131" s="401"/>
      <c r="AX131" s="401"/>
      <c r="AY131" s="401"/>
      <c r="AZ131" s="401"/>
      <c r="BA131" s="401"/>
      <c r="BB131" s="401"/>
      <c r="BC131" s="401"/>
      <c r="BD131" s="401"/>
      <c r="BE131" s="401">
        <v>0</v>
      </c>
      <c r="BF131" s="401"/>
      <c r="BG131" s="401"/>
      <c r="BH131" s="401">
        <v>0</v>
      </c>
      <c r="BI131" s="401"/>
      <c r="BJ131" s="401"/>
      <c r="BK131" s="402">
        <f>22000000+8000000</f>
        <v>30000000</v>
      </c>
      <c r="BL131" s="402"/>
      <c r="BM131" s="402"/>
      <c r="BN131" s="415"/>
      <c r="BO131" s="415"/>
      <c r="BP131" s="415"/>
      <c r="BQ131" s="401">
        <v>0</v>
      </c>
      <c r="BR131" s="403"/>
      <c r="BS131" s="403"/>
      <c r="BT131" s="403"/>
      <c r="BU131" s="403"/>
      <c r="BV131" s="403"/>
      <c r="BW131" s="431">
        <v>0</v>
      </c>
      <c r="BX131" s="431"/>
      <c r="BY131" s="431"/>
      <c r="BZ131" s="401">
        <f t="shared" ref="BZ131:CB135" si="43">R131+U131+X131+AA131+AD131+AG131+AJ131+AM131+AP131+AS131+AV131+AY131+BB131+BE131+BH131+BK131+BN131+BQ131+BT131+BW131</f>
        <v>50000000</v>
      </c>
      <c r="CA131" s="401">
        <f t="shared" si="43"/>
        <v>0</v>
      </c>
      <c r="CB131" s="401">
        <f t="shared" si="43"/>
        <v>0</v>
      </c>
    </row>
    <row r="132" spans="1:80" ht="67.5" customHeight="1" x14ac:dyDescent="0.2">
      <c r="A132" s="42"/>
      <c r="B132" s="42"/>
      <c r="C132" s="883"/>
      <c r="D132" s="891"/>
      <c r="E132" s="883"/>
      <c r="F132" s="883"/>
      <c r="G132" s="49"/>
      <c r="H132" s="57">
        <v>215</v>
      </c>
      <c r="I132" s="729" t="s">
        <v>199</v>
      </c>
      <c r="J132" s="44">
        <v>10</v>
      </c>
      <c r="K132" s="168">
        <v>3</v>
      </c>
      <c r="L132" s="45">
        <v>2</v>
      </c>
      <c r="M132" s="885"/>
      <c r="N132" s="888"/>
      <c r="O132" s="883"/>
      <c r="P132" s="891"/>
      <c r="Q132" s="170" t="s">
        <v>47</v>
      </c>
      <c r="R132" s="401">
        <v>0</v>
      </c>
      <c r="S132" s="401"/>
      <c r="T132" s="401"/>
      <c r="U132" s="401">
        <v>0</v>
      </c>
      <c r="V132" s="401"/>
      <c r="W132" s="401"/>
      <c r="X132" s="401">
        <v>0</v>
      </c>
      <c r="Y132" s="440"/>
      <c r="Z132" s="440"/>
      <c r="AA132" s="441">
        <v>70000000</v>
      </c>
      <c r="AB132" s="441"/>
      <c r="AC132" s="441"/>
      <c r="AD132" s="401">
        <v>0</v>
      </c>
      <c r="AE132" s="401"/>
      <c r="AF132" s="401"/>
      <c r="AG132" s="401">
        <v>0</v>
      </c>
      <c r="AH132" s="401"/>
      <c r="AI132" s="401"/>
      <c r="AJ132" s="401">
        <v>0</v>
      </c>
      <c r="AK132" s="401"/>
      <c r="AL132" s="401"/>
      <c r="AM132" s="401"/>
      <c r="AN132" s="401"/>
      <c r="AO132" s="401"/>
      <c r="AP132" s="401"/>
      <c r="AQ132" s="401"/>
      <c r="AR132" s="401"/>
      <c r="AS132" s="401">
        <v>0</v>
      </c>
      <c r="AT132" s="401"/>
      <c r="AU132" s="401"/>
      <c r="AV132" s="401">
        <v>0</v>
      </c>
      <c r="AW132" s="401"/>
      <c r="AX132" s="401"/>
      <c r="AY132" s="401"/>
      <c r="AZ132" s="401"/>
      <c r="BA132" s="401"/>
      <c r="BB132" s="401"/>
      <c r="BC132" s="401"/>
      <c r="BD132" s="401"/>
      <c r="BE132" s="401">
        <v>0</v>
      </c>
      <c r="BF132" s="401"/>
      <c r="BG132" s="401"/>
      <c r="BH132" s="401">
        <v>0</v>
      </c>
      <c r="BI132" s="401"/>
      <c r="BJ132" s="401"/>
      <c r="BK132" s="402"/>
      <c r="BL132" s="402"/>
      <c r="BM132" s="402"/>
      <c r="BN132" s="415"/>
      <c r="BO132" s="415"/>
      <c r="BP132" s="415"/>
      <c r="BQ132" s="401">
        <v>0</v>
      </c>
      <c r="BR132" s="401"/>
      <c r="BS132" s="401"/>
      <c r="BT132" s="401"/>
      <c r="BU132" s="401"/>
      <c r="BV132" s="401"/>
      <c r="BW132" s="401">
        <v>0</v>
      </c>
      <c r="BX132" s="401"/>
      <c r="BY132" s="401"/>
      <c r="BZ132" s="401">
        <f t="shared" si="43"/>
        <v>70000000</v>
      </c>
      <c r="CA132" s="401">
        <f t="shared" si="43"/>
        <v>0</v>
      </c>
      <c r="CB132" s="401">
        <f t="shared" si="43"/>
        <v>0</v>
      </c>
    </row>
    <row r="133" spans="1:80" ht="67.5" customHeight="1" x14ac:dyDescent="0.2">
      <c r="A133" s="42"/>
      <c r="B133" s="42"/>
      <c r="C133" s="883"/>
      <c r="D133" s="892"/>
      <c r="E133" s="898"/>
      <c r="F133" s="898"/>
      <c r="G133" s="49"/>
      <c r="H133" s="57">
        <v>216</v>
      </c>
      <c r="I133" s="729" t="s">
        <v>200</v>
      </c>
      <c r="J133" s="57" t="s">
        <v>201</v>
      </c>
      <c r="K133" s="369">
        <v>2</v>
      </c>
      <c r="L133" s="107">
        <v>0</v>
      </c>
      <c r="M133" s="885"/>
      <c r="N133" s="888"/>
      <c r="O133" s="883"/>
      <c r="P133" s="891"/>
      <c r="Q133" s="170" t="s">
        <v>67</v>
      </c>
      <c r="R133" s="401">
        <v>0</v>
      </c>
      <c r="S133" s="401"/>
      <c r="T133" s="401"/>
      <c r="U133" s="401">
        <v>0</v>
      </c>
      <c r="V133" s="401"/>
      <c r="W133" s="401"/>
      <c r="X133" s="401">
        <v>0</v>
      </c>
      <c r="Y133" s="440"/>
      <c r="Z133" s="440"/>
      <c r="AA133" s="441">
        <f>150000000+635000000</f>
        <v>785000000</v>
      </c>
      <c r="AB133" s="441"/>
      <c r="AC133" s="441"/>
      <c r="AD133" s="401">
        <v>0</v>
      </c>
      <c r="AE133" s="401"/>
      <c r="AF133" s="401"/>
      <c r="AG133" s="401">
        <v>0</v>
      </c>
      <c r="AH133" s="401"/>
      <c r="AI133" s="401"/>
      <c r="AJ133" s="401">
        <v>0</v>
      </c>
      <c r="AK133" s="401"/>
      <c r="AL133" s="401"/>
      <c r="AM133" s="401"/>
      <c r="AN133" s="401"/>
      <c r="AO133" s="401"/>
      <c r="AP133" s="401"/>
      <c r="AQ133" s="401"/>
      <c r="AR133" s="401"/>
      <c r="AS133" s="401">
        <v>0</v>
      </c>
      <c r="AT133" s="401"/>
      <c r="AU133" s="401"/>
      <c r="AV133" s="401">
        <v>0</v>
      </c>
      <c r="AW133" s="401"/>
      <c r="AX133" s="401"/>
      <c r="AY133" s="401"/>
      <c r="AZ133" s="401"/>
      <c r="BA133" s="401"/>
      <c r="BB133" s="401"/>
      <c r="BC133" s="401"/>
      <c r="BD133" s="401"/>
      <c r="BE133" s="401">
        <v>0</v>
      </c>
      <c r="BF133" s="401"/>
      <c r="BG133" s="401"/>
      <c r="BH133" s="401">
        <v>0</v>
      </c>
      <c r="BI133" s="401"/>
      <c r="BJ133" s="401"/>
      <c r="BK133" s="402">
        <v>0</v>
      </c>
      <c r="BL133" s="402"/>
      <c r="BM133" s="402"/>
      <c r="BN133" s="415"/>
      <c r="BO133" s="415"/>
      <c r="BP133" s="415"/>
      <c r="BQ133" s="401">
        <v>0</v>
      </c>
      <c r="BR133" s="403"/>
      <c r="BS133" s="403"/>
      <c r="BT133" s="403"/>
      <c r="BU133" s="403"/>
      <c r="BV133" s="403"/>
      <c r="BW133" s="403">
        <v>0</v>
      </c>
      <c r="BX133" s="403"/>
      <c r="BY133" s="403"/>
      <c r="BZ133" s="401">
        <f t="shared" si="43"/>
        <v>785000000</v>
      </c>
      <c r="CA133" s="401">
        <f t="shared" si="43"/>
        <v>0</v>
      </c>
      <c r="CB133" s="401">
        <f t="shared" si="43"/>
        <v>0</v>
      </c>
    </row>
    <row r="134" spans="1:80" ht="67.5" customHeight="1" x14ac:dyDescent="0.2">
      <c r="A134" s="42"/>
      <c r="B134" s="42"/>
      <c r="C134" s="883">
        <v>12</v>
      </c>
      <c r="D134" s="890" t="s">
        <v>202</v>
      </c>
      <c r="E134" s="883">
        <v>3166</v>
      </c>
      <c r="F134" s="883">
        <v>2500</v>
      </c>
      <c r="G134" s="49"/>
      <c r="H134" s="57">
        <v>217</v>
      </c>
      <c r="I134" s="729" t="s">
        <v>203</v>
      </c>
      <c r="J134" s="57" t="s">
        <v>201</v>
      </c>
      <c r="K134" s="369">
        <v>5</v>
      </c>
      <c r="L134" s="108">
        <v>3</v>
      </c>
      <c r="M134" s="885"/>
      <c r="N134" s="888"/>
      <c r="O134" s="883"/>
      <c r="P134" s="891"/>
      <c r="Q134" s="169" t="s">
        <v>52</v>
      </c>
      <c r="R134" s="401">
        <v>0</v>
      </c>
      <c r="S134" s="401"/>
      <c r="T134" s="401"/>
      <c r="U134" s="401">
        <v>0</v>
      </c>
      <c r="V134" s="401"/>
      <c r="W134" s="401"/>
      <c r="X134" s="401">
        <v>0</v>
      </c>
      <c r="Y134" s="401"/>
      <c r="Z134" s="401"/>
      <c r="AA134" s="680">
        <f>1693400000+3039835512.38+8159012</f>
        <v>4741394524.3800001</v>
      </c>
      <c r="AB134" s="401">
        <v>555792726</v>
      </c>
      <c r="AC134" s="401">
        <v>310612628</v>
      </c>
      <c r="AD134" s="401"/>
      <c r="AE134" s="401"/>
      <c r="AF134" s="401"/>
      <c r="AG134" s="401">
        <v>0</v>
      </c>
      <c r="AH134" s="401"/>
      <c r="AI134" s="401"/>
      <c r="AJ134" s="401">
        <v>0</v>
      </c>
      <c r="AK134" s="401"/>
      <c r="AL134" s="401"/>
      <c r="AM134" s="401"/>
      <c r="AN134" s="401"/>
      <c r="AO134" s="401"/>
      <c r="AP134" s="401"/>
      <c r="AQ134" s="401"/>
      <c r="AR134" s="401"/>
      <c r="AS134" s="401">
        <v>0</v>
      </c>
      <c r="AT134" s="401"/>
      <c r="AU134" s="401"/>
      <c r="AV134" s="401">
        <v>0</v>
      </c>
      <c r="AW134" s="401"/>
      <c r="AX134" s="401"/>
      <c r="AY134" s="401"/>
      <c r="AZ134" s="401"/>
      <c r="BA134" s="401"/>
      <c r="BB134" s="401"/>
      <c r="BC134" s="401"/>
      <c r="BD134" s="401"/>
      <c r="BE134" s="401">
        <v>0</v>
      </c>
      <c r="BF134" s="401"/>
      <c r="BG134" s="401"/>
      <c r="BH134" s="401">
        <v>0</v>
      </c>
      <c r="BI134" s="401"/>
      <c r="BJ134" s="401"/>
      <c r="BK134" s="402">
        <v>0</v>
      </c>
      <c r="BL134" s="402"/>
      <c r="BM134" s="402"/>
      <c r="BN134" s="415"/>
      <c r="BO134" s="415"/>
      <c r="BP134" s="415"/>
      <c r="BQ134" s="401">
        <v>0</v>
      </c>
      <c r="BR134" s="403"/>
      <c r="BS134" s="403"/>
      <c r="BT134" s="403"/>
      <c r="BU134" s="403"/>
      <c r="BV134" s="403"/>
      <c r="BW134" s="403">
        <v>0</v>
      </c>
      <c r="BX134" s="403"/>
      <c r="BY134" s="403"/>
      <c r="BZ134" s="665">
        <f t="shared" si="43"/>
        <v>4741394524.3800001</v>
      </c>
      <c r="CA134" s="401">
        <f t="shared" si="43"/>
        <v>555792726</v>
      </c>
      <c r="CB134" s="401">
        <f t="shared" si="43"/>
        <v>310612628</v>
      </c>
    </row>
    <row r="135" spans="1:80" ht="49.5" customHeight="1" x14ac:dyDescent="0.2">
      <c r="A135" s="42"/>
      <c r="B135" s="42"/>
      <c r="C135" s="883"/>
      <c r="D135" s="891"/>
      <c r="E135" s="883"/>
      <c r="F135" s="883"/>
      <c r="G135" s="92"/>
      <c r="H135" s="57">
        <v>218</v>
      </c>
      <c r="I135" s="729" t="s">
        <v>204</v>
      </c>
      <c r="J135" s="44">
        <v>3</v>
      </c>
      <c r="K135" s="45">
        <v>3</v>
      </c>
      <c r="L135" s="112">
        <v>2.5</v>
      </c>
      <c r="M135" s="886"/>
      <c r="N135" s="889"/>
      <c r="O135" s="898"/>
      <c r="P135" s="892"/>
      <c r="Q135" s="169" t="s">
        <v>52</v>
      </c>
      <c r="R135" s="401">
        <v>0</v>
      </c>
      <c r="S135" s="401"/>
      <c r="T135" s="401"/>
      <c r="U135" s="401">
        <v>0</v>
      </c>
      <c r="V135" s="401"/>
      <c r="W135" s="401"/>
      <c r="X135" s="401">
        <v>0</v>
      </c>
      <c r="Y135" s="440"/>
      <c r="Z135" s="440"/>
      <c r="AA135" s="441">
        <v>260000000</v>
      </c>
      <c r="AB135" s="441">
        <v>169640000</v>
      </c>
      <c r="AC135" s="441">
        <v>142487585</v>
      </c>
      <c r="AD135" s="401">
        <v>0</v>
      </c>
      <c r="AE135" s="401"/>
      <c r="AF135" s="401"/>
      <c r="AG135" s="401">
        <v>0</v>
      </c>
      <c r="AH135" s="401"/>
      <c r="AI135" s="401"/>
      <c r="AJ135" s="401">
        <v>0</v>
      </c>
      <c r="AK135" s="401"/>
      <c r="AL135" s="401"/>
      <c r="AM135" s="401"/>
      <c r="AN135" s="401"/>
      <c r="AO135" s="401"/>
      <c r="AP135" s="401"/>
      <c r="AQ135" s="401"/>
      <c r="AR135" s="401"/>
      <c r="AS135" s="401">
        <v>0</v>
      </c>
      <c r="AT135" s="401"/>
      <c r="AU135" s="401"/>
      <c r="AV135" s="401">
        <v>0</v>
      </c>
      <c r="AW135" s="401"/>
      <c r="AX135" s="401"/>
      <c r="AY135" s="401"/>
      <c r="AZ135" s="401"/>
      <c r="BA135" s="401"/>
      <c r="BB135" s="401"/>
      <c r="BC135" s="401"/>
      <c r="BD135" s="401"/>
      <c r="BE135" s="401">
        <v>0</v>
      </c>
      <c r="BF135" s="401"/>
      <c r="BG135" s="401"/>
      <c r="BH135" s="401">
        <v>0</v>
      </c>
      <c r="BI135" s="401"/>
      <c r="BJ135" s="401"/>
      <c r="BK135" s="402">
        <v>0</v>
      </c>
      <c r="BL135" s="402"/>
      <c r="BM135" s="402"/>
      <c r="BN135" s="415"/>
      <c r="BO135" s="415"/>
      <c r="BP135" s="415"/>
      <c r="BQ135" s="401">
        <v>0</v>
      </c>
      <c r="BR135" s="403"/>
      <c r="BS135" s="403"/>
      <c r="BT135" s="403"/>
      <c r="BU135" s="403"/>
      <c r="BV135" s="403"/>
      <c r="BW135" s="403">
        <v>0</v>
      </c>
      <c r="BX135" s="403"/>
      <c r="BY135" s="403"/>
      <c r="BZ135" s="401">
        <f t="shared" si="43"/>
        <v>260000000</v>
      </c>
      <c r="CA135" s="401">
        <f t="shared" si="43"/>
        <v>169640000</v>
      </c>
      <c r="CB135" s="401">
        <f t="shared" si="43"/>
        <v>142487585</v>
      </c>
    </row>
    <row r="136" spans="1:80" ht="30" customHeight="1" x14ac:dyDescent="0.2">
      <c r="A136" s="42"/>
      <c r="B136" s="42"/>
      <c r="C136" s="714"/>
      <c r="D136" s="709"/>
      <c r="E136" s="714"/>
      <c r="F136" s="714"/>
      <c r="G136" s="58"/>
      <c r="H136" s="59"/>
      <c r="I136" s="58"/>
      <c r="J136" s="60"/>
      <c r="K136" s="84"/>
      <c r="L136" s="84"/>
      <c r="M136" s="84"/>
      <c r="N136" s="60"/>
      <c r="O136" s="59"/>
      <c r="P136" s="58"/>
      <c r="Q136" s="59"/>
      <c r="R136" s="410">
        <f t="shared" ref="R136:BY136" si="44">SUM(R131:R135)</f>
        <v>0</v>
      </c>
      <c r="S136" s="410">
        <f t="shared" si="44"/>
        <v>0</v>
      </c>
      <c r="T136" s="410">
        <f t="shared" si="44"/>
        <v>0</v>
      </c>
      <c r="U136" s="410">
        <f t="shared" si="44"/>
        <v>0</v>
      </c>
      <c r="V136" s="410">
        <f t="shared" si="44"/>
        <v>0</v>
      </c>
      <c r="W136" s="410">
        <f t="shared" si="44"/>
        <v>0</v>
      </c>
      <c r="X136" s="410">
        <f t="shared" si="44"/>
        <v>0</v>
      </c>
      <c r="Y136" s="410">
        <f t="shared" si="44"/>
        <v>0</v>
      </c>
      <c r="Z136" s="410">
        <f t="shared" si="44"/>
        <v>0</v>
      </c>
      <c r="AA136" s="410">
        <f t="shared" si="44"/>
        <v>5876394524.3800001</v>
      </c>
      <c r="AB136" s="410">
        <f t="shared" si="44"/>
        <v>725432726</v>
      </c>
      <c r="AC136" s="410">
        <f t="shared" si="44"/>
        <v>453100213</v>
      </c>
      <c r="AD136" s="410">
        <f t="shared" si="44"/>
        <v>0</v>
      </c>
      <c r="AE136" s="410">
        <f t="shared" si="44"/>
        <v>0</v>
      </c>
      <c r="AF136" s="410">
        <f t="shared" si="44"/>
        <v>0</v>
      </c>
      <c r="AG136" s="410">
        <f t="shared" si="44"/>
        <v>0</v>
      </c>
      <c r="AH136" s="410">
        <f t="shared" si="44"/>
        <v>0</v>
      </c>
      <c r="AI136" s="410">
        <f t="shared" si="44"/>
        <v>0</v>
      </c>
      <c r="AJ136" s="410">
        <f t="shared" si="44"/>
        <v>0</v>
      </c>
      <c r="AK136" s="410">
        <f t="shared" si="44"/>
        <v>0</v>
      </c>
      <c r="AL136" s="410">
        <f t="shared" si="44"/>
        <v>0</v>
      </c>
      <c r="AM136" s="410">
        <f t="shared" si="44"/>
        <v>0</v>
      </c>
      <c r="AN136" s="410">
        <f t="shared" si="44"/>
        <v>0</v>
      </c>
      <c r="AO136" s="410">
        <f t="shared" si="44"/>
        <v>0</v>
      </c>
      <c r="AP136" s="410">
        <f t="shared" si="44"/>
        <v>0</v>
      </c>
      <c r="AQ136" s="410">
        <f t="shared" si="44"/>
        <v>0</v>
      </c>
      <c r="AR136" s="410">
        <f t="shared" si="44"/>
        <v>0</v>
      </c>
      <c r="AS136" s="410">
        <f t="shared" si="44"/>
        <v>0</v>
      </c>
      <c r="AT136" s="410">
        <f t="shared" si="44"/>
        <v>0</v>
      </c>
      <c r="AU136" s="410">
        <f t="shared" si="44"/>
        <v>0</v>
      </c>
      <c r="AV136" s="410">
        <f t="shared" si="44"/>
        <v>0</v>
      </c>
      <c r="AW136" s="410">
        <f t="shared" si="44"/>
        <v>0</v>
      </c>
      <c r="AX136" s="410">
        <f t="shared" si="44"/>
        <v>0</v>
      </c>
      <c r="AY136" s="410">
        <f t="shared" si="44"/>
        <v>0</v>
      </c>
      <c r="AZ136" s="410">
        <f t="shared" si="44"/>
        <v>0</v>
      </c>
      <c r="BA136" s="410">
        <f t="shared" si="44"/>
        <v>0</v>
      </c>
      <c r="BB136" s="410">
        <f t="shared" si="44"/>
        <v>0</v>
      </c>
      <c r="BC136" s="410">
        <f t="shared" si="44"/>
        <v>0</v>
      </c>
      <c r="BD136" s="410">
        <f t="shared" si="44"/>
        <v>0</v>
      </c>
      <c r="BE136" s="410">
        <f t="shared" si="44"/>
        <v>0</v>
      </c>
      <c r="BF136" s="410">
        <f t="shared" si="44"/>
        <v>0</v>
      </c>
      <c r="BG136" s="410">
        <f t="shared" si="44"/>
        <v>0</v>
      </c>
      <c r="BH136" s="410">
        <f t="shared" si="44"/>
        <v>0</v>
      </c>
      <c r="BI136" s="410">
        <f t="shared" si="44"/>
        <v>0</v>
      </c>
      <c r="BJ136" s="410">
        <f t="shared" si="44"/>
        <v>0</v>
      </c>
      <c r="BK136" s="410">
        <f t="shared" si="44"/>
        <v>30000000</v>
      </c>
      <c r="BL136" s="410">
        <f t="shared" si="44"/>
        <v>0</v>
      </c>
      <c r="BM136" s="410">
        <f t="shared" si="44"/>
        <v>0</v>
      </c>
      <c r="BN136" s="410">
        <f t="shared" si="44"/>
        <v>0</v>
      </c>
      <c r="BO136" s="410">
        <f t="shared" si="44"/>
        <v>0</v>
      </c>
      <c r="BP136" s="410">
        <f t="shared" si="44"/>
        <v>0</v>
      </c>
      <c r="BQ136" s="410">
        <f t="shared" si="44"/>
        <v>0</v>
      </c>
      <c r="BR136" s="410">
        <f t="shared" si="44"/>
        <v>0</v>
      </c>
      <c r="BS136" s="410">
        <f t="shared" si="44"/>
        <v>0</v>
      </c>
      <c r="BT136" s="410">
        <f t="shared" si="44"/>
        <v>0</v>
      </c>
      <c r="BU136" s="410">
        <f t="shared" si="44"/>
        <v>0</v>
      </c>
      <c r="BV136" s="410">
        <f t="shared" si="44"/>
        <v>0</v>
      </c>
      <c r="BW136" s="410">
        <f t="shared" si="44"/>
        <v>0</v>
      </c>
      <c r="BX136" s="410">
        <f t="shared" si="44"/>
        <v>0</v>
      </c>
      <c r="BY136" s="410">
        <f t="shared" si="44"/>
        <v>0</v>
      </c>
      <c r="BZ136" s="668">
        <f>SUM(BZ131:BZ135)</f>
        <v>5906394524.3800001</v>
      </c>
      <c r="CA136" s="410">
        <f t="shared" ref="CA136:CB136" si="45">SUM(CA131:CA135)</f>
        <v>725432726</v>
      </c>
      <c r="CB136" s="410">
        <f t="shared" si="45"/>
        <v>453100213</v>
      </c>
    </row>
    <row r="137" spans="1:80" ht="30" customHeight="1" x14ac:dyDescent="0.2">
      <c r="A137" s="42"/>
      <c r="B137" s="42"/>
      <c r="C137" s="137"/>
      <c r="D137" s="72"/>
      <c r="E137" s="150"/>
      <c r="F137" s="150"/>
      <c r="G137" s="72"/>
      <c r="H137" s="150"/>
      <c r="I137" s="72"/>
      <c r="J137" s="73"/>
      <c r="K137" s="83"/>
      <c r="L137" s="83"/>
      <c r="M137" s="83"/>
      <c r="N137" s="73"/>
      <c r="O137" s="150"/>
      <c r="P137" s="72"/>
      <c r="Q137" s="150"/>
      <c r="R137" s="405"/>
      <c r="S137" s="405"/>
      <c r="T137" s="405"/>
      <c r="U137" s="406"/>
      <c r="V137" s="406"/>
      <c r="W137" s="406"/>
      <c r="X137" s="405"/>
      <c r="Y137" s="405"/>
      <c r="Z137" s="405"/>
      <c r="AA137" s="405"/>
      <c r="AB137" s="405"/>
      <c r="AC137" s="405"/>
      <c r="AD137" s="405"/>
      <c r="AE137" s="405"/>
      <c r="AF137" s="405"/>
      <c r="AG137" s="405"/>
      <c r="AH137" s="405"/>
      <c r="AI137" s="405"/>
      <c r="AJ137" s="405"/>
      <c r="AK137" s="405"/>
      <c r="AL137" s="405"/>
      <c r="AM137" s="405"/>
      <c r="AN137" s="405"/>
      <c r="AO137" s="405"/>
      <c r="AP137" s="405"/>
      <c r="AQ137" s="405"/>
      <c r="AR137" s="405"/>
      <c r="AS137" s="405"/>
      <c r="AT137" s="405"/>
      <c r="AU137" s="405"/>
      <c r="AV137" s="405"/>
      <c r="AW137" s="405"/>
      <c r="AX137" s="405"/>
      <c r="AY137" s="406"/>
      <c r="AZ137" s="406"/>
      <c r="BA137" s="406"/>
      <c r="BB137" s="406"/>
      <c r="BC137" s="406"/>
      <c r="BD137" s="406"/>
      <c r="BE137" s="405"/>
      <c r="BF137" s="405"/>
      <c r="BG137" s="405"/>
      <c r="BH137" s="405"/>
      <c r="BI137" s="405"/>
      <c r="BJ137" s="405"/>
      <c r="BK137" s="407"/>
      <c r="BL137" s="407"/>
      <c r="BM137" s="407"/>
      <c r="BN137" s="408"/>
      <c r="BO137" s="408"/>
      <c r="BP137" s="408"/>
      <c r="BQ137" s="405"/>
      <c r="BR137" s="405"/>
      <c r="BS137" s="405"/>
      <c r="BT137" s="405"/>
      <c r="BU137" s="405"/>
      <c r="BV137" s="405"/>
      <c r="BW137" s="406"/>
      <c r="BX137" s="406"/>
      <c r="BY137" s="406"/>
      <c r="BZ137" s="667"/>
      <c r="CA137" s="405"/>
      <c r="CB137" s="409"/>
    </row>
    <row r="138" spans="1:80" ht="30" customHeight="1" x14ac:dyDescent="0.2">
      <c r="A138" s="42"/>
      <c r="B138" s="42"/>
      <c r="C138" s="713"/>
      <c r="D138" s="707"/>
      <c r="E138" s="713"/>
      <c r="F138" s="713"/>
      <c r="G138" s="78">
        <v>76</v>
      </c>
      <c r="H138" s="80" t="s">
        <v>205</v>
      </c>
      <c r="I138" s="162"/>
      <c r="J138" s="162"/>
      <c r="K138" s="91"/>
      <c r="L138" s="91"/>
      <c r="M138" s="91"/>
      <c r="N138" s="393"/>
      <c r="O138" s="393"/>
      <c r="P138" s="162"/>
      <c r="Q138" s="80"/>
      <c r="R138" s="267"/>
      <c r="S138" s="267"/>
      <c r="T138" s="267"/>
      <c r="U138" s="267"/>
      <c r="V138" s="267"/>
      <c r="W138" s="267"/>
      <c r="X138" s="267"/>
      <c r="Y138" s="267"/>
      <c r="Z138" s="267"/>
      <c r="AA138" s="267"/>
      <c r="AB138" s="267"/>
      <c r="AC138" s="267"/>
      <c r="AD138" s="267"/>
      <c r="AE138" s="267"/>
      <c r="AF138" s="267"/>
      <c r="AG138" s="267"/>
      <c r="AH138" s="267"/>
      <c r="AI138" s="267"/>
      <c r="AJ138" s="267"/>
      <c r="AK138" s="267"/>
      <c r="AL138" s="267"/>
      <c r="AM138" s="267"/>
      <c r="AN138" s="267"/>
      <c r="AO138" s="267"/>
      <c r="AP138" s="267"/>
      <c r="AQ138" s="267"/>
      <c r="AR138" s="267"/>
      <c r="AS138" s="267"/>
      <c r="AT138" s="267"/>
      <c r="AU138" s="267"/>
      <c r="AV138" s="267"/>
      <c r="AW138" s="267"/>
      <c r="AX138" s="267"/>
      <c r="AY138" s="267"/>
      <c r="AZ138" s="267"/>
      <c r="BA138" s="267"/>
      <c r="BB138" s="267"/>
      <c r="BC138" s="267"/>
      <c r="BD138" s="267"/>
      <c r="BE138" s="267"/>
      <c r="BF138" s="267"/>
      <c r="BG138" s="267"/>
      <c r="BH138" s="267"/>
      <c r="BI138" s="267"/>
      <c r="BJ138" s="267"/>
      <c r="BK138" s="414"/>
      <c r="BL138" s="414"/>
      <c r="BM138" s="414"/>
      <c r="BN138" s="267"/>
      <c r="BO138" s="267"/>
      <c r="BP138" s="267"/>
      <c r="BQ138" s="267"/>
      <c r="BR138" s="267"/>
      <c r="BS138" s="267"/>
      <c r="BT138" s="267"/>
      <c r="BU138" s="267"/>
      <c r="BV138" s="267"/>
      <c r="BW138" s="267"/>
      <c r="BX138" s="267"/>
      <c r="BY138" s="267"/>
      <c r="BZ138" s="269"/>
      <c r="CA138" s="269"/>
      <c r="CB138" s="269"/>
    </row>
    <row r="139" spans="1:80" ht="74.25" customHeight="1" x14ac:dyDescent="0.2">
      <c r="A139" s="42"/>
      <c r="B139" s="42"/>
      <c r="C139" s="883">
        <v>10</v>
      </c>
      <c r="D139" s="891" t="s">
        <v>192</v>
      </c>
      <c r="E139" s="883" t="s">
        <v>193</v>
      </c>
      <c r="F139" s="883" t="s">
        <v>194</v>
      </c>
      <c r="G139" s="43"/>
      <c r="H139" s="57">
        <v>219</v>
      </c>
      <c r="I139" s="729" t="s">
        <v>206</v>
      </c>
      <c r="J139" s="44" t="s">
        <v>43</v>
      </c>
      <c r="K139" s="52">
        <v>11</v>
      </c>
      <c r="L139" s="45">
        <v>9</v>
      </c>
      <c r="M139" s="885">
        <v>2017003630011</v>
      </c>
      <c r="N139" s="887" t="s">
        <v>207</v>
      </c>
      <c r="O139" s="895" t="s">
        <v>208</v>
      </c>
      <c r="P139" s="890" t="s">
        <v>964</v>
      </c>
      <c r="Q139" s="57" t="s">
        <v>67</v>
      </c>
      <c r="R139" s="401">
        <v>0</v>
      </c>
      <c r="S139" s="401"/>
      <c r="T139" s="401"/>
      <c r="U139" s="401">
        <v>0</v>
      </c>
      <c r="V139" s="401"/>
      <c r="W139" s="401"/>
      <c r="X139" s="401">
        <v>0</v>
      </c>
      <c r="Y139" s="401"/>
      <c r="Z139" s="401"/>
      <c r="AA139" s="672">
        <f>250000000+250000000+11961488</f>
        <v>511961488</v>
      </c>
      <c r="AB139" s="402">
        <v>329300000</v>
      </c>
      <c r="AC139" s="402">
        <v>271380000</v>
      </c>
      <c r="AD139" s="401">
        <v>0</v>
      </c>
      <c r="AE139" s="401"/>
      <c r="AF139" s="401"/>
      <c r="AG139" s="401">
        <v>0</v>
      </c>
      <c r="AH139" s="401"/>
      <c r="AI139" s="401"/>
      <c r="AJ139" s="401">
        <v>0</v>
      </c>
      <c r="AK139" s="401"/>
      <c r="AL139" s="401"/>
      <c r="AM139" s="401"/>
      <c r="AN139" s="401"/>
      <c r="AO139" s="401"/>
      <c r="AP139" s="401"/>
      <c r="AQ139" s="401"/>
      <c r="AR139" s="401"/>
      <c r="AS139" s="401">
        <v>0</v>
      </c>
      <c r="AT139" s="401"/>
      <c r="AU139" s="401"/>
      <c r="AV139" s="401">
        <v>0</v>
      </c>
      <c r="AW139" s="401"/>
      <c r="AX139" s="401"/>
      <c r="AY139" s="401"/>
      <c r="AZ139" s="401"/>
      <c r="BA139" s="401"/>
      <c r="BB139" s="401"/>
      <c r="BC139" s="401"/>
      <c r="BD139" s="401"/>
      <c r="BE139" s="401">
        <v>0</v>
      </c>
      <c r="BF139" s="401"/>
      <c r="BG139" s="401"/>
      <c r="BH139" s="401">
        <v>0</v>
      </c>
      <c r="BI139" s="401"/>
      <c r="BJ139" s="401"/>
      <c r="BK139" s="402"/>
      <c r="BL139" s="402"/>
      <c r="BM139" s="402"/>
      <c r="BN139" s="402"/>
      <c r="BO139" s="402"/>
      <c r="BP139" s="402"/>
      <c r="BQ139" s="401">
        <v>0</v>
      </c>
      <c r="BR139" s="403"/>
      <c r="BS139" s="403"/>
      <c r="BT139" s="403"/>
      <c r="BU139" s="403"/>
      <c r="BV139" s="403"/>
      <c r="BW139" s="403">
        <v>0</v>
      </c>
      <c r="BX139" s="403"/>
      <c r="BY139" s="403"/>
      <c r="BZ139" s="401">
        <f t="shared" ref="BZ139:CB142" si="46">R139+U139+X139+AA139+AD139+AG139+AJ139+AM139+AP139+AS139+AV139+AY139+BB139+BE139+BH139+BK139+BN139+BQ139+BT139+BW139</f>
        <v>511961488</v>
      </c>
      <c r="CA139" s="401">
        <f t="shared" si="46"/>
        <v>329300000</v>
      </c>
      <c r="CB139" s="401">
        <f t="shared" si="46"/>
        <v>271380000</v>
      </c>
    </row>
    <row r="140" spans="1:80" ht="54" customHeight="1" x14ac:dyDescent="0.2">
      <c r="A140" s="42"/>
      <c r="B140" s="42"/>
      <c r="C140" s="898"/>
      <c r="D140" s="892"/>
      <c r="E140" s="898"/>
      <c r="F140" s="898"/>
      <c r="G140" s="49"/>
      <c r="H140" s="57">
        <v>220</v>
      </c>
      <c r="I140" s="729" t="s">
        <v>210</v>
      </c>
      <c r="J140" s="44">
        <v>0</v>
      </c>
      <c r="K140" s="50">
        <v>12</v>
      </c>
      <c r="L140" s="45">
        <v>9</v>
      </c>
      <c r="M140" s="885"/>
      <c r="N140" s="888"/>
      <c r="O140" s="883"/>
      <c r="P140" s="891"/>
      <c r="Q140" s="57" t="s">
        <v>67</v>
      </c>
      <c r="R140" s="401">
        <v>0</v>
      </c>
      <c r="S140" s="401"/>
      <c r="T140" s="401"/>
      <c r="U140" s="401">
        <v>0</v>
      </c>
      <c r="V140" s="401"/>
      <c r="W140" s="401"/>
      <c r="X140" s="401">
        <v>0</v>
      </c>
      <c r="Y140" s="401"/>
      <c r="Z140" s="401"/>
      <c r="AA140" s="402">
        <f>250000000+330000000</f>
        <v>580000000</v>
      </c>
      <c r="AB140" s="402">
        <v>404369991</v>
      </c>
      <c r="AC140" s="402">
        <v>296660000</v>
      </c>
      <c r="AD140" s="401">
        <v>0</v>
      </c>
      <c r="AE140" s="401"/>
      <c r="AF140" s="401"/>
      <c r="AG140" s="401">
        <v>0</v>
      </c>
      <c r="AH140" s="401"/>
      <c r="AI140" s="401"/>
      <c r="AJ140" s="401">
        <v>0</v>
      </c>
      <c r="AK140" s="401"/>
      <c r="AL140" s="401"/>
      <c r="AM140" s="401"/>
      <c r="AN140" s="401"/>
      <c r="AO140" s="401"/>
      <c r="AP140" s="401"/>
      <c r="AQ140" s="401"/>
      <c r="AR140" s="401"/>
      <c r="AS140" s="401">
        <v>0</v>
      </c>
      <c r="AT140" s="401"/>
      <c r="AU140" s="401"/>
      <c r="AV140" s="401">
        <v>0</v>
      </c>
      <c r="AW140" s="401"/>
      <c r="AX140" s="401"/>
      <c r="AY140" s="401"/>
      <c r="AZ140" s="401"/>
      <c r="BA140" s="401"/>
      <c r="BB140" s="401"/>
      <c r="BC140" s="401"/>
      <c r="BD140" s="401"/>
      <c r="BE140" s="401">
        <v>0</v>
      </c>
      <c r="BF140" s="401"/>
      <c r="BG140" s="401"/>
      <c r="BH140" s="401">
        <v>0</v>
      </c>
      <c r="BI140" s="401"/>
      <c r="BJ140" s="401"/>
      <c r="BK140" s="672">
        <f>100000000+80000000+60000000</f>
        <v>240000000</v>
      </c>
      <c r="BL140" s="402">
        <v>58500000</v>
      </c>
      <c r="BM140" s="402">
        <v>31900000</v>
      </c>
      <c r="BN140" s="402"/>
      <c r="BO140" s="402"/>
      <c r="BP140" s="402"/>
      <c r="BQ140" s="401">
        <v>0</v>
      </c>
      <c r="BR140" s="403"/>
      <c r="BS140" s="403"/>
      <c r="BT140" s="403"/>
      <c r="BU140" s="403"/>
      <c r="BV140" s="403"/>
      <c r="BW140" s="403">
        <v>0</v>
      </c>
      <c r="BX140" s="403"/>
      <c r="BY140" s="403"/>
      <c r="BZ140" s="401">
        <f t="shared" si="46"/>
        <v>820000000</v>
      </c>
      <c r="CA140" s="401">
        <f t="shared" si="46"/>
        <v>462869991</v>
      </c>
      <c r="CB140" s="401">
        <f t="shared" si="46"/>
        <v>328560000</v>
      </c>
    </row>
    <row r="141" spans="1:80" ht="54" customHeight="1" x14ac:dyDescent="0.2">
      <c r="A141" s="42"/>
      <c r="B141" s="42"/>
      <c r="C141" s="895">
        <v>12</v>
      </c>
      <c r="D141" s="890" t="s">
        <v>202</v>
      </c>
      <c r="E141" s="895">
        <v>3166</v>
      </c>
      <c r="F141" s="895">
        <v>2500</v>
      </c>
      <c r="G141" s="49"/>
      <c r="H141" s="57">
        <v>221</v>
      </c>
      <c r="I141" s="729" t="s">
        <v>211</v>
      </c>
      <c r="J141" s="44">
        <v>1</v>
      </c>
      <c r="K141" s="45">
        <v>1</v>
      </c>
      <c r="L141" s="112">
        <v>0.5</v>
      </c>
      <c r="M141" s="885"/>
      <c r="N141" s="888"/>
      <c r="O141" s="883"/>
      <c r="P141" s="891"/>
      <c r="Q141" s="57" t="s">
        <v>52</v>
      </c>
      <c r="R141" s="401">
        <v>0</v>
      </c>
      <c r="S141" s="401"/>
      <c r="T141" s="401"/>
      <c r="U141" s="401">
        <v>0</v>
      </c>
      <c r="V141" s="401"/>
      <c r="W141" s="401"/>
      <c r="X141" s="401">
        <v>0</v>
      </c>
      <c r="Y141" s="401"/>
      <c r="Z141" s="401"/>
      <c r="AA141" s="402">
        <v>23300000</v>
      </c>
      <c r="AB141" s="402"/>
      <c r="AC141" s="402"/>
      <c r="AD141" s="401">
        <v>0</v>
      </c>
      <c r="AE141" s="401"/>
      <c r="AF141" s="401"/>
      <c r="AG141" s="401">
        <v>0</v>
      </c>
      <c r="AH141" s="401"/>
      <c r="AI141" s="401"/>
      <c r="AJ141" s="401">
        <v>0</v>
      </c>
      <c r="AK141" s="401"/>
      <c r="AL141" s="401"/>
      <c r="AM141" s="401"/>
      <c r="AN141" s="401"/>
      <c r="AO141" s="401"/>
      <c r="AP141" s="401"/>
      <c r="AQ141" s="401"/>
      <c r="AR141" s="401"/>
      <c r="AS141" s="401">
        <v>0</v>
      </c>
      <c r="AT141" s="401"/>
      <c r="AU141" s="401"/>
      <c r="AV141" s="401">
        <v>0</v>
      </c>
      <c r="AW141" s="401"/>
      <c r="AX141" s="401"/>
      <c r="AY141" s="401"/>
      <c r="AZ141" s="401"/>
      <c r="BA141" s="401"/>
      <c r="BB141" s="401"/>
      <c r="BC141" s="401"/>
      <c r="BD141" s="401"/>
      <c r="BE141" s="401">
        <v>0</v>
      </c>
      <c r="BF141" s="401"/>
      <c r="BG141" s="401"/>
      <c r="BH141" s="401">
        <v>0</v>
      </c>
      <c r="BI141" s="401"/>
      <c r="BJ141" s="401"/>
      <c r="BK141" s="402">
        <v>8000000</v>
      </c>
      <c r="BL141" s="402"/>
      <c r="BM141" s="402"/>
      <c r="BN141" s="402"/>
      <c r="BO141" s="402"/>
      <c r="BP141" s="402"/>
      <c r="BQ141" s="401">
        <v>0</v>
      </c>
      <c r="BR141" s="403"/>
      <c r="BS141" s="403"/>
      <c r="BT141" s="403"/>
      <c r="BU141" s="403"/>
      <c r="BV141" s="403"/>
      <c r="BW141" s="403">
        <v>0</v>
      </c>
      <c r="BX141" s="403"/>
      <c r="BY141" s="403"/>
      <c r="BZ141" s="401">
        <f t="shared" si="46"/>
        <v>31300000</v>
      </c>
      <c r="CA141" s="401">
        <f t="shared" si="46"/>
        <v>0</v>
      </c>
      <c r="CB141" s="401">
        <f t="shared" si="46"/>
        <v>0</v>
      </c>
    </row>
    <row r="142" spans="1:80" ht="54" customHeight="1" x14ac:dyDescent="0.2">
      <c r="A142" s="42"/>
      <c r="B142" s="42"/>
      <c r="C142" s="883"/>
      <c r="D142" s="891"/>
      <c r="E142" s="883"/>
      <c r="F142" s="883"/>
      <c r="G142" s="92"/>
      <c r="H142" s="57">
        <v>222</v>
      </c>
      <c r="I142" s="729" t="s">
        <v>212</v>
      </c>
      <c r="J142" s="44">
        <v>1</v>
      </c>
      <c r="K142" s="45">
        <v>1</v>
      </c>
      <c r="L142" s="112">
        <v>0.5</v>
      </c>
      <c r="M142" s="886"/>
      <c r="N142" s="889"/>
      <c r="O142" s="898"/>
      <c r="P142" s="892"/>
      <c r="Q142" s="57" t="s">
        <v>52</v>
      </c>
      <c r="R142" s="401">
        <v>0</v>
      </c>
      <c r="S142" s="401"/>
      <c r="T142" s="401"/>
      <c r="U142" s="401">
        <v>0</v>
      </c>
      <c r="V142" s="401"/>
      <c r="W142" s="401"/>
      <c r="X142" s="401">
        <v>0</v>
      </c>
      <c r="Y142" s="401"/>
      <c r="Z142" s="401"/>
      <c r="AA142" s="401">
        <v>23300000</v>
      </c>
      <c r="AB142" s="401"/>
      <c r="AC142" s="401"/>
      <c r="AD142" s="401">
        <v>0</v>
      </c>
      <c r="AE142" s="401"/>
      <c r="AF142" s="401"/>
      <c r="AG142" s="401">
        <v>0</v>
      </c>
      <c r="AH142" s="401"/>
      <c r="AI142" s="401"/>
      <c r="AJ142" s="401">
        <v>0</v>
      </c>
      <c r="AK142" s="401"/>
      <c r="AL142" s="401"/>
      <c r="AM142" s="401"/>
      <c r="AN142" s="401"/>
      <c r="AO142" s="401"/>
      <c r="AP142" s="401"/>
      <c r="AQ142" s="401"/>
      <c r="AR142" s="401"/>
      <c r="AS142" s="401">
        <v>0</v>
      </c>
      <c r="AT142" s="401"/>
      <c r="AU142" s="401"/>
      <c r="AV142" s="401">
        <v>0</v>
      </c>
      <c r="AW142" s="401"/>
      <c r="AX142" s="401"/>
      <c r="AY142" s="401"/>
      <c r="AZ142" s="401"/>
      <c r="BA142" s="401"/>
      <c r="BB142" s="401"/>
      <c r="BC142" s="401"/>
      <c r="BD142" s="401"/>
      <c r="BE142" s="401">
        <v>0</v>
      </c>
      <c r="BF142" s="401"/>
      <c r="BG142" s="401"/>
      <c r="BH142" s="401">
        <v>0</v>
      </c>
      <c r="BI142" s="403"/>
      <c r="BJ142" s="403"/>
      <c r="BK142" s="404">
        <v>12000000</v>
      </c>
      <c r="BL142" s="404">
        <v>2500000</v>
      </c>
      <c r="BM142" s="404">
        <v>2500000</v>
      </c>
      <c r="BN142" s="404"/>
      <c r="BO142" s="404"/>
      <c r="BP142" s="404"/>
      <c r="BQ142" s="401">
        <v>0</v>
      </c>
      <c r="BR142" s="403"/>
      <c r="BS142" s="403"/>
      <c r="BT142" s="403"/>
      <c r="BU142" s="403"/>
      <c r="BV142" s="403"/>
      <c r="BW142" s="403">
        <v>0</v>
      </c>
      <c r="BX142" s="403"/>
      <c r="BY142" s="403"/>
      <c r="BZ142" s="401">
        <f t="shared" si="46"/>
        <v>35300000</v>
      </c>
      <c r="CA142" s="401">
        <f t="shared" si="46"/>
        <v>2500000</v>
      </c>
      <c r="CB142" s="401">
        <f t="shared" si="46"/>
        <v>2500000</v>
      </c>
    </row>
    <row r="143" spans="1:80" ht="30" customHeight="1" x14ac:dyDescent="0.2">
      <c r="A143" s="42"/>
      <c r="B143" s="55"/>
      <c r="C143" s="714"/>
      <c r="D143" s="709"/>
      <c r="E143" s="714"/>
      <c r="F143" s="714"/>
      <c r="G143" s="335"/>
      <c r="H143" s="591"/>
      <c r="I143" s="335"/>
      <c r="J143" s="335"/>
      <c r="K143" s="590"/>
      <c r="L143" s="590"/>
      <c r="M143" s="590"/>
      <c r="N143" s="591"/>
      <c r="O143" s="591"/>
      <c r="P143" s="335"/>
      <c r="Q143" s="335"/>
      <c r="R143" s="503">
        <f t="shared" ref="R143:BY143" si="47">SUM(R139:R142)</f>
        <v>0</v>
      </c>
      <c r="S143" s="503">
        <f t="shared" si="47"/>
        <v>0</v>
      </c>
      <c r="T143" s="503">
        <f t="shared" si="47"/>
        <v>0</v>
      </c>
      <c r="U143" s="503">
        <f t="shared" si="47"/>
        <v>0</v>
      </c>
      <c r="V143" s="503">
        <f t="shared" si="47"/>
        <v>0</v>
      </c>
      <c r="W143" s="503">
        <f t="shared" si="47"/>
        <v>0</v>
      </c>
      <c r="X143" s="503">
        <f t="shared" si="47"/>
        <v>0</v>
      </c>
      <c r="Y143" s="503">
        <f t="shared" si="47"/>
        <v>0</v>
      </c>
      <c r="Z143" s="503">
        <f t="shared" si="47"/>
        <v>0</v>
      </c>
      <c r="AA143" s="503">
        <f t="shared" si="47"/>
        <v>1138561488</v>
      </c>
      <c r="AB143" s="503">
        <f t="shared" si="47"/>
        <v>733669991</v>
      </c>
      <c r="AC143" s="503">
        <f t="shared" si="47"/>
        <v>568040000</v>
      </c>
      <c r="AD143" s="503">
        <f t="shared" si="47"/>
        <v>0</v>
      </c>
      <c r="AE143" s="503">
        <f t="shared" si="47"/>
        <v>0</v>
      </c>
      <c r="AF143" s="503">
        <f t="shared" si="47"/>
        <v>0</v>
      </c>
      <c r="AG143" s="503">
        <f t="shared" si="47"/>
        <v>0</v>
      </c>
      <c r="AH143" s="503">
        <f t="shared" si="47"/>
        <v>0</v>
      </c>
      <c r="AI143" s="503">
        <f t="shared" si="47"/>
        <v>0</v>
      </c>
      <c r="AJ143" s="503">
        <f t="shared" si="47"/>
        <v>0</v>
      </c>
      <c r="AK143" s="503">
        <f t="shared" si="47"/>
        <v>0</v>
      </c>
      <c r="AL143" s="503">
        <f t="shared" si="47"/>
        <v>0</v>
      </c>
      <c r="AM143" s="503">
        <f t="shared" si="47"/>
        <v>0</v>
      </c>
      <c r="AN143" s="503">
        <f t="shared" si="47"/>
        <v>0</v>
      </c>
      <c r="AO143" s="503">
        <f t="shared" si="47"/>
        <v>0</v>
      </c>
      <c r="AP143" s="503">
        <f t="shared" si="47"/>
        <v>0</v>
      </c>
      <c r="AQ143" s="503">
        <f t="shared" si="47"/>
        <v>0</v>
      </c>
      <c r="AR143" s="503">
        <f t="shared" si="47"/>
        <v>0</v>
      </c>
      <c r="AS143" s="503">
        <f t="shared" si="47"/>
        <v>0</v>
      </c>
      <c r="AT143" s="503">
        <f t="shared" si="47"/>
        <v>0</v>
      </c>
      <c r="AU143" s="503">
        <f t="shared" si="47"/>
        <v>0</v>
      </c>
      <c r="AV143" s="503">
        <f t="shared" si="47"/>
        <v>0</v>
      </c>
      <c r="AW143" s="503">
        <f t="shared" si="47"/>
        <v>0</v>
      </c>
      <c r="AX143" s="503">
        <f t="shared" si="47"/>
        <v>0</v>
      </c>
      <c r="AY143" s="503">
        <f t="shared" si="47"/>
        <v>0</v>
      </c>
      <c r="AZ143" s="503">
        <f t="shared" si="47"/>
        <v>0</v>
      </c>
      <c r="BA143" s="503">
        <f t="shared" si="47"/>
        <v>0</v>
      </c>
      <c r="BB143" s="503">
        <f t="shared" si="47"/>
        <v>0</v>
      </c>
      <c r="BC143" s="503">
        <f t="shared" si="47"/>
        <v>0</v>
      </c>
      <c r="BD143" s="503">
        <f t="shared" si="47"/>
        <v>0</v>
      </c>
      <c r="BE143" s="503">
        <f t="shared" si="47"/>
        <v>0</v>
      </c>
      <c r="BF143" s="503">
        <f t="shared" si="47"/>
        <v>0</v>
      </c>
      <c r="BG143" s="503">
        <f t="shared" si="47"/>
        <v>0</v>
      </c>
      <c r="BH143" s="503">
        <f t="shared" si="47"/>
        <v>0</v>
      </c>
      <c r="BI143" s="503">
        <f t="shared" si="47"/>
        <v>0</v>
      </c>
      <c r="BJ143" s="503">
        <f t="shared" si="47"/>
        <v>0</v>
      </c>
      <c r="BK143" s="503">
        <f t="shared" si="47"/>
        <v>260000000</v>
      </c>
      <c r="BL143" s="503">
        <f t="shared" si="47"/>
        <v>61000000</v>
      </c>
      <c r="BM143" s="503">
        <f t="shared" si="47"/>
        <v>34400000</v>
      </c>
      <c r="BN143" s="503">
        <f t="shared" si="47"/>
        <v>0</v>
      </c>
      <c r="BO143" s="503">
        <f t="shared" si="47"/>
        <v>0</v>
      </c>
      <c r="BP143" s="503">
        <f t="shared" si="47"/>
        <v>0</v>
      </c>
      <c r="BQ143" s="503">
        <f t="shared" si="47"/>
        <v>0</v>
      </c>
      <c r="BR143" s="503">
        <f t="shared" si="47"/>
        <v>0</v>
      </c>
      <c r="BS143" s="503">
        <f t="shared" si="47"/>
        <v>0</v>
      </c>
      <c r="BT143" s="503">
        <f t="shared" si="47"/>
        <v>0</v>
      </c>
      <c r="BU143" s="503">
        <f t="shared" si="47"/>
        <v>0</v>
      </c>
      <c r="BV143" s="503">
        <f t="shared" si="47"/>
        <v>0</v>
      </c>
      <c r="BW143" s="503">
        <f t="shared" si="47"/>
        <v>0</v>
      </c>
      <c r="BX143" s="503">
        <f t="shared" si="47"/>
        <v>0</v>
      </c>
      <c r="BY143" s="503">
        <f t="shared" si="47"/>
        <v>0</v>
      </c>
      <c r="BZ143" s="503">
        <f t="shared" ref="BZ143:CB143" si="48">SUM(BZ139:BZ142)</f>
        <v>1398561488</v>
      </c>
      <c r="CA143" s="503">
        <f t="shared" si="48"/>
        <v>794669991</v>
      </c>
      <c r="CB143" s="503">
        <f t="shared" si="48"/>
        <v>602440000</v>
      </c>
    </row>
    <row r="144" spans="1:80" ht="30" customHeight="1" x14ac:dyDescent="0.2">
      <c r="A144" s="42"/>
      <c r="B144" s="62"/>
      <c r="C144" s="97"/>
      <c r="D144" s="62"/>
      <c r="E144" s="63"/>
      <c r="F144" s="63"/>
      <c r="G144" s="62"/>
      <c r="H144" s="63"/>
      <c r="I144" s="62"/>
      <c r="J144" s="64"/>
      <c r="K144" s="100"/>
      <c r="L144" s="100"/>
      <c r="M144" s="100"/>
      <c r="N144" s="64"/>
      <c r="O144" s="63"/>
      <c r="P144" s="62"/>
      <c r="Q144" s="63"/>
      <c r="R144" s="416">
        <f t="shared" ref="R144:CB144" si="49">R143+R136</f>
        <v>0</v>
      </c>
      <c r="S144" s="416">
        <f t="shared" si="49"/>
        <v>0</v>
      </c>
      <c r="T144" s="416">
        <f t="shared" si="49"/>
        <v>0</v>
      </c>
      <c r="U144" s="416">
        <f t="shared" si="49"/>
        <v>0</v>
      </c>
      <c r="V144" s="416">
        <f t="shared" si="49"/>
        <v>0</v>
      </c>
      <c r="W144" s="416">
        <f t="shared" si="49"/>
        <v>0</v>
      </c>
      <c r="X144" s="416">
        <f t="shared" si="49"/>
        <v>0</v>
      </c>
      <c r="Y144" s="416">
        <f t="shared" si="49"/>
        <v>0</v>
      </c>
      <c r="Z144" s="416">
        <f t="shared" si="49"/>
        <v>0</v>
      </c>
      <c r="AA144" s="416">
        <f t="shared" si="49"/>
        <v>7014956012.3800001</v>
      </c>
      <c r="AB144" s="416">
        <f t="shared" si="49"/>
        <v>1459102717</v>
      </c>
      <c r="AC144" s="416">
        <f t="shared" si="49"/>
        <v>1021140213</v>
      </c>
      <c r="AD144" s="416">
        <f t="shared" si="49"/>
        <v>0</v>
      </c>
      <c r="AE144" s="416">
        <f t="shared" si="49"/>
        <v>0</v>
      </c>
      <c r="AF144" s="416">
        <f t="shared" si="49"/>
        <v>0</v>
      </c>
      <c r="AG144" s="416">
        <f t="shared" si="49"/>
        <v>0</v>
      </c>
      <c r="AH144" s="416">
        <f t="shared" si="49"/>
        <v>0</v>
      </c>
      <c r="AI144" s="416">
        <f t="shared" si="49"/>
        <v>0</v>
      </c>
      <c r="AJ144" s="416">
        <f t="shared" si="49"/>
        <v>0</v>
      </c>
      <c r="AK144" s="416">
        <f t="shared" si="49"/>
        <v>0</v>
      </c>
      <c r="AL144" s="416">
        <f t="shared" si="49"/>
        <v>0</v>
      </c>
      <c r="AM144" s="416">
        <f t="shared" si="49"/>
        <v>0</v>
      </c>
      <c r="AN144" s="416">
        <f t="shared" si="49"/>
        <v>0</v>
      </c>
      <c r="AO144" s="416">
        <f t="shared" si="49"/>
        <v>0</v>
      </c>
      <c r="AP144" s="416">
        <f t="shared" si="49"/>
        <v>0</v>
      </c>
      <c r="AQ144" s="416">
        <f t="shared" si="49"/>
        <v>0</v>
      </c>
      <c r="AR144" s="416">
        <f t="shared" si="49"/>
        <v>0</v>
      </c>
      <c r="AS144" s="416">
        <f t="shared" si="49"/>
        <v>0</v>
      </c>
      <c r="AT144" s="416">
        <f t="shared" si="49"/>
        <v>0</v>
      </c>
      <c r="AU144" s="416">
        <f t="shared" si="49"/>
        <v>0</v>
      </c>
      <c r="AV144" s="416">
        <f t="shared" si="49"/>
        <v>0</v>
      </c>
      <c r="AW144" s="416">
        <f t="shared" si="49"/>
        <v>0</v>
      </c>
      <c r="AX144" s="416">
        <f t="shared" si="49"/>
        <v>0</v>
      </c>
      <c r="AY144" s="416">
        <f t="shared" si="49"/>
        <v>0</v>
      </c>
      <c r="AZ144" s="416">
        <f t="shared" si="49"/>
        <v>0</v>
      </c>
      <c r="BA144" s="416">
        <f t="shared" si="49"/>
        <v>0</v>
      </c>
      <c r="BB144" s="416">
        <f t="shared" si="49"/>
        <v>0</v>
      </c>
      <c r="BC144" s="416">
        <f t="shared" si="49"/>
        <v>0</v>
      </c>
      <c r="BD144" s="416">
        <f t="shared" si="49"/>
        <v>0</v>
      </c>
      <c r="BE144" s="416">
        <f t="shared" si="49"/>
        <v>0</v>
      </c>
      <c r="BF144" s="416">
        <f t="shared" si="49"/>
        <v>0</v>
      </c>
      <c r="BG144" s="416">
        <f t="shared" si="49"/>
        <v>0</v>
      </c>
      <c r="BH144" s="416">
        <f t="shared" si="49"/>
        <v>0</v>
      </c>
      <c r="BI144" s="416">
        <f t="shared" si="49"/>
        <v>0</v>
      </c>
      <c r="BJ144" s="416">
        <f t="shared" si="49"/>
        <v>0</v>
      </c>
      <c r="BK144" s="416">
        <f t="shared" si="49"/>
        <v>290000000</v>
      </c>
      <c r="BL144" s="416">
        <f t="shared" si="49"/>
        <v>61000000</v>
      </c>
      <c r="BM144" s="416">
        <f t="shared" si="49"/>
        <v>34400000</v>
      </c>
      <c r="BN144" s="416">
        <f t="shared" si="49"/>
        <v>0</v>
      </c>
      <c r="BO144" s="416">
        <f t="shared" si="49"/>
        <v>0</v>
      </c>
      <c r="BP144" s="416">
        <f t="shared" si="49"/>
        <v>0</v>
      </c>
      <c r="BQ144" s="416">
        <f t="shared" si="49"/>
        <v>0</v>
      </c>
      <c r="BR144" s="416">
        <f t="shared" si="49"/>
        <v>0</v>
      </c>
      <c r="BS144" s="416">
        <f t="shared" si="49"/>
        <v>0</v>
      </c>
      <c r="BT144" s="416">
        <f t="shared" si="49"/>
        <v>0</v>
      </c>
      <c r="BU144" s="416">
        <f t="shared" si="49"/>
        <v>0</v>
      </c>
      <c r="BV144" s="416">
        <f t="shared" si="49"/>
        <v>0</v>
      </c>
      <c r="BW144" s="416">
        <f t="shared" si="49"/>
        <v>0</v>
      </c>
      <c r="BX144" s="416">
        <f t="shared" si="49"/>
        <v>0</v>
      </c>
      <c r="BY144" s="416">
        <f t="shared" si="49"/>
        <v>0</v>
      </c>
      <c r="BZ144" s="416">
        <f t="shared" si="49"/>
        <v>7304956012.3800001</v>
      </c>
      <c r="CA144" s="416">
        <f t="shared" si="49"/>
        <v>1520102717</v>
      </c>
      <c r="CB144" s="416">
        <f t="shared" si="49"/>
        <v>1055540213</v>
      </c>
    </row>
    <row r="145" spans="1:80" ht="30" customHeight="1" x14ac:dyDescent="0.2">
      <c r="A145" s="42"/>
      <c r="B145" s="729"/>
      <c r="C145" s="150"/>
      <c r="D145" s="72"/>
      <c r="E145" s="150"/>
      <c r="F145" s="150"/>
      <c r="G145" s="72"/>
      <c r="H145" s="150"/>
      <c r="I145" s="72"/>
      <c r="J145" s="73"/>
      <c r="K145" s="83"/>
      <c r="L145" s="171"/>
      <c r="M145" s="171"/>
      <c r="N145" s="119"/>
      <c r="O145" s="400"/>
      <c r="P145" s="101"/>
      <c r="Q145" s="150"/>
      <c r="R145" s="405"/>
      <c r="S145" s="405"/>
      <c r="T145" s="405"/>
      <c r="U145" s="406"/>
      <c r="V145" s="406"/>
      <c r="W145" s="406"/>
      <c r="X145" s="405"/>
      <c r="Y145" s="405"/>
      <c r="Z145" s="405"/>
      <c r="AA145" s="405"/>
      <c r="AB145" s="405"/>
      <c r="AC145" s="405"/>
      <c r="AD145" s="405"/>
      <c r="AE145" s="405"/>
      <c r="AF145" s="405"/>
      <c r="AG145" s="405"/>
      <c r="AH145" s="405"/>
      <c r="AI145" s="405"/>
      <c r="AJ145" s="405"/>
      <c r="AK145" s="405"/>
      <c r="AL145" s="405"/>
      <c r="AM145" s="405"/>
      <c r="AN145" s="405"/>
      <c r="AO145" s="405"/>
      <c r="AP145" s="405"/>
      <c r="AQ145" s="405"/>
      <c r="AR145" s="405"/>
      <c r="AS145" s="405"/>
      <c r="AT145" s="405"/>
      <c r="AU145" s="405"/>
      <c r="AV145" s="405"/>
      <c r="AW145" s="405"/>
      <c r="AX145" s="405"/>
      <c r="AY145" s="406"/>
      <c r="AZ145" s="406"/>
      <c r="BA145" s="406"/>
      <c r="BB145" s="406"/>
      <c r="BC145" s="406"/>
      <c r="BD145" s="406"/>
      <c r="BE145" s="405"/>
      <c r="BF145" s="405"/>
      <c r="BG145" s="405"/>
      <c r="BH145" s="405"/>
      <c r="BI145" s="405"/>
      <c r="BJ145" s="405"/>
      <c r="BK145" s="407"/>
      <c r="BL145" s="407"/>
      <c r="BM145" s="407"/>
      <c r="BN145" s="408"/>
      <c r="BO145" s="408"/>
      <c r="BP145" s="408"/>
      <c r="BQ145" s="405"/>
      <c r="BR145" s="405"/>
      <c r="BS145" s="405"/>
      <c r="BT145" s="405"/>
      <c r="BU145" s="405"/>
      <c r="BV145" s="405"/>
      <c r="BW145" s="406"/>
      <c r="BX145" s="406"/>
      <c r="BY145" s="406"/>
      <c r="BZ145" s="405"/>
      <c r="CA145" s="405"/>
      <c r="CB145" s="409"/>
    </row>
    <row r="146" spans="1:80" ht="30" customHeight="1" x14ac:dyDescent="0.2">
      <c r="A146" s="42"/>
      <c r="B146" s="152">
        <v>24</v>
      </c>
      <c r="C146" s="38" t="s">
        <v>213</v>
      </c>
      <c r="D146" s="39"/>
      <c r="E146" s="39"/>
      <c r="F146" s="39"/>
      <c r="G146" s="39"/>
      <c r="H146" s="40"/>
      <c r="I146" s="39"/>
      <c r="J146" s="39"/>
      <c r="K146" s="90"/>
      <c r="L146" s="90"/>
      <c r="M146" s="90"/>
      <c r="N146" s="40"/>
      <c r="O146" s="40"/>
      <c r="P146" s="39"/>
      <c r="Q146" s="39"/>
      <c r="R146" s="412"/>
      <c r="S146" s="412"/>
      <c r="T146" s="412"/>
      <c r="U146" s="412"/>
      <c r="V146" s="412"/>
      <c r="W146" s="412"/>
      <c r="X146" s="412"/>
      <c r="Y146" s="412"/>
      <c r="Z146" s="412"/>
      <c r="AA146" s="412"/>
      <c r="AB146" s="412"/>
      <c r="AC146" s="412"/>
      <c r="AD146" s="412"/>
      <c r="AE146" s="412"/>
      <c r="AF146" s="412"/>
      <c r="AG146" s="412"/>
      <c r="AH146" s="412"/>
      <c r="AI146" s="412"/>
      <c r="AJ146" s="412"/>
      <c r="AK146" s="412"/>
      <c r="AL146" s="412"/>
      <c r="AM146" s="412"/>
      <c r="AN146" s="412"/>
      <c r="AO146" s="412"/>
      <c r="AP146" s="412"/>
      <c r="AQ146" s="412"/>
      <c r="AR146" s="412"/>
      <c r="AS146" s="412"/>
      <c r="AT146" s="412"/>
      <c r="AU146" s="412"/>
      <c r="AV146" s="412"/>
      <c r="AW146" s="412"/>
      <c r="AX146" s="412"/>
      <c r="AY146" s="412"/>
      <c r="AZ146" s="412"/>
      <c r="BA146" s="412"/>
      <c r="BB146" s="412"/>
      <c r="BC146" s="412"/>
      <c r="BD146" s="412"/>
      <c r="BE146" s="412"/>
      <c r="BF146" s="412"/>
      <c r="BG146" s="412"/>
      <c r="BH146" s="412"/>
      <c r="BI146" s="412"/>
      <c r="BJ146" s="412"/>
      <c r="BK146" s="413"/>
      <c r="BL146" s="413"/>
      <c r="BM146" s="413"/>
      <c r="BN146" s="412"/>
      <c r="BO146" s="412"/>
      <c r="BP146" s="412"/>
      <c r="BQ146" s="412"/>
      <c r="BR146" s="412"/>
      <c r="BS146" s="412"/>
      <c r="BT146" s="412"/>
      <c r="BU146" s="412"/>
      <c r="BV146" s="412"/>
      <c r="BW146" s="412"/>
      <c r="BX146" s="412"/>
      <c r="BY146" s="412"/>
      <c r="BZ146" s="417"/>
      <c r="CA146" s="417"/>
      <c r="CB146" s="417"/>
    </row>
    <row r="147" spans="1:80" ht="30" customHeight="1" x14ac:dyDescent="0.2">
      <c r="A147" s="42"/>
      <c r="B147" s="43"/>
      <c r="C147" s="713"/>
      <c r="D147" s="535"/>
      <c r="E147" s="535"/>
      <c r="F147" s="535"/>
      <c r="G147" s="203">
        <v>78</v>
      </c>
      <c r="H147" s="105" t="s">
        <v>214</v>
      </c>
      <c r="I147" s="105"/>
      <c r="J147" s="105"/>
      <c r="K147" s="106"/>
      <c r="L147" s="106"/>
      <c r="M147" s="106"/>
      <c r="N147" s="391"/>
      <c r="O147" s="391"/>
      <c r="P147" s="105"/>
      <c r="Q147" s="105"/>
      <c r="R147" s="418"/>
      <c r="S147" s="418"/>
      <c r="T147" s="418"/>
      <c r="U147" s="418"/>
      <c r="V147" s="418"/>
      <c r="W147" s="418"/>
      <c r="X147" s="418"/>
      <c r="Y147" s="418"/>
      <c r="Z147" s="418"/>
      <c r="AA147" s="418"/>
      <c r="AB147" s="418"/>
      <c r="AC147" s="418"/>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8"/>
      <c r="AY147" s="418"/>
      <c r="AZ147" s="418"/>
      <c r="BA147" s="418"/>
      <c r="BB147" s="418"/>
      <c r="BC147" s="418"/>
      <c r="BD147" s="418"/>
      <c r="BE147" s="418"/>
      <c r="BF147" s="418"/>
      <c r="BG147" s="418"/>
      <c r="BH147" s="418"/>
      <c r="BI147" s="418"/>
      <c r="BJ147" s="418"/>
      <c r="BK147" s="419"/>
      <c r="BL147" s="419"/>
      <c r="BM147" s="419"/>
      <c r="BN147" s="418"/>
      <c r="BO147" s="418"/>
      <c r="BP147" s="418"/>
      <c r="BQ147" s="418"/>
      <c r="BR147" s="418"/>
      <c r="BS147" s="418"/>
      <c r="BT147" s="418"/>
      <c r="BU147" s="418"/>
      <c r="BV147" s="418"/>
      <c r="BW147" s="418"/>
      <c r="BX147" s="418"/>
      <c r="BY147" s="418"/>
      <c r="BZ147" s="420"/>
      <c r="CA147" s="420"/>
      <c r="CB147" s="420"/>
    </row>
    <row r="148" spans="1:80" ht="66" customHeight="1" x14ac:dyDescent="0.2">
      <c r="A148" s="42"/>
      <c r="B148" s="49"/>
      <c r="C148" s="883">
        <v>13</v>
      </c>
      <c r="D148" s="891" t="s">
        <v>215</v>
      </c>
      <c r="E148" s="883" t="s">
        <v>216</v>
      </c>
      <c r="F148" s="883" t="s">
        <v>217</v>
      </c>
      <c r="G148" s="43"/>
      <c r="H148" s="57">
        <v>226</v>
      </c>
      <c r="I148" s="729" t="s">
        <v>218</v>
      </c>
      <c r="J148" s="44">
        <v>12</v>
      </c>
      <c r="K148" s="45">
        <v>12</v>
      </c>
      <c r="L148" s="45">
        <v>11</v>
      </c>
      <c r="M148" s="884">
        <v>2017003630018</v>
      </c>
      <c r="N148" s="895" t="s">
        <v>219</v>
      </c>
      <c r="O148" s="895" t="s">
        <v>220</v>
      </c>
      <c r="P148" s="890" t="s">
        <v>221</v>
      </c>
      <c r="Q148" s="169" t="s">
        <v>52</v>
      </c>
      <c r="R148" s="401">
        <v>0</v>
      </c>
      <c r="S148" s="401"/>
      <c r="T148" s="401"/>
      <c r="U148" s="401">
        <v>0</v>
      </c>
      <c r="V148" s="401"/>
      <c r="W148" s="401"/>
      <c r="X148" s="401">
        <v>0</v>
      </c>
      <c r="Y148" s="401"/>
      <c r="Z148" s="401"/>
      <c r="AA148" s="401">
        <v>0</v>
      </c>
      <c r="AB148" s="401"/>
      <c r="AC148" s="401"/>
      <c r="AD148" s="401">
        <v>0</v>
      </c>
      <c r="AE148" s="401"/>
      <c r="AF148" s="401"/>
      <c r="AG148" s="401">
        <v>0</v>
      </c>
      <c r="AH148" s="401"/>
      <c r="AI148" s="401"/>
      <c r="AJ148" s="401">
        <v>0</v>
      </c>
      <c r="AK148" s="401"/>
      <c r="AL148" s="401"/>
      <c r="AM148" s="401"/>
      <c r="AN148" s="401"/>
      <c r="AO148" s="401"/>
      <c r="AP148" s="401"/>
      <c r="AQ148" s="401"/>
      <c r="AR148" s="401"/>
      <c r="AS148" s="401">
        <v>0</v>
      </c>
      <c r="AT148" s="401"/>
      <c r="AU148" s="401"/>
      <c r="AV148" s="401">
        <v>0</v>
      </c>
      <c r="AW148" s="401"/>
      <c r="AX148" s="401"/>
      <c r="AY148" s="401"/>
      <c r="AZ148" s="401"/>
      <c r="BA148" s="401"/>
      <c r="BB148" s="401"/>
      <c r="BC148" s="401"/>
      <c r="BD148" s="401"/>
      <c r="BE148" s="401">
        <v>0</v>
      </c>
      <c r="BF148" s="401"/>
      <c r="BG148" s="401"/>
      <c r="BH148" s="401">
        <v>0</v>
      </c>
      <c r="BI148" s="401"/>
      <c r="BJ148" s="401"/>
      <c r="BK148" s="402">
        <f>170000000+40000000</f>
        <v>210000000</v>
      </c>
      <c r="BL148" s="402">
        <v>117509487</v>
      </c>
      <c r="BM148" s="402">
        <v>83613887</v>
      </c>
      <c r="BN148" s="402"/>
      <c r="BO148" s="402"/>
      <c r="BP148" s="402"/>
      <c r="BQ148" s="401">
        <v>0</v>
      </c>
      <c r="BR148" s="403"/>
      <c r="BS148" s="403"/>
      <c r="BT148" s="403"/>
      <c r="BU148" s="403"/>
      <c r="BV148" s="403"/>
      <c r="BW148" s="403">
        <v>0</v>
      </c>
      <c r="BX148" s="403"/>
      <c r="BY148" s="403"/>
      <c r="BZ148" s="401">
        <f t="shared" ref="BZ148:CB152" si="50">R148+U148+X148+AA148+AD148+AG148+AJ148+AM148+AP148+AS148+AV148+AY148+BB148+BE148+BH148+BK148+BN148+BQ148+BT148+BW148</f>
        <v>210000000</v>
      </c>
      <c r="CA148" s="401">
        <f t="shared" si="50"/>
        <v>117509487</v>
      </c>
      <c r="CB148" s="401">
        <f t="shared" si="50"/>
        <v>83613887</v>
      </c>
    </row>
    <row r="149" spans="1:80" ht="66" customHeight="1" x14ac:dyDescent="0.2">
      <c r="A149" s="42"/>
      <c r="B149" s="49"/>
      <c r="C149" s="883"/>
      <c r="D149" s="891"/>
      <c r="E149" s="883"/>
      <c r="F149" s="883"/>
      <c r="G149" s="49"/>
      <c r="H149" s="57">
        <v>227</v>
      </c>
      <c r="I149" s="729" t="s">
        <v>222</v>
      </c>
      <c r="J149" s="44">
        <v>12</v>
      </c>
      <c r="K149" s="45">
        <v>12</v>
      </c>
      <c r="L149" s="45">
        <v>6</v>
      </c>
      <c r="M149" s="885"/>
      <c r="N149" s="883"/>
      <c r="O149" s="883"/>
      <c r="P149" s="891"/>
      <c r="Q149" s="169" t="s">
        <v>52</v>
      </c>
      <c r="R149" s="401">
        <v>0</v>
      </c>
      <c r="S149" s="401"/>
      <c r="T149" s="401"/>
      <c r="U149" s="401">
        <v>0</v>
      </c>
      <c r="V149" s="401"/>
      <c r="W149" s="401"/>
      <c r="X149" s="401">
        <v>0</v>
      </c>
      <c r="Y149" s="401"/>
      <c r="Z149" s="401"/>
      <c r="AA149" s="401">
        <v>0</v>
      </c>
      <c r="AB149" s="401"/>
      <c r="AC149" s="401"/>
      <c r="AD149" s="401">
        <v>0</v>
      </c>
      <c r="AE149" s="401"/>
      <c r="AF149" s="401"/>
      <c r="AG149" s="401">
        <v>0</v>
      </c>
      <c r="AH149" s="401"/>
      <c r="AI149" s="401"/>
      <c r="AJ149" s="401">
        <v>0</v>
      </c>
      <c r="AK149" s="401"/>
      <c r="AL149" s="401"/>
      <c r="AM149" s="401"/>
      <c r="AN149" s="401"/>
      <c r="AO149" s="401"/>
      <c r="AP149" s="401"/>
      <c r="AQ149" s="401"/>
      <c r="AR149" s="401"/>
      <c r="AS149" s="401">
        <v>0</v>
      </c>
      <c r="AT149" s="401"/>
      <c r="AU149" s="401"/>
      <c r="AV149" s="401">
        <v>0</v>
      </c>
      <c r="AW149" s="401"/>
      <c r="AX149" s="401"/>
      <c r="AY149" s="401"/>
      <c r="AZ149" s="401"/>
      <c r="BA149" s="401"/>
      <c r="BB149" s="401"/>
      <c r="BC149" s="401"/>
      <c r="BD149" s="401"/>
      <c r="BE149" s="401">
        <v>0</v>
      </c>
      <c r="BF149" s="401"/>
      <c r="BG149" s="401"/>
      <c r="BH149" s="401">
        <v>0</v>
      </c>
      <c r="BI149" s="401"/>
      <c r="BJ149" s="401"/>
      <c r="BK149" s="402">
        <v>190000000</v>
      </c>
      <c r="BL149" s="402">
        <v>33500000</v>
      </c>
      <c r="BM149" s="402">
        <v>19700000</v>
      </c>
      <c r="BN149" s="402"/>
      <c r="BO149" s="402"/>
      <c r="BP149" s="402"/>
      <c r="BQ149" s="401">
        <v>0</v>
      </c>
      <c r="BR149" s="403"/>
      <c r="BS149" s="403"/>
      <c r="BT149" s="403"/>
      <c r="BU149" s="403"/>
      <c r="BV149" s="403"/>
      <c r="BW149" s="403">
        <v>0</v>
      </c>
      <c r="BX149" s="403"/>
      <c r="BY149" s="403"/>
      <c r="BZ149" s="401">
        <f t="shared" si="50"/>
        <v>190000000</v>
      </c>
      <c r="CA149" s="401">
        <f t="shared" si="50"/>
        <v>33500000</v>
      </c>
      <c r="CB149" s="401">
        <f t="shared" si="50"/>
        <v>19700000</v>
      </c>
    </row>
    <row r="150" spans="1:80" ht="66" customHeight="1" x14ac:dyDescent="0.2">
      <c r="A150" s="42"/>
      <c r="B150" s="49"/>
      <c r="C150" s="883"/>
      <c r="D150" s="891"/>
      <c r="E150" s="883"/>
      <c r="F150" s="883"/>
      <c r="G150" s="49"/>
      <c r="H150" s="57">
        <v>228</v>
      </c>
      <c r="I150" s="729" t="s">
        <v>223</v>
      </c>
      <c r="J150" s="44">
        <v>2</v>
      </c>
      <c r="K150" s="45">
        <v>2</v>
      </c>
      <c r="L150" s="112">
        <v>1.5</v>
      </c>
      <c r="M150" s="885"/>
      <c r="N150" s="883"/>
      <c r="O150" s="883"/>
      <c r="P150" s="891"/>
      <c r="Q150" s="169" t="s">
        <v>52</v>
      </c>
      <c r="R150" s="401">
        <v>0</v>
      </c>
      <c r="S150" s="401"/>
      <c r="T150" s="401"/>
      <c r="U150" s="401">
        <v>0</v>
      </c>
      <c r="V150" s="401"/>
      <c r="W150" s="401"/>
      <c r="X150" s="401">
        <v>0</v>
      </c>
      <c r="Y150" s="401"/>
      <c r="Z150" s="401"/>
      <c r="AA150" s="401">
        <v>0</v>
      </c>
      <c r="AB150" s="401"/>
      <c r="AC150" s="401"/>
      <c r="AD150" s="401">
        <v>0</v>
      </c>
      <c r="AE150" s="401"/>
      <c r="AF150" s="401"/>
      <c r="AG150" s="401">
        <v>0</v>
      </c>
      <c r="AH150" s="401"/>
      <c r="AI150" s="401"/>
      <c r="AJ150" s="401">
        <v>0</v>
      </c>
      <c r="AK150" s="401"/>
      <c r="AL150" s="401"/>
      <c r="AM150" s="401"/>
      <c r="AN150" s="401"/>
      <c r="AO150" s="401"/>
      <c r="AP150" s="401"/>
      <c r="AQ150" s="401"/>
      <c r="AR150" s="401"/>
      <c r="AS150" s="401">
        <v>0</v>
      </c>
      <c r="AT150" s="401"/>
      <c r="AU150" s="401"/>
      <c r="AV150" s="401">
        <v>0</v>
      </c>
      <c r="AW150" s="401"/>
      <c r="AX150" s="401"/>
      <c r="AY150" s="401"/>
      <c r="AZ150" s="401"/>
      <c r="BA150" s="401"/>
      <c r="BB150" s="401"/>
      <c r="BC150" s="401"/>
      <c r="BD150" s="401"/>
      <c r="BE150" s="401">
        <v>0</v>
      </c>
      <c r="BF150" s="401"/>
      <c r="BG150" s="401"/>
      <c r="BH150" s="401">
        <v>0</v>
      </c>
      <c r="BI150" s="401"/>
      <c r="BJ150" s="401"/>
      <c r="BK150" s="402">
        <f>30000000+5000000</f>
        <v>35000000</v>
      </c>
      <c r="BL150" s="402">
        <v>21126935</v>
      </c>
      <c r="BM150" s="402">
        <v>21126935</v>
      </c>
      <c r="BN150" s="402"/>
      <c r="BO150" s="402"/>
      <c r="BP150" s="402"/>
      <c r="BQ150" s="401">
        <v>0</v>
      </c>
      <c r="BR150" s="403"/>
      <c r="BS150" s="403"/>
      <c r="BT150" s="403"/>
      <c r="BU150" s="403"/>
      <c r="BV150" s="403"/>
      <c r="BW150" s="403">
        <v>0</v>
      </c>
      <c r="BX150" s="403"/>
      <c r="BY150" s="403"/>
      <c r="BZ150" s="401">
        <f t="shared" si="50"/>
        <v>35000000</v>
      </c>
      <c r="CA150" s="401">
        <f t="shared" si="50"/>
        <v>21126935</v>
      </c>
      <c r="CB150" s="401">
        <f t="shared" si="50"/>
        <v>21126935</v>
      </c>
    </row>
    <row r="151" spans="1:80" ht="66" customHeight="1" x14ac:dyDescent="0.2">
      <c r="A151" s="42"/>
      <c r="B151" s="49"/>
      <c r="C151" s="883"/>
      <c r="D151" s="891"/>
      <c r="E151" s="883"/>
      <c r="F151" s="883"/>
      <c r="G151" s="49"/>
      <c r="H151" s="57">
        <v>229</v>
      </c>
      <c r="I151" s="729" t="s">
        <v>224</v>
      </c>
      <c r="J151" s="174">
        <v>13</v>
      </c>
      <c r="K151" s="45">
        <v>13</v>
      </c>
      <c r="L151" s="45">
        <v>12</v>
      </c>
      <c r="M151" s="885"/>
      <c r="N151" s="883"/>
      <c r="O151" s="883"/>
      <c r="P151" s="891"/>
      <c r="Q151" s="169" t="s">
        <v>52</v>
      </c>
      <c r="R151" s="401">
        <v>0</v>
      </c>
      <c r="S151" s="401"/>
      <c r="T151" s="401"/>
      <c r="U151" s="401">
        <v>0</v>
      </c>
      <c r="V151" s="401"/>
      <c r="W151" s="401"/>
      <c r="X151" s="401">
        <v>0</v>
      </c>
      <c r="Y151" s="401"/>
      <c r="Z151" s="401"/>
      <c r="AA151" s="401">
        <v>0</v>
      </c>
      <c r="AB151" s="401"/>
      <c r="AC151" s="401"/>
      <c r="AD151" s="401">
        <v>0</v>
      </c>
      <c r="AE151" s="401"/>
      <c r="AF151" s="401"/>
      <c r="AG151" s="401">
        <v>0</v>
      </c>
      <c r="AH151" s="401"/>
      <c r="AI151" s="401"/>
      <c r="AJ151" s="401">
        <v>0</v>
      </c>
      <c r="AK151" s="401"/>
      <c r="AL151" s="401"/>
      <c r="AM151" s="401"/>
      <c r="AN151" s="401"/>
      <c r="AO151" s="401"/>
      <c r="AP151" s="401"/>
      <c r="AQ151" s="401"/>
      <c r="AR151" s="401"/>
      <c r="AS151" s="401">
        <v>0</v>
      </c>
      <c r="AT151" s="401"/>
      <c r="AU151" s="401"/>
      <c r="AV151" s="401">
        <v>0</v>
      </c>
      <c r="AW151" s="401"/>
      <c r="AX151" s="401"/>
      <c r="AY151" s="401"/>
      <c r="AZ151" s="401"/>
      <c r="BA151" s="401"/>
      <c r="BB151" s="401"/>
      <c r="BC151" s="401"/>
      <c r="BD151" s="401"/>
      <c r="BE151" s="401">
        <v>0</v>
      </c>
      <c r="BF151" s="401"/>
      <c r="BG151" s="401"/>
      <c r="BH151" s="401">
        <v>0</v>
      </c>
      <c r="BI151" s="401"/>
      <c r="BJ151" s="401"/>
      <c r="BK151" s="402">
        <f>35000000+2500000</f>
        <v>37500000</v>
      </c>
      <c r="BL151" s="402">
        <v>37500000</v>
      </c>
      <c r="BM151" s="402">
        <v>34600000</v>
      </c>
      <c r="BN151" s="402"/>
      <c r="BO151" s="402"/>
      <c r="BP151" s="402"/>
      <c r="BQ151" s="401">
        <v>0</v>
      </c>
      <c r="BR151" s="403"/>
      <c r="BS151" s="403"/>
      <c r="BT151" s="403"/>
      <c r="BU151" s="403"/>
      <c r="BV151" s="403"/>
      <c r="BW151" s="403">
        <v>0</v>
      </c>
      <c r="BX151" s="403"/>
      <c r="BY151" s="403"/>
      <c r="BZ151" s="401">
        <f t="shared" si="50"/>
        <v>37500000</v>
      </c>
      <c r="CA151" s="401">
        <f t="shared" si="50"/>
        <v>37500000</v>
      </c>
      <c r="CB151" s="401">
        <f t="shared" si="50"/>
        <v>34600000</v>
      </c>
    </row>
    <row r="152" spans="1:80" ht="66" customHeight="1" x14ac:dyDescent="0.2">
      <c r="A152" s="42"/>
      <c r="B152" s="49"/>
      <c r="C152" s="883"/>
      <c r="D152" s="891"/>
      <c r="E152" s="883"/>
      <c r="F152" s="883"/>
      <c r="G152" s="49"/>
      <c r="H152" s="57">
        <v>230</v>
      </c>
      <c r="I152" s="729" t="s">
        <v>225</v>
      </c>
      <c r="J152" s="44">
        <v>0</v>
      </c>
      <c r="K152" s="45">
        <v>1</v>
      </c>
      <c r="L152" s="112">
        <v>0.8</v>
      </c>
      <c r="M152" s="886"/>
      <c r="N152" s="898"/>
      <c r="O152" s="898"/>
      <c r="P152" s="892"/>
      <c r="Q152" s="169" t="s">
        <v>52</v>
      </c>
      <c r="R152" s="401">
        <v>0</v>
      </c>
      <c r="S152" s="401"/>
      <c r="T152" s="401"/>
      <c r="U152" s="401">
        <v>0</v>
      </c>
      <c r="V152" s="401"/>
      <c r="W152" s="401"/>
      <c r="X152" s="401">
        <v>0</v>
      </c>
      <c r="Y152" s="401"/>
      <c r="Z152" s="401"/>
      <c r="AA152" s="401">
        <v>0</v>
      </c>
      <c r="AB152" s="401"/>
      <c r="AC152" s="401"/>
      <c r="AD152" s="401">
        <v>0</v>
      </c>
      <c r="AE152" s="401"/>
      <c r="AF152" s="401"/>
      <c r="AG152" s="401">
        <v>0</v>
      </c>
      <c r="AH152" s="401"/>
      <c r="AI152" s="401"/>
      <c r="AJ152" s="401">
        <v>0</v>
      </c>
      <c r="AK152" s="401"/>
      <c r="AL152" s="401"/>
      <c r="AM152" s="401"/>
      <c r="AN152" s="401"/>
      <c r="AO152" s="401"/>
      <c r="AP152" s="401"/>
      <c r="AQ152" s="401"/>
      <c r="AR152" s="401"/>
      <c r="AS152" s="401">
        <v>0</v>
      </c>
      <c r="AT152" s="401"/>
      <c r="AU152" s="401"/>
      <c r="AV152" s="401">
        <v>0</v>
      </c>
      <c r="AW152" s="401"/>
      <c r="AX152" s="401"/>
      <c r="AY152" s="401"/>
      <c r="AZ152" s="401"/>
      <c r="BA152" s="401"/>
      <c r="BB152" s="401"/>
      <c r="BC152" s="401"/>
      <c r="BD152" s="401"/>
      <c r="BE152" s="401">
        <v>0</v>
      </c>
      <c r="BF152" s="401"/>
      <c r="BG152" s="401"/>
      <c r="BH152" s="401">
        <v>0</v>
      </c>
      <c r="BI152" s="401"/>
      <c r="BJ152" s="401"/>
      <c r="BK152" s="402">
        <f>24000000+2500000</f>
        <v>26500000</v>
      </c>
      <c r="BL152" s="402">
        <v>26173000</v>
      </c>
      <c r="BM152" s="402">
        <v>24000000</v>
      </c>
      <c r="BN152" s="402"/>
      <c r="BO152" s="402"/>
      <c r="BP152" s="402"/>
      <c r="BQ152" s="401">
        <v>0</v>
      </c>
      <c r="BR152" s="403"/>
      <c r="BS152" s="403"/>
      <c r="BT152" s="403"/>
      <c r="BU152" s="403"/>
      <c r="BV152" s="403"/>
      <c r="BW152" s="403">
        <v>0</v>
      </c>
      <c r="BX152" s="403"/>
      <c r="BY152" s="403"/>
      <c r="BZ152" s="401">
        <f t="shared" si="50"/>
        <v>26500000</v>
      </c>
      <c r="CA152" s="401">
        <f t="shared" si="50"/>
        <v>26173000</v>
      </c>
      <c r="CB152" s="401">
        <f t="shared" si="50"/>
        <v>24000000</v>
      </c>
    </row>
    <row r="153" spans="1:80" ht="30" customHeight="1" x14ac:dyDescent="0.2">
      <c r="A153" s="42"/>
      <c r="B153" s="49"/>
      <c r="C153" s="714"/>
      <c r="D153" s="709"/>
      <c r="E153" s="714"/>
      <c r="F153" s="714"/>
      <c r="G153" s="58"/>
      <c r="H153" s="59"/>
      <c r="I153" s="58"/>
      <c r="J153" s="60"/>
      <c r="K153" s="175"/>
      <c r="L153" s="176"/>
      <c r="M153" s="176"/>
      <c r="N153" s="177"/>
      <c r="O153" s="59"/>
      <c r="P153" s="58"/>
      <c r="Q153" s="59"/>
      <c r="R153" s="410">
        <f t="shared" ref="R153:BZ153" si="51">SUM(R148:R152)</f>
        <v>0</v>
      </c>
      <c r="S153" s="410">
        <f t="shared" si="51"/>
        <v>0</v>
      </c>
      <c r="T153" s="410">
        <f t="shared" si="51"/>
        <v>0</v>
      </c>
      <c r="U153" s="410">
        <f t="shared" si="51"/>
        <v>0</v>
      </c>
      <c r="V153" s="410">
        <f t="shared" si="51"/>
        <v>0</v>
      </c>
      <c r="W153" s="410">
        <f t="shared" si="51"/>
        <v>0</v>
      </c>
      <c r="X153" s="410">
        <f t="shared" si="51"/>
        <v>0</v>
      </c>
      <c r="Y153" s="410">
        <f t="shared" si="51"/>
        <v>0</v>
      </c>
      <c r="Z153" s="410">
        <f t="shared" si="51"/>
        <v>0</v>
      </c>
      <c r="AA153" s="410">
        <f t="shared" si="51"/>
        <v>0</v>
      </c>
      <c r="AB153" s="410">
        <f t="shared" si="51"/>
        <v>0</v>
      </c>
      <c r="AC153" s="410">
        <f t="shared" si="51"/>
        <v>0</v>
      </c>
      <c r="AD153" s="410">
        <f t="shared" si="51"/>
        <v>0</v>
      </c>
      <c r="AE153" s="410">
        <f t="shared" si="51"/>
        <v>0</v>
      </c>
      <c r="AF153" s="410">
        <f t="shared" si="51"/>
        <v>0</v>
      </c>
      <c r="AG153" s="410">
        <f t="shared" si="51"/>
        <v>0</v>
      </c>
      <c r="AH153" s="410">
        <f t="shared" si="51"/>
        <v>0</v>
      </c>
      <c r="AI153" s="410">
        <f t="shared" si="51"/>
        <v>0</v>
      </c>
      <c r="AJ153" s="410">
        <f t="shared" si="51"/>
        <v>0</v>
      </c>
      <c r="AK153" s="410">
        <f t="shared" si="51"/>
        <v>0</v>
      </c>
      <c r="AL153" s="410">
        <f t="shared" si="51"/>
        <v>0</v>
      </c>
      <c r="AM153" s="410">
        <f t="shared" si="51"/>
        <v>0</v>
      </c>
      <c r="AN153" s="410">
        <f t="shared" si="51"/>
        <v>0</v>
      </c>
      <c r="AO153" s="410">
        <f t="shared" si="51"/>
        <v>0</v>
      </c>
      <c r="AP153" s="410">
        <f t="shared" si="51"/>
        <v>0</v>
      </c>
      <c r="AQ153" s="410">
        <f t="shared" si="51"/>
        <v>0</v>
      </c>
      <c r="AR153" s="410">
        <f t="shared" si="51"/>
        <v>0</v>
      </c>
      <c r="AS153" s="410">
        <f t="shared" si="51"/>
        <v>0</v>
      </c>
      <c r="AT153" s="410">
        <f t="shared" si="51"/>
        <v>0</v>
      </c>
      <c r="AU153" s="410">
        <f t="shared" si="51"/>
        <v>0</v>
      </c>
      <c r="AV153" s="410">
        <f t="shared" si="51"/>
        <v>0</v>
      </c>
      <c r="AW153" s="410">
        <f t="shared" si="51"/>
        <v>0</v>
      </c>
      <c r="AX153" s="410">
        <f t="shared" si="51"/>
        <v>0</v>
      </c>
      <c r="AY153" s="410">
        <f t="shared" si="51"/>
        <v>0</v>
      </c>
      <c r="AZ153" s="410">
        <f t="shared" si="51"/>
        <v>0</v>
      </c>
      <c r="BA153" s="410">
        <f t="shared" si="51"/>
        <v>0</v>
      </c>
      <c r="BB153" s="410">
        <f t="shared" si="51"/>
        <v>0</v>
      </c>
      <c r="BC153" s="410">
        <f t="shared" si="51"/>
        <v>0</v>
      </c>
      <c r="BD153" s="410">
        <f t="shared" si="51"/>
        <v>0</v>
      </c>
      <c r="BE153" s="410">
        <f t="shared" si="51"/>
        <v>0</v>
      </c>
      <c r="BF153" s="410">
        <f t="shared" si="51"/>
        <v>0</v>
      </c>
      <c r="BG153" s="410">
        <f t="shared" si="51"/>
        <v>0</v>
      </c>
      <c r="BH153" s="410">
        <f t="shared" si="51"/>
        <v>0</v>
      </c>
      <c r="BI153" s="410">
        <f t="shared" si="51"/>
        <v>0</v>
      </c>
      <c r="BJ153" s="410">
        <f t="shared" si="51"/>
        <v>0</v>
      </c>
      <c r="BK153" s="410">
        <f t="shared" si="51"/>
        <v>499000000</v>
      </c>
      <c r="BL153" s="410">
        <f t="shared" si="51"/>
        <v>235809422</v>
      </c>
      <c r="BM153" s="410">
        <f t="shared" si="51"/>
        <v>183040822</v>
      </c>
      <c r="BN153" s="410">
        <f t="shared" si="51"/>
        <v>0</v>
      </c>
      <c r="BO153" s="410">
        <f t="shared" si="51"/>
        <v>0</v>
      </c>
      <c r="BP153" s="410">
        <f t="shared" si="51"/>
        <v>0</v>
      </c>
      <c r="BQ153" s="410">
        <f t="shared" si="51"/>
        <v>0</v>
      </c>
      <c r="BR153" s="410">
        <f t="shared" si="51"/>
        <v>0</v>
      </c>
      <c r="BS153" s="410">
        <f t="shared" si="51"/>
        <v>0</v>
      </c>
      <c r="BT153" s="410">
        <f t="shared" si="51"/>
        <v>0</v>
      </c>
      <c r="BU153" s="410">
        <f t="shared" si="51"/>
        <v>0</v>
      </c>
      <c r="BV153" s="410">
        <f t="shared" si="51"/>
        <v>0</v>
      </c>
      <c r="BW153" s="410">
        <f t="shared" si="51"/>
        <v>0</v>
      </c>
      <c r="BX153" s="410">
        <f t="shared" si="51"/>
        <v>0</v>
      </c>
      <c r="BY153" s="410">
        <f t="shared" si="51"/>
        <v>0</v>
      </c>
      <c r="BZ153" s="410">
        <f t="shared" si="51"/>
        <v>499000000</v>
      </c>
      <c r="CA153" s="410">
        <f t="shared" ref="CA153:CB153" si="52">SUM(CA148:CA152)</f>
        <v>235809422</v>
      </c>
      <c r="CB153" s="410">
        <f t="shared" si="52"/>
        <v>183040822</v>
      </c>
    </row>
    <row r="154" spans="1:80" ht="30" customHeight="1" x14ac:dyDescent="0.2">
      <c r="A154" s="42"/>
      <c r="B154" s="49"/>
      <c r="C154" s="150"/>
      <c r="D154" s="72"/>
      <c r="E154" s="150"/>
      <c r="F154" s="150"/>
      <c r="G154" s="72"/>
      <c r="H154" s="150"/>
      <c r="I154" s="72"/>
      <c r="J154" s="73"/>
      <c r="K154" s="178"/>
      <c r="L154" s="179"/>
      <c r="M154" s="179"/>
      <c r="N154" s="180"/>
      <c r="O154" s="400"/>
      <c r="P154" s="101"/>
      <c r="Q154" s="150"/>
      <c r="R154" s="405"/>
      <c r="S154" s="405"/>
      <c r="T154" s="405"/>
      <c r="U154" s="406"/>
      <c r="V154" s="406"/>
      <c r="W154" s="406"/>
      <c r="X154" s="405"/>
      <c r="Y154" s="405"/>
      <c r="Z154" s="405"/>
      <c r="AA154" s="405"/>
      <c r="AB154" s="405"/>
      <c r="AC154" s="405"/>
      <c r="AD154" s="405"/>
      <c r="AE154" s="405"/>
      <c r="AF154" s="405"/>
      <c r="AG154" s="405"/>
      <c r="AH154" s="405"/>
      <c r="AI154" s="405"/>
      <c r="AJ154" s="405"/>
      <c r="AK154" s="405"/>
      <c r="AL154" s="405"/>
      <c r="AM154" s="405"/>
      <c r="AN154" s="405"/>
      <c r="AO154" s="405"/>
      <c r="AP154" s="405"/>
      <c r="AQ154" s="405"/>
      <c r="AR154" s="405"/>
      <c r="AS154" s="405"/>
      <c r="AT154" s="405"/>
      <c r="AU154" s="405"/>
      <c r="AV154" s="405"/>
      <c r="AW154" s="405"/>
      <c r="AX154" s="405"/>
      <c r="AY154" s="406"/>
      <c r="AZ154" s="406"/>
      <c r="BA154" s="406"/>
      <c r="BB154" s="406"/>
      <c r="BC154" s="406"/>
      <c r="BD154" s="406"/>
      <c r="BE154" s="405"/>
      <c r="BF154" s="405"/>
      <c r="BG154" s="405"/>
      <c r="BH154" s="405"/>
      <c r="BI154" s="442"/>
      <c r="BJ154" s="442"/>
      <c r="BK154" s="443"/>
      <c r="BL154" s="443"/>
      <c r="BM154" s="443"/>
      <c r="BN154" s="442"/>
      <c r="BO154" s="442"/>
      <c r="BP154" s="442"/>
      <c r="BQ154" s="405"/>
      <c r="BR154" s="405"/>
      <c r="BS154" s="405"/>
      <c r="BT154" s="405"/>
      <c r="BU154" s="405"/>
      <c r="BV154" s="405"/>
      <c r="BW154" s="406"/>
      <c r="BX154" s="406"/>
      <c r="BY154" s="406"/>
      <c r="BZ154" s="405"/>
      <c r="CA154" s="405"/>
      <c r="CB154" s="409"/>
    </row>
    <row r="155" spans="1:80" ht="30" customHeight="1" x14ac:dyDescent="0.2">
      <c r="A155" s="42"/>
      <c r="B155" s="49"/>
      <c r="C155" s="713"/>
      <c r="D155" s="707"/>
      <c r="E155" s="713"/>
      <c r="F155" s="713"/>
      <c r="G155" s="140">
        <v>79</v>
      </c>
      <c r="H155" s="172" t="s">
        <v>226</v>
      </c>
      <c r="I155" s="80"/>
      <c r="J155" s="80"/>
      <c r="K155" s="91"/>
      <c r="L155" s="91"/>
      <c r="M155" s="91"/>
      <c r="N155" s="173"/>
      <c r="O155" s="173"/>
      <c r="P155" s="80"/>
      <c r="Q155" s="80"/>
      <c r="R155" s="444"/>
      <c r="S155" s="444"/>
      <c r="T155" s="444"/>
      <c r="U155" s="444"/>
      <c r="V155" s="444"/>
      <c r="W155" s="444"/>
      <c r="X155" s="444"/>
      <c r="Y155" s="444"/>
      <c r="Z155" s="444"/>
      <c r="AA155" s="444"/>
      <c r="AB155" s="444"/>
      <c r="AC155" s="444"/>
      <c r="AD155" s="444"/>
      <c r="AE155" s="444"/>
      <c r="AF155" s="444"/>
      <c r="AG155" s="444"/>
      <c r="AH155" s="444"/>
      <c r="AI155" s="444"/>
      <c r="AJ155" s="444"/>
      <c r="AK155" s="444"/>
      <c r="AL155" s="444"/>
      <c r="AM155" s="444"/>
      <c r="AN155" s="444"/>
      <c r="AO155" s="444"/>
      <c r="AP155" s="444"/>
      <c r="AQ155" s="444"/>
      <c r="AR155" s="444"/>
      <c r="AS155" s="444"/>
      <c r="AT155" s="444"/>
      <c r="AU155" s="444"/>
      <c r="AV155" s="444"/>
      <c r="AW155" s="444"/>
      <c r="AX155" s="444"/>
      <c r="AY155" s="444"/>
      <c r="AZ155" s="444"/>
      <c r="BA155" s="444"/>
      <c r="BB155" s="444"/>
      <c r="BC155" s="444"/>
      <c r="BD155" s="444"/>
      <c r="BE155" s="444"/>
      <c r="BF155" s="444"/>
      <c r="BG155" s="444"/>
      <c r="BH155" s="444"/>
      <c r="BI155" s="444"/>
      <c r="BJ155" s="444"/>
      <c r="BK155" s="445"/>
      <c r="BL155" s="445"/>
      <c r="BM155" s="445"/>
      <c r="BN155" s="444"/>
      <c r="BO155" s="444"/>
      <c r="BP155" s="444"/>
      <c r="BQ155" s="444"/>
      <c r="BR155" s="444"/>
      <c r="BS155" s="444"/>
      <c r="BT155" s="444"/>
      <c r="BU155" s="444"/>
      <c r="BV155" s="444"/>
      <c r="BW155" s="444"/>
      <c r="BX155" s="444"/>
      <c r="BY155" s="444"/>
      <c r="BZ155" s="269"/>
      <c r="CA155" s="269"/>
      <c r="CB155" s="269"/>
    </row>
    <row r="156" spans="1:80" ht="62.25" customHeight="1" x14ac:dyDescent="0.2">
      <c r="A156" s="42"/>
      <c r="B156" s="49"/>
      <c r="C156" s="883">
        <v>13</v>
      </c>
      <c r="D156" s="891" t="s">
        <v>215</v>
      </c>
      <c r="E156" s="883" t="s">
        <v>216</v>
      </c>
      <c r="F156" s="883" t="s">
        <v>217</v>
      </c>
      <c r="G156" s="43"/>
      <c r="H156" s="57">
        <v>231</v>
      </c>
      <c r="I156" s="729" t="s">
        <v>227</v>
      </c>
      <c r="J156" s="44">
        <v>1</v>
      </c>
      <c r="K156" s="45">
        <v>1</v>
      </c>
      <c r="L156" s="112">
        <v>0.7</v>
      </c>
      <c r="M156" s="884">
        <v>2017003630012</v>
      </c>
      <c r="N156" s="895" t="s">
        <v>219</v>
      </c>
      <c r="O156" s="895" t="s">
        <v>228</v>
      </c>
      <c r="P156" s="890" t="s">
        <v>965</v>
      </c>
      <c r="Q156" s="57" t="s">
        <v>52</v>
      </c>
      <c r="R156" s="401">
        <v>0</v>
      </c>
      <c r="S156" s="401"/>
      <c r="T156" s="401"/>
      <c r="U156" s="401">
        <v>0</v>
      </c>
      <c r="V156" s="401"/>
      <c r="W156" s="401"/>
      <c r="X156" s="401">
        <v>0</v>
      </c>
      <c r="Y156" s="401"/>
      <c r="Z156" s="401"/>
      <c r="AA156" s="401">
        <v>0</v>
      </c>
      <c r="AB156" s="401"/>
      <c r="AC156" s="401"/>
      <c r="AD156" s="401">
        <v>0</v>
      </c>
      <c r="AE156" s="401"/>
      <c r="AF156" s="401"/>
      <c r="AG156" s="401">
        <v>0</v>
      </c>
      <c r="AH156" s="401"/>
      <c r="AI156" s="401"/>
      <c r="AJ156" s="401">
        <v>0</v>
      </c>
      <c r="AK156" s="401"/>
      <c r="AL156" s="401"/>
      <c r="AM156" s="401"/>
      <c r="AN156" s="401"/>
      <c r="AO156" s="401"/>
      <c r="AP156" s="401"/>
      <c r="AQ156" s="401"/>
      <c r="AR156" s="401"/>
      <c r="AS156" s="401">
        <v>0</v>
      </c>
      <c r="AT156" s="401"/>
      <c r="AU156" s="401"/>
      <c r="AV156" s="401">
        <v>0</v>
      </c>
      <c r="AW156" s="401"/>
      <c r="AX156" s="401"/>
      <c r="AY156" s="401"/>
      <c r="AZ156" s="401"/>
      <c r="BA156" s="401"/>
      <c r="BB156" s="401"/>
      <c r="BC156" s="401"/>
      <c r="BD156" s="401"/>
      <c r="BE156" s="401">
        <v>0</v>
      </c>
      <c r="BF156" s="401"/>
      <c r="BG156" s="401"/>
      <c r="BH156" s="401">
        <v>0</v>
      </c>
      <c r="BI156" s="401"/>
      <c r="BJ156" s="401"/>
      <c r="BK156" s="402">
        <f>2250000+5000000</f>
        <v>7250000</v>
      </c>
      <c r="BL156" s="402">
        <v>5500000</v>
      </c>
      <c r="BM156" s="402">
        <v>1500000</v>
      </c>
      <c r="BN156" s="402"/>
      <c r="BO156" s="402"/>
      <c r="BP156" s="402"/>
      <c r="BQ156" s="401">
        <v>0</v>
      </c>
      <c r="BR156" s="403"/>
      <c r="BS156" s="403"/>
      <c r="BT156" s="403"/>
      <c r="BU156" s="403"/>
      <c r="BV156" s="403"/>
      <c r="BW156" s="403">
        <v>0</v>
      </c>
      <c r="BX156" s="403"/>
      <c r="BY156" s="403"/>
      <c r="BZ156" s="401">
        <f t="shared" ref="BZ156:CB158" si="53">R156+U156+X156+AA156+AD156+AG156+AJ156+AM156+AP156+AS156+AV156+AY156+BB156+BE156+BH156+BK156+BN156+BQ156+BT156+BW156</f>
        <v>7250000</v>
      </c>
      <c r="CA156" s="401">
        <f t="shared" si="53"/>
        <v>5500000</v>
      </c>
      <c r="CB156" s="401">
        <f t="shared" si="53"/>
        <v>1500000</v>
      </c>
    </row>
    <row r="157" spans="1:80" ht="67.5" customHeight="1" x14ac:dyDescent="0.2">
      <c r="A157" s="42"/>
      <c r="B157" s="49"/>
      <c r="C157" s="883"/>
      <c r="D157" s="891"/>
      <c r="E157" s="883"/>
      <c r="F157" s="883"/>
      <c r="G157" s="49"/>
      <c r="H157" s="57">
        <v>232</v>
      </c>
      <c r="I157" s="729" t="s">
        <v>230</v>
      </c>
      <c r="J157" s="44">
        <v>12</v>
      </c>
      <c r="K157" s="45">
        <v>12</v>
      </c>
      <c r="L157" s="45">
        <v>12</v>
      </c>
      <c r="M157" s="885"/>
      <c r="N157" s="883"/>
      <c r="O157" s="883"/>
      <c r="P157" s="891"/>
      <c r="Q157" s="57" t="s">
        <v>52</v>
      </c>
      <c r="R157" s="401">
        <v>0</v>
      </c>
      <c r="S157" s="401"/>
      <c r="T157" s="401"/>
      <c r="U157" s="401">
        <v>0</v>
      </c>
      <c r="V157" s="401"/>
      <c r="W157" s="401"/>
      <c r="X157" s="401">
        <v>0</v>
      </c>
      <c r="Y157" s="401"/>
      <c r="Z157" s="401"/>
      <c r="AA157" s="401">
        <v>0</v>
      </c>
      <c r="AB157" s="401"/>
      <c r="AC157" s="401"/>
      <c r="AD157" s="401">
        <v>0</v>
      </c>
      <c r="AE157" s="401"/>
      <c r="AF157" s="401"/>
      <c r="AG157" s="401">
        <v>0</v>
      </c>
      <c r="AH157" s="401"/>
      <c r="AI157" s="401"/>
      <c r="AJ157" s="401">
        <v>0</v>
      </c>
      <c r="AK157" s="401"/>
      <c r="AL157" s="401"/>
      <c r="AM157" s="401"/>
      <c r="AN157" s="401"/>
      <c r="AO157" s="401"/>
      <c r="AP157" s="401"/>
      <c r="AQ157" s="401"/>
      <c r="AR157" s="401"/>
      <c r="AS157" s="401">
        <v>0</v>
      </c>
      <c r="AT157" s="401"/>
      <c r="AU157" s="401"/>
      <c r="AV157" s="401">
        <v>0</v>
      </c>
      <c r="AW157" s="401"/>
      <c r="AX157" s="401"/>
      <c r="AY157" s="401"/>
      <c r="AZ157" s="401"/>
      <c r="BA157" s="401"/>
      <c r="BB157" s="401"/>
      <c r="BC157" s="401"/>
      <c r="BD157" s="401"/>
      <c r="BE157" s="401">
        <v>0</v>
      </c>
      <c r="BF157" s="401"/>
      <c r="BG157" s="401"/>
      <c r="BH157" s="401">
        <v>0</v>
      </c>
      <c r="BI157" s="401"/>
      <c r="BJ157" s="401"/>
      <c r="BK157" s="402">
        <f>13800000+10000000</f>
        <v>23800000</v>
      </c>
      <c r="BL157" s="402">
        <v>21450000</v>
      </c>
      <c r="BM157" s="402">
        <v>10455333</v>
      </c>
      <c r="BN157" s="402"/>
      <c r="BO157" s="402"/>
      <c r="BP157" s="402"/>
      <c r="BQ157" s="401">
        <v>0</v>
      </c>
      <c r="BR157" s="403"/>
      <c r="BS157" s="403"/>
      <c r="BT157" s="403"/>
      <c r="BU157" s="403"/>
      <c r="BV157" s="403"/>
      <c r="BW157" s="403">
        <v>0</v>
      </c>
      <c r="BX157" s="403"/>
      <c r="BY157" s="403"/>
      <c r="BZ157" s="401">
        <f t="shared" si="53"/>
        <v>23800000</v>
      </c>
      <c r="CA157" s="401">
        <f t="shared" si="53"/>
        <v>21450000</v>
      </c>
      <c r="CB157" s="401">
        <f t="shared" si="53"/>
        <v>10455333</v>
      </c>
    </row>
    <row r="158" spans="1:80" ht="60" customHeight="1" x14ac:dyDescent="0.2">
      <c r="A158" s="42"/>
      <c r="B158" s="49"/>
      <c r="C158" s="883"/>
      <c r="D158" s="891"/>
      <c r="E158" s="883"/>
      <c r="F158" s="883"/>
      <c r="G158" s="49"/>
      <c r="H158" s="57">
        <v>233</v>
      </c>
      <c r="I158" s="729" t="s">
        <v>231</v>
      </c>
      <c r="J158" s="44">
        <v>1</v>
      </c>
      <c r="K158" s="45">
        <v>1</v>
      </c>
      <c r="L158" s="112">
        <v>0.9</v>
      </c>
      <c r="M158" s="886"/>
      <c r="N158" s="898"/>
      <c r="O158" s="898"/>
      <c r="P158" s="892"/>
      <c r="Q158" s="57" t="s">
        <v>52</v>
      </c>
      <c r="R158" s="401">
        <v>0</v>
      </c>
      <c r="S158" s="401"/>
      <c r="T158" s="401"/>
      <c r="U158" s="401">
        <v>0</v>
      </c>
      <c r="V158" s="401"/>
      <c r="W158" s="401"/>
      <c r="X158" s="401">
        <v>0</v>
      </c>
      <c r="Y158" s="401"/>
      <c r="Z158" s="401"/>
      <c r="AA158" s="401">
        <v>0</v>
      </c>
      <c r="AB158" s="401"/>
      <c r="AC158" s="401"/>
      <c r="AD158" s="401">
        <v>0</v>
      </c>
      <c r="AE158" s="401"/>
      <c r="AF158" s="401"/>
      <c r="AG158" s="401">
        <v>0</v>
      </c>
      <c r="AH158" s="401"/>
      <c r="AI158" s="401"/>
      <c r="AJ158" s="401">
        <v>0</v>
      </c>
      <c r="AK158" s="401"/>
      <c r="AL158" s="401"/>
      <c r="AM158" s="401"/>
      <c r="AN158" s="401"/>
      <c r="AO158" s="401"/>
      <c r="AP158" s="401"/>
      <c r="AQ158" s="401"/>
      <c r="AR158" s="401"/>
      <c r="AS158" s="401">
        <v>0</v>
      </c>
      <c r="AT158" s="401"/>
      <c r="AU158" s="401"/>
      <c r="AV158" s="401">
        <v>0</v>
      </c>
      <c r="AW158" s="401"/>
      <c r="AX158" s="401"/>
      <c r="AY158" s="401"/>
      <c r="AZ158" s="401"/>
      <c r="BA158" s="401"/>
      <c r="BB158" s="401"/>
      <c r="BC158" s="401"/>
      <c r="BD158" s="401"/>
      <c r="BE158" s="401">
        <v>0</v>
      </c>
      <c r="BF158" s="401"/>
      <c r="BG158" s="401"/>
      <c r="BH158" s="401">
        <v>0</v>
      </c>
      <c r="BI158" s="401"/>
      <c r="BJ158" s="401"/>
      <c r="BK158" s="402">
        <f>10950000+10000000</f>
        <v>20950000</v>
      </c>
      <c r="BL158" s="402">
        <v>14467000</v>
      </c>
      <c r="BM158" s="402">
        <v>6490000</v>
      </c>
      <c r="BN158" s="402"/>
      <c r="BO158" s="402"/>
      <c r="BP158" s="402"/>
      <c r="BQ158" s="401">
        <v>0</v>
      </c>
      <c r="BR158" s="403"/>
      <c r="BS158" s="403"/>
      <c r="BT158" s="403"/>
      <c r="BU158" s="403"/>
      <c r="BV158" s="403"/>
      <c r="BW158" s="403">
        <v>0</v>
      </c>
      <c r="BX158" s="403"/>
      <c r="BY158" s="403"/>
      <c r="BZ158" s="401">
        <f t="shared" si="53"/>
        <v>20950000</v>
      </c>
      <c r="CA158" s="401">
        <f t="shared" si="53"/>
        <v>14467000</v>
      </c>
      <c r="CB158" s="401">
        <f t="shared" si="53"/>
        <v>6490000</v>
      </c>
    </row>
    <row r="159" spans="1:80" ht="30" customHeight="1" x14ac:dyDescent="0.2">
      <c r="A159" s="42"/>
      <c r="B159" s="49"/>
      <c r="C159" s="714"/>
      <c r="D159" s="709"/>
      <c r="E159" s="714"/>
      <c r="F159" s="714"/>
      <c r="G159" s="58"/>
      <c r="H159" s="59"/>
      <c r="I159" s="58"/>
      <c r="J159" s="60"/>
      <c r="K159" s="84"/>
      <c r="L159" s="84"/>
      <c r="M159" s="84"/>
      <c r="N159" s="60"/>
      <c r="O159" s="59"/>
      <c r="P159" s="58"/>
      <c r="Q159" s="59"/>
      <c r="R159" s="410">
        <f t="shared" ref="R159:BY159" si="54">SUM(R156:R158)</f>
        <v>0</v>
      </c>
      <c r="S159" s="410">
        <f t="shared" si="54"/>
        <v>0</v>
      </c>
      <c r="T159" s="410">
        <f t="shared" si="54"/>
        <v>0</v>
      </c>
      <c r="U159" s="410">
        <f t="shared" si="54"/>
        <v>0</v>
      </c>
      <c r="V159" s="410">
        <f t="shared" si="54"/>
        <v>0</v>
      </c>
      <c r="W159" s="410">
        <f t="shared" si="54"/>
        <v>0</v>
      </c>
      <c r="X159" s="410">
        <f t="shared" si="54"/>
        <v>0</v>
      </c>
      <c r="Y159" s="410">
        <f t="shared" si="54"/>
        <v>0</v>
      </c>
      <c r="Z159" s="410">
        <f t="shared" si="54"/>
        <v>0</v>
      </c>
      <c r="AA159" s="410">
        <f t="shared" si="54"/>
        <v>0</v>
      </c>
      <c r="AB159" s="410">
        <f t="shared" si="54"/>
        <v>0</v>
      </c>
      <c r="AC159" s="410">
        <f t="shared" si="54"/>
        <v>0</v>
      </c>
      <c r="AD159" s="410">
        <f t="shared" si="54"/>
        <v>0</v>
      </c>
      <c r="AE159" s="410">
        <f t="shared" si="54"/>
        <v>0</v>
      </c>
      <c r="AF159" s="410">
        <f t="shared" si="54"/>
        <v>0</v>
      </c>
      <c r="AG159" s="410">
        <f t="shared" si="54"/>
        <v>0</v>
      </c>
      <c r="AH159" s="410">
        <f t="shared" si="54"/>
        <v>0</v>
      </c>
      <c r="AI159" s="410">
        <f t="shared" si="54"/>
        <v>0</v>
      </c>
      <c r="AJ159" s="410">
        <f t="shared" si="54"/>
        <v>0</v>
      </c>
      <c r="AK159" s="410">
        <f t="shared" si="54"/>
        <v>0</v>
      </c>
      <c r="AL159" s="410">
        <f t="shared" si="54"/>
        <v>0</v>
      </c>
      <c r="AM159" s="410">
        <f t="shared" si="54"/>
        <v>0</v>
      </c>
      <c r="AN159" s="410">
        <f t="shared" si="54"/>
        <v>0</v>
      </c>
      <c r="AO159" s="410">
        <f t="shared" si="54"/>
        <v>0</v>
      </c>
      <c r="AP159" s="410">
        <f t="shared" si="54"/>
        <v>0</v>
      </c>
      <c r="AQ159" s="410">
        <f t="shared" si="54"/>
        <v>0</v>
      </c>
      <c r="AR159" s="410">
        <f t="shared" si="54"/>
        <v>0</v>
      </c>
      <c r="AS159" s="410">
        <f t="shared" si="54"/>
        <v>0</v>
      </c>
      <c r="AT159" s="410">
        <f t="shared" si="54"/>
        <v>0</v>
      </c>
      <c r="AU159" s="410">
        <f t="shared" si="54"/>
        <v>0</v>
      </c>
      <c r="AV159" s="410">
        <f t="shared" si="54"/>
        <v>0</v>
      </c>
      <c r="AW159" s="410">
        <f t="shared" si="54"/>
        <v>0</v>
      </c>
      <c r="AX159" s="410">
        <f t="shared" si="54"/>
        <v>0</v>
      </c>
      <c r="AY159" s="410">
        <f t="shared" si="54"/>
        <v>0</v>
      </c>
      <c r="AZ159" s="410">
        <f t="shared" si="54"/>
        <v>0</v>
      </c>
      <c r="BA159" s="410">
        <f t="shared" si="54"/>
        <v>0</v>
      </c>
      <c r="BB159" s="410">
        <f t="shared" si="54"/>
        <v>0</v>
      </c>
      <c r="BC159" s="410">
        <f t="shared" si="54"/>
        <v>0</v>
      </c>
      <c r="BD159" s="410">
        <f t="shared" si="54"/>
        <v>0</v>
      </c>
      <c r="BE159" s="410">
        <f t="shared" si="54"/>
        <v>0</v>
      </c>
      <c r="BF159" s="410">
        <f t="shared" si="54"/>
        <v>0</v>
      </c>
      <c r="BG159" s="410">
        <f t="shared" si="54"/>
        <v>0</v>
      </c>
      <c r="BH159" s="410">
        <f t="shared" si="54"/>
        <v>0</v>
      </c>
      <c r="BI159" s="410">
        <f t="shared" si="54"/>
        <v>0</v>
      </c>
      <c r="BJ159" s="410">
        <f t="shared" si="54"/>
        <v>0</v>
      </c>
      <c r="BK159" s="410">
        <f t="shared" si="54"/>
        <v>52000000</v>
      </c>
      <c r="BL159" s="410">
        <f t="shared" si="54"/>
        <v>41417000</v>
      </c>
      <c r="BM159" s="410">
        <f t="shared" si="54"/>
        <v>18445333</v>
      </c>
      <c r="BN159" s="410">
        <f t="shared" si="54"/>
        <v>0</v>
      </c>
      <c r="BO159" s="410">
        <f t="shared" si="54"/>
        <v>0</v>
      </c>
      <c r="BP159" s="410">
        <f t="shared" si="54"/>
        <v>0</v>
      </c>
      <c r="BQ159" s="410">
        <f t="shared" si="54"/>
        <v>0</v>
      </c>
      <c r="BR159" s="410">
        <f t="shared" si="54"/>
        <v>0</v>
      </c>
      <c r="BS159" s="410">
        <f t="shared" si="54"/>
        <v>0</v>
      </c>
      <c r="BT159" s="410">
        <f t="shared" si="54"/>
        <v>0</v>
      </c>
      <c r="BU159" s="410">
        <f t="shared" si="54"/>
        <v>0</v>
      </c>
      <c r="BV159" s="410">
        <f t="shared" si="54"/>
        <v>0</v>
      </c>
      <c r="BW159" s="410">
        <f t="shared" si="54"/>
        <v>0</v>
      </c>
      <c r="BX159" s="410">
        <f t="shared" si="54"/>
        <v>0</v>
      </c>
      <c r="BY159" s="410">
        <f t="shared" si="54"/>
        <v>0</v>
      </c>
      <c r="BZ159" s="410">
        <f>SUM(BZ156:BZ158)</f>
        <v>52000000</v>
      </c>
      <c r="CA159" s="410">
        <f t="shared" ref="CA159:CB159" si="55">SUM(CA156:CA158)</f>
        <v>41417000</v>
      </c>
      <c r="CB159" s="410">
        <f t="shared" si="55"/>
        <v>18445333</v>
      </c>
    </row>
    <row r="160" spans="1:80" ht="30" customHeight="1" x14ac:dyDescent="0.2">
      <c r="A160" s="42"/>
      <c r="B160" s="49"/>
      <c r="C160" s="150"/>
      <c r="D160" s="72"/>
      <c r="E160" s="150"/>
      <c r="F160" s="150"/>
      <c r="G160" s="72"/>
      <c r="H160" s="150"/>
      <c r="I160" s="72"/>
      <c r="J160" s="73"/>
      <c r="K160" s="83"/>
      <c r="L160" s="171"/>
      <c r="M160" s="171"/>
      <c r="N160" s="119"/>
      <c r="O160" s="400"/>
      <c r="P160" s="101"/>
      <c r="Q160" s="150"/>
      <c r="R160" s="405"/>
      <c r="S160" s="405"/>
      <c r="T160" s="405"/>
      <c r="U160" s="406"/>
      <c r="V160" s="406"/>
      <c r="W160" s="406"/>
      <c r="X160" s="405"/>
      <c r="Y160" s="405"/>
      <c r="Z160" s="405"/>
      <c r="AA160" s="405"/>
      <c r="AB160" s="405"/>
      <c r="AC160" s="405"/>
      <c r="AD160" s="405"/>
      <c r="AE160" s="405"/>
      <c r="AF160" s="405"/>
      <c r="AG160" s="405"/>
      <c r="AH160" s="405"/>
      <c r="AI160" s="405"/>
      <c r="AJ160" s="405"/>
      <c r="AK160" s="405"/>
      <c r="AL160" s="405"/>
      <c r="AM160" s="405"/>
      <c r="AN160" s="405"/>
      <c r="AO160" s="405"/>
      <c r="AP160" s="405"/>
      <c r="AQ160" s="405"/>
      <c r="AR160" s="405"/>
      <c r="AS160" s="405"/>
      <c r="AT160" s="405"/>
      <c r="AU160" s="405"/>
      <c r="AV160" s="405"/>
      <c r="AW160" s="405"/>
      <c r="AX160" s="405"/>
      <c r="AY160" s="406"/>
      <c r="AZ160" s="406"/>
      <c r="BA160" s="406"/>
      <c r="BB160" s="406"/>
      <c r="BC160" s="406"/>
      <c r="BD160" s="406"/>
      <c r="BE160" s="405"/>
      <c r="BF160" s="405"/>
      <c r="BG160" s="405"/>
      <c r="BH160" s="405"/>
      <c r="BI160" s="442"/>
      <c r="BJ160" s="442"/>
      <c r="BK160" s="443"/>
      <c r="BL160" s="443"/>
      <c r="BM160" s="443"/>
      <c r="BN160" s="446"/>
      <c r="BO160" s="446"/>
      <c r="BP160" s="446"/>
      <c r="BQ160" s="405"/>
      <c r="BR160" s="405"/>
      <c r="BS160" s="405"/>
      <c r="BT160" s="405"/>
      <c r="BU160" s="405"/>
      <c r="BV160" s="405"/>
      <c r="BW160" s="406"/>
      <c r="BX160" s="406"/>
      <c r="BY160" s="406"/>
      <c r="BZ160" s="409"/>
      <c r="CA160" s="409"/>
      <c r="CB160" s="409"/>
    </row>
    <row r="161" spans="1:80" ht="30" customHeight="1" x14ac:dyDescent="0.2">
      <c r="A161" s="42"/>
      <c r="B161" s="49"/>
      <c r="C161" s="713"/>
      <c r="D161" s="707"/>
      <c r="E161" s="713"/>
      <c r="F161" s="713"/>
      <c r="G161" s="140">
        <v>80</v>
      </c>
      <c r="H161" s="172" t="s">
        <v>232</v>
      </c>
      <c r="I161" s="80"/>
      <c r="J161" s="80"/>
      <c r="K161" s="91"/>
      <c r="L161" s="91"/>
      <c r="M161" s="91"/>
      <c r="N161" s="173"/>
      <c r="O161" s="173"/>
      <c r="P161" s="80"/>
      <c r="Q161" s="80"/>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7"/>
      <c r="AY161" s="267"/>
      <c r="AZ161" s="267"/>
      <c r="BA161" s="267"/>
      <c r="BB161" s="267"/>
      <c r="BC161" s="267"/>
      <c r="BD161" s="267"/>
      <c r="BE161" s="267"/>
      <c r="BF161" s="267"/>
      <c r="BG161" s="267"/>
      <c r="BH161" s="267"/>
      <c r="BI161" s="267"/>
      <c r="BJ161" s="267"/>
      <c r="BK161" s="414"/>
      <c r="BL161" s="414"/>
      <c r="BM161" s="414"/>
      <c r="BN161" s="267"/>
      <c r="BO161" s="267"/>
      <c r="BP161" s="267"/>
      <c r="BQ161" s="267"/>
      <c r="BR161" s="267"/>
      <c r="BS161" s="267"/>
      <c r="BT161" s="267"/>
      <c r="BU161" s="267"/>
      <c r="BV161" s="267"/>
      <c r="BW161" s="267"/>
      <c r="BX161" s="267"/>
      <c r="BY161" s="267"/>
      <c r="BZ161" s="269"/>
      <c r="CA161" s="269"/>
      <c r="CB161" s="269"/>
    </row>
    <row r="162" spans="1:80" ht="78.75" customHeight="1" x14ac:dyDescent="0.2">
      <c r="A162" s="42"/>
      <c r="B162" s="49"/>
      <c r="C162" s="883">
        <v>13</v>
      </c>
      <c r="D162" s="891" t="s">
        <v>215</v>
      </c>
      <c r="E162" s="883">
        <v>71.040000000000006</v>
      </c>
      <c r="F162" s="883">
        <v>88.17</v>
      </c>
      <c r="G162" s="43"/>
      <c r="H162" s="57">
        <v>234</v>
      </c>
      <c r="I162" s="729" t="s">
        <v>233</v>
      </c>
      <c r="J162" s="44" t="s">
        <v>43</v>
      </c>
      <c r="K162" s="54">
        <v>2</v>
      </c>
      <c r="L162" s="112">
        <v>1.8</v>
      </c>
      <c r="M162" s="884">
        <v>2017003630013</v>
      </c>
      <c r="N162" s="895" t="s">
        <v>219</v>
      </c>
      <c r="O162" s="895" t="s">
        <v>234</v>
      </c>
      <c r="P162" s="890" t="s">
        <v>235</v>
      </c>
      <c r="Q162" s="57" t="s">
        <v>67</v>
      </c>
      <c r="R162" s="401">
        <v>0</v>
      </c>
      <c r="S162" s="401"/>
      <c r="T162" s="401"/>
      <c r="U162" s="401">
        <v>0</v>
      </c>
      <c r="V162" s="401"/>
      <c r="W162" s="401"/>
      <c r="X162" s="401">
        <v>0</v>
      </c>
      <c r="Y162" s="401"/>
      <c r="Z162" s="401"/>
      <c r="AA162" s="401">
        <v>0</v>
      </c>
      <c r="AB162" s="401"/>
      <c r="AC162" s="401"/>
      <c r="AD162" s="401">
        <v>0</v>
      </c>
      <c r="AE162" s="401"/>
      <c r="AF162" s="401"/>
      <c r="AG162" s="401">
        <v>0</v>
      </c>
      <c r="AH162" s="401"/>
      <c r="AI162" s="401"/>
      <c r="AJ162" s="401">
        <v>0</v>
      </c>
      <c r="AK162" s="401"/>
      <c r="AL162" s="401"/>
      <c r="AM162" s="401"/>
      <c r="AN162" s="401"/>
      <c r="AO162" s="401"/>
      <c r="AP162" s="401"/>
      <c r="AQ162" s="401"/>
      <c r="AR162" s="401"/>
      <c r="AS162" s="401">
        <v>0</v>
      </c>
      <c r="AT162" s="401"/>
      <c r="AU162" s="401"/>
      <c r="AV162" s="401">
        <v>0</v>
      </c>
      <c r="AW162" s="401"/>
      <c r="AX162" s="401"/>
      <c r="AY162" s="401"/>
      <c r="AZ162" s="401"/>
      <c r="BA162" s="401"/>
      <c r="BB162" s="401"/>
      <c r="BC162" s="401"/>
      <c r="BD162" s="401"/>
      <c r="BE162" s="401">
        <v>0</v>
      </c>
      <c r="BF162" s="401"/>
      <c r="BG162" s="401"/>
      <c r="BH162" s="401">
        <v>0</v>
      </c>
      <c r="BI162" s="401"/>
      <c r="BJ162" s="401"/>
      <c r="BK162" s="672">
        <f>10000000+14000000-11050000</f>
        <v>12950000</v>
      </c>
      <c r="BL162" s="402">
        <v>6000000</v>
      </c>
      <c r="BM162" s="402">
        <v>5000000</v>
      </c>
      <c r="BN162" s="402"/>
      <c r="BO162" s="402"/>
      <c r="BP162" s="402"/>
      <c r="BQ162" s="401">
        <v>0</v>
      </c>
      <c r="BR162" s="403"/>
      <c r="BS162" s="403"/>
      <c r="BT162" s="403"/>
      <c r="BU162" s="403"/>
      <c r="BV162" s="403"/>
      <c r="BW162" s="403">
        <v>0</v>
      </c>
      <c r="BX162" s="403"/>
      <c r="BY162" s="403"/>
      <c r="BZ162" s="401">
        <f t="shared" ref="BZ162:CB163" si="56">R162+U162+X162+AA162+AD162+AG162+AJ162+AM162+AP162+AS162+AV162+AY162+BB162+BE162+BH162+BK162+BN162+BQ162+BT162+BW162</f>
        <v>12950000</v>
      </c>
      <c r="CA162" s="401">
        <f t="shared" si="56"/>
        <v>6000000</v>
      </c>
      <c r="CB162" s="401">
        <f t="shared" si="56"/>
        <v>5000000</v>
      </c>
    </row>
    <row r="163" spans="1:80" ht="69.75" customHeight="1" x14ac:dyDescent="0.2">
      <c r="A163" s="42"/>
      <c r="B163" s="49"/>
      <c r="C163" s="883"/>
      <c r="D163" s="891"/>
      <c r="E163" s="883"/>
      <c r="F163" s="883"/>
      <c r="G163" s="49"/>
      <c r="H163" s="57">
        <v>235</v>
      </c>
      <c r="I163" s="729" t="s">
        <v>236</v>
      </c>
      <c r="J163" s="44" t="s">
        <v>43</v>
      </c>
      <c r="K163" s="52">
        <v>2</v>
      </c>
      <c r="L163" s="112">
        <v>1.8</v>
      </c>
      <c r="M163" s="886"/>
      <c r="N163" s="898"/>
      <c r="O163" s="898"/>
      <c r="P163" s="892"/>
      <c r="Q163" s="57" t="s">
        <v>67</v>
      </c>
      <c r="R163" s="401">
        <v>0</v>
      </c>
      <c r="S163" s="401"/>
      <c r="T163" s="401"/>
      <c r="U163" s="401">
        <v>0</v>
      </c>
      <c r="V163" s="401"/>
      <c r="W163" s="401"/>
      <c r="X163" s="401">
        <v>0</v>
      </c>
      <c r="Y163" s="401"/>
      <c r="Z163" s="401"/>
      <c r="AA163" s="401">
        <v>0</v>
      </c>
      <c r="AB163" s="401"/>
      <c r="AC163" s="401"/>
      <c r="AD163" s="401">
        <v>0</v>
      </c>
      <c r="AE163" s="401"/>
      <c r="AF163" s="401"/>
      <c r="AG163" s="401">
        <v>0</v>
      </c>
      <c r="AH163" s="401"/>
      <c r="AI163" s="401"/>
      <c r="AJ163" s="401">
        <v>0</v>
      </c>
      <c r="AK163" s="401"/>
      <c r="AL163" s="401"/>
      <c r="AM163" s="401"/>
      <c r="AN163" s="401"/>
      <c r="AO163" s="401"/>
      <c r="AP163" s="401"/>
      <c r="AQ163" s="401"/>
      <c r="AR163" s="401"/>
      <c r="AS163" s="401">
        <v>0</v>
      </c>
      <c r="AT163" s="401"/>
      <c r="AU163" s="401"/>
      <c r="AV163" s="401">
        <v>0</v>
      </c>
      <c r="AW163" s="401"/>
      <c r="AX163" s="401"/>
      <c r="AY163" s="401"/>
      <c r="AZ163" s="401"/>
      <c r="BA163" s="401"/>
      <c r="BB163" s="401"/>
      <c r="BC163" s="401"/>
      <c r="BD163" s="401"/>
      <c r="BE163" s="401">
        <v>0</v>
      </c>
      <c r="BF163" s="401"/>
      <c r="BG163" s="401"/>
      <c r="BH163" s="401">
        <v>0</v>
      </c>
      <c r="BI163" s="401"/>
      <c r="BJ163" s="401"/>
      <c r="BK163" s="672">
        <f>18000000+21000000+11050000</f>
        <v>50050000</v>
      </c>
      <c r="BL163" s="402">
        <v>38588800</v>
      </c>
      <c r="BM163" s="402">
        <v>5998800</v>
      </c>
      <c r="BN163" s="402"/>
      <c r="BO163" s="402"/>
      <c r="BP163" s="402"/>
      <c r="BQ163" s="401">
        <v>0</v>
      </c>
      <c r="BR163" s="403"/>
      <c r="BS163" s="403"/>
      <c r="BT163" s="403"/>
      <c r="BU163" s="403"/>
      <c r="BV163" s="403"/>
      <c r="BW163" s="403">
        <v>0</v>
      </c>
      <c r="BX163" s="403"/>
      <c r="BY163" s="403"/>
      <c r="BZ163" s="401">
        <f t="shared" si="56"/>
        <v>50050000</v>
      </c>
      <c r="CA163" s="401">
        <f t="shared" si="56"/>
        <v>38588800</v>
      </c>
      <c r="CB163" s="401">
        <f t="shared" si="56"/>
        <v>5998800</v>
      </c>
    </row>
    <row r="164" spans="1:80" ht="30" customHeight="1" x14ac:dyDescent="0.2">
      <c r="A164" s="42"/>
      <c r="B164" s="92"/>
      <c r="C164" s="714"/>
      <c r="D164" s="709"/>
      <c r="E164" s="714"/>
      <c r="F164" s="714"/>
      <c r="G164" s="58"/>
      <c r="H164" s="59"/>
      <c r="I164" s="58"/>
      <c r="J164" s="60"/>
      <c r="K164" s="84"/>
      <c r="L164" s="84"/>
      <c r="M164" s="84"/>
      <c r="N164" s="60"/>
      <c r="O164" s="59"/>
      <c r="P164" s="58"/>
      <c r="Q164" s="59"/>
      <c r="R164" s="410">
        <f t="shared" ref="R164:BY164" si="57">SUM(R162:R163)</f>
        <v>0</v>
      </c>
      <c r="S164" s="410">
        <f t="shared" si="57"/>
        <v>0</v>
      </c>
      <c r="T164" s="410">
        <f t="shared" si="57"/>
        <v>0</v>
      </c>
      <c r="U164" s="410">
        <f t="shared" si="57"/>
        <v>0</v>
      </c>
      <c r="V164" s="410">
        <f t="shared" si="57"/>
        <v>0</v>
      </c>
      <c r="W164" s="410">
        <f t="shared" si="57"/>
        <v>0</v>
      </c>
      <c r="X164" s="410">
        <f t="shared" si="57"/>
        <v>0</v>
      </c>
      <c r="Y164" s="410">
        <f t="shared" si="57"/>
        <v>0</v>
      </c>
      <c r="Z164" s="410">
        <f t="shared" si="57"/>
        <v>0</v>
      </c>
      <c r="AA164" s="410">
        <f t="shared" si="57"/>
        <v>0</v>
      </c>
      <c r="AB164" s="410">
        <f t="shared" si="57"/>
        <v>0</v>
      </c>
      <c r="AC164" s="410">
        <f t="shared" si="57"/>
        <v>0</v>
      </c>
      <c r="AD164" s="410">
        <f t="shared" si="57"/>
        <v>0</v>
      </c>
      <c r="AE164" s="410">
        <f t="shared" si="57"/>
        <v>0</v>
      </c>
      <c r="AF164" s="410">
        <f t="shared" si="57"/>
        <v>0</v>
      </c>
      <c r="AG164" s="410">
        <f t="shared" si="57"/>
        <v>0</v>
      </c>
      <c r="AH164" s="410">
        <f t="shared" si="57"/>
        <v>0</v>
      </c>
      <c r="AI164" s="410">
        <f t="shared" si="57"/>
        <v>0</v>
      </c>
      <c r="AJ164" s="410">
        <f t="shared" si="57"/>
        <v>0</v>
      </c>
      <c r="AK164" s="410">
        <f t="shared" si="57"/>
        <v>0</v>
      </c>
      <c r="AL164" s="410">
        <f t="shared" si="57"/>
        <v>0</v>
      </c>
      <c r="AM164" s="410">
        <f t="shared" si="57"/>
        <v>0</v>
      </c>
      <c r="AN164" s="410">
        <f t="shared" si="57"/>
        <v>0</v>
      </c>
      <c r="AO164" s="410">
        <f t="shared" si="57"/>
        <v>0</v>
      </c>
      <c r="AP164" s="410">
        <f t="shared" si="57"/>
        <v>0</v>
      </c>
      <c r="AQ164" s="410">
        <f t="shared" si="57"/>
        <v>0</v>
      </c>
      <c r="AR164" s="410">
        <f t="shared" si="57"/>
        <v>0</v>
      </c>
      <c r="AS164" s="410">
        <f t="shared" si="57"/>
        <v>0</v>
      </c>
      <c r="AT164" s="410">
        <f t="shared" si="57"/>
        <v>0</v>
      </c>
      <c r="AU164" s="410">
        <f t="shared" si="57"/>
        <v>0</v>
      </c>
      <c r="AV164" s="410">
        <f t="shared" si="57"/>
        <v>0</v>
      </c>
      <c r="AW164" s="410">
        <f t="shared" si="57"/>
        <v>0</v>
      </c>
      <c r="AX164" s="410">
        <f t="shared" si="57"/>
        <v>0</v>
      </c>
      <c r="AY164" s="410">
        <f t="shared" si="57"/>
        <v>0</v>
      </c>
      <c r="AZ164" s="410">
        <f t="shared" si="57"/>
        <v>0</v>
      </c>
      <c r="BA164" s="410">
        <f t="shared" si="57"/>
        <v>0</v>
      </c>
      <c r="BB164" s="410">
        <f t="shared" si="57"/>
        <v>0</v>
      </c>
      <c r="BC164" s="410">
        <f t="shared" si="57"/>
        <v>0</v>
      </c>
      <c r="BD164" s="410">
        <f t="shared" si="57"/>
        <v>0</v>
      </c>
      <c r="BE164" s="410">
        <f t="shared" si="57"/>
        <v>0</v>
      </c>
      <c r="BF164" s="410">
        <f t="shared" si="57"/>
        <v>0</v>
      </c>
      <c r="BG164" s="410">
        <f t="shared" si="57"/>
        <v>0</v>
      </c>
      <c r="BH164" s="410">
        <f t="shared" si="57"/>
        <v>0</v>
      </c>
      <c r="BI164" s="410">
        <f t="shared" si="57"/>
        <v>0</v>
      </c>
      <c r="BJ164" s="410">
        <f t="shared" si="57"/>
        <v>0</v>
      </c>
      <c r="BK164" s="410">
        <f t="shared" si="57"/>
        <v>63000000</v>
      </c>
      <c r="BL164" s="410">
        <f t="shared" si="57"/>
        <v>44588800</v>
      </c>
      <c r="BM164" s="410">
        <f t="shared" si="57"/>
        <v>10998800</v>
      </c>
      <c r="BN164" s="410">
        <f t="shared" si="57"/>
        <v>0</v>
      </c>
      <c r="BO164" s="410">
        <f t="shared" si="57"/>
        <v>0</v>
      </c>
      <c r="BP164" s="410">
        <f t="shared" si="57"/>
        <v>0</v>
      </c>
      <c r="BQ164" s="410">
        <f t="shared" si="57"/>
        <v>0</v>
      </c>
      <c r="BR164" s="410">
        <f t="shared" si="57"/>
        <v>0</v>
      </c>
      <c r="BS164" s="410">
        <f t="shared" si="57"/>
        <v>0</v>
      </c>
      <c r="BT164" s="410">
        <f t="shared" si="57"/>
        <v>0</v>
      </c>
      <c r="BU164" s="410">
        <f t="shared" si="57"/>
        <v>0</v>
      </c>
      <c r="BV164" s="410">
        <f t="shared" si="57"/>
        <v>0</v>
      </c>
      <c r="BW164" s="410">
        <f t="shared" si="57"/>
        <v>0</v>
      </c>
      <c r="BX164" s="410">
        <f t="shared" si="57"/>
        <v>0</v>
      </c>
      <c r="BY164" s="410">
        <f t="shared" si="57"/>
        <v>0</v>
      </c>
      <c r="BZ164" s="410">
        <f t="shared" ref="BZ164:CB164" si="58">SUM(BZ162:BZ163)</f>
        <v>63000000</v>
      </c>
      <c r="CA164" s="410">
        <f t="shared" si="58"/>
        <v>44588800</v>
      </c>
      <c r="CB164" s="410">
        <f t="shared" si="58"/>
        <v>10998800</v>
      </c>
    </row>
    <row r="165" spans="1:80" ht="30" customHeight="1" x14ac:dyDescent="0.2">
      <c r="A165" s="42"/>
      <c r="B165" s="62"/>
      <c r="C165" s="97"/>
      <c r="D165" s="62"/>
      <c r="E165" s="63"/>
      <c r="F165" s="63"/>
      <c r="G165" s="62"/>
      <c r="H165" s="63"/>
      <c r="I165" s="62"/>
      <c r="J165" s="64"/>
      <c r="K165" s="100"/>
      <c r="L165" s="100"/>
      <c r="M165" s="100"/>
      <c r="N165" s="64"/>
      <c r="O165" s="63"/>
      <c r="P165" s="62"/>
      <c r="Q165" s="63"/>
      <c r="R165" s="416">
        <f t="shared" ref="R165:CB165" si="59">R164+R159+R153</f>
        <v>0</v>
      </c>
      <c r="S165" s="416">
        <f t="shared" si="59"/>
        <v>0</v>
      </c>
      <c r="T165" s="416">
        <f t="shared" si="59"/>
        <v>0</v>
      </c>
      <c r="U165" s="416">
        <f t="shared" si="59"/>
        <v>0</v>
      </c>
      <c r="V165" s="416">
        <f t="shared" si="59"/>
        <v>0</v>
      </c>
      <c r="W165" s="416">
        <f t="shared" si="59"/>
        <v>0</v>
      </c>
      <c r="X165" s="416">
        <f t="shared" si="59"/>
        <v>0</v>
      </c>
      <c r="Y165" s="416">
        <f t="shared" si="59"/>
        <v>0</v>
      </c>
      <c r="Z165" s="416">
        <f t="shared" si="59"/>
        <v>0</v>
      </c>
      <c r="AA165" s="416">
        <f t="shared" si="59"/>
        <v>0</v>
      </c>
      <c r="AB165" s="416">
        <f t="shared" si="59"/>
        <v>0</v>
      </c>
      <c r="AC165" s="416">
        <f t="shared" si="59"/>
        <v>0</v>
      </c>
      <c r="AD165" s="416">
        <f t="shared" si="59"/>
        <v>0</v>
      </c>
      <c r="AE165" s="416">
        <f t="shared" si="59"/>
        <v>0</v>
      </c>
      <c r="AF165" s="416">
        <f t="shared" si="59"/>
        <v>0</v>
      </c>
      <c r="AG165" s="416">
        <f t="shared" si="59"/>
        <v>0</v>
      </c>
      <c r="AH165" s="416">
        <f t="shared" si="59"/>
        <v>0</v>
      </c>
      <c r="AI165" s="416">
        <f t="shared" si="59"/>
        <v>0</v>
      </c>
      <c r="AJ165" s="416">
        <f t="shared" si="59"/>
        <v>0</v>
      </c>
      <c r="AK165" s="416">
        <f t="shared" si="59"/>
        <v>0</v>
      </c>
      <c r="AL165" s="416">
        <f t="shared" si="59"/>
        <v>0</v>
      </c>
      <c r="AM165" s="416">
        <f t="shared" si="59"/>
        <v>0</v>
      </c>
      <c r="AN165" s="416">
        <f t="shared" si="59"/>
        <v>0</v>
      </c>
      <c r="AO165" s="416">
        <f t="shared" si="59"/>
        <v>0</v>
      </c>
      <c r="AP165" s="416">
        <f t="shared" si="59"/>
        <v>0</v>
      </c>
      <c r="AQ165" s="416">
        <f t="shared" si="59"/>
        <v>0</v>
      </c>
      <c r="AR165" s="416">
        <f t="shared" si="59"/>
        <v>0</v>
      </c>
      <c r="AS165" s="416">
        <f t="shared" si="59"/>
        <v>0</v>
      </c>
      <c r="AT165" s="416">
        <f t="shared" si="59"/>
        <v>0</v>
      </c>
      <c r="AU165" s="416">
        <f t="shared" si="59"/>
        <v>0</v>
      </c>
      <c r="AV165" s="416">
        <f t="shared" si="59"/>
        <v>0</v>
      </c>
      <c r="AW165" s="416">
        <f t="shared" si="59"/>
        <v>0</v>
      </c>
      <c r="AX165" s="416">
        <f t="shared" si="59"/>
        <v>0</v>
      </c>
      <c r="AY165" s="416">
        <f t="shared" si="59"/>
        <v>0</v>
      </c>
      <c r="AZ165" s="416">
        <f t="shared" si="59"/>
        <v>0</v>
      </c>
      <c r="BA165" s="416">
        <f t="shared" si="59"/>
        <v>0</v>
      </c>
      <c r="BB165" s="416">
        <f t="shared" si="59"/>
        <v>0</v>
      </c>
      <c r="BC165" s="416">
        <f t="shared" si="59"/>
        <v>0</v>
      </c>
      <c r="BD165" s="416">
        <f t="shared" si="59"/>
        <v>0</v>
      </c>
      <c r="BE165" s="416">
        <f t="shared" si="59"/>
        <v>0</v>
      </c>
      <c r="BF165" s="416">
        <f t="shared" si="59"/>
        <v>0</v>
      </c>
      <c r="BG165" s="416">
        <f t="shared" si="59"/>
        <v>0</v>
      </c>
      <c r="BH165" s="416">
        <f t="shared" si="59"/>
        <v>0</v>
      </c>
      <c r="BI165" s="416">
        <f t="shared" si="59"/>
        <v>0</v>
      </c>
      <c r="BJ165" s="416">
        <f t="shared" si="59"/>
        <v>0</v>
      </c>
      <c r="BK165" s="416">
        <f t="shared" si="59"/>
        <v>614000000</v>
      </c>
      <c r="BL165" s="416">
        <f t="shared" si="59"/>
        <v>321815222</v>
      </c>
      <c r="BM165" s="416">
        <f t="shared" si="59"/>
        <v>212484955</v>
      </c>
      <c r="BN165" s="416">
        <f t="shared" si="59"/>
        <v>0</v>
      </c>
      <c r="BO165" s="416">
        <f t="shared" si="59"/>
        <v>0</v>
      </c>
      <c r="BP165" s="416">
        <f t="shared" si="59"/>
        <v>0</v>
      </c>
      <c r="BQ165" s="416">
        <f t="shared" si="59"/>
        <v>0</v>
      </c>
      <c r="BR165" s="416">
        <f t="shared" si="59"/>
        <v>0</v>
      </c>
      <c r="BS165" s="416">
        <f t="shared" si="59"/>
        <v>0</v>
      </c>
      <c r="BT165" s="416">
        <f t="shared" si="59"/>
        <v>0</v>
      </c>
      <c r="BU165" s="416">
        <f t="shared" si="59"/>
        <v>0</v>
      </c>
      <c r="BV165" s="416">
        <f t="shared" si="59"/>
        <v>0</v>
      </c>
      <c r="BW165" s="416">
        <f t="shared" si="59"/>
        <v>0</v>
      </c>
      <c r="BX165" s="416">
        <f t="shared" si="59"/>
        <v>0</v>
      </c>
      <c r="BY165" s="416">
        <f t="shared" si="59"/>
        <v>0</v>
      </c>
      <c r="BZ165" s="416">
        <f t="shared" si="59"/>
        <v>614000000</v>
      </c>
      <c r="CA165" s="416">
        <f t="shared" si="59"/>
        <v>321815222</v>
      </c>
      <c r="CB165" s="416">
        <f t="shared" si="59"/>
        <v>212484955</v>
      </c>
    </row>
    <row r="166" spans="1:80" ht="30" customHeight="1" x14ac:dyDescent="0.2">
      <c r="A166" s="42"/>
      <c r="B166" s="729"/>
      <c r="C166" s="150"/>
      <c r="D166" s="72"/>
      <c r="E166" s="150"/>
      <c r="F166" s="150"/>
      <c r="G166" s="72"/>
      <c r="H166" s="150"/>
      <c r="I166" s="72"/>
      <c r="J166" s="73"/>
      <c r="K166" s="83"/>
      <c r="L166" s="171"/>
      <c r="M166" s="171"/>
      <c r="N166" s="119"/>
      <c r="O166" s="400"/>
      <c r="P166" s="101"/>
      <c r="Q166" s="150"/>
      <c r="R166" s="405"/>
      <c r="S166" s="405"/>
      <c r="T166" s="405"/>
      <c r="U166" s="406"/>
      <c r="V166" s="406"/>
      <c r="W166" s="406"/>
      <c r="X166" s="405"/>
      <c r="Y166" s="405"/>
      <c r="Z166" s="405"/>
      <c r="AA166" s="405"/>
      <c r="AB166" s="405"/>
      <c r="AC166" s="405"/>
      <c r="AD166" s="405"/>
      <c r="AE166" s="405"/>
      <c r="AF166" s="405"/>
      <c r="AG166" s="405"/>
      <c r="AH166" s="405"/>
      <c r="AI166" s="405"/>
      <c r="AJ166" s="405"/>
      <c r="AK166" s="405"/>
      <c r="AL166" s="405"/>
      <c r="AM166" s="405"/>
      <c r="AN166" s="405"/>
      <c r="AO166" s="405"/>
      <c r="AP166" s="405"/>
      <c r="AQ166" s="405"/>
      <c r="AR166" s="405"/>
      <c r="AS166" s="405"/>
      <c r="AT166" s="405"/>
      <c r="AU166" s="405"/>
      <c r="AV166" s="405"/>
      <c r="AW166" s="405"/>
      <c r="AX166" s="405"/>
      <c r="AY166" s="406"/>
      <c r="AZ166" s="406"/>
      <c r="BA166" s="406"/>
      <c r="BB166" s="406"/>
      <c r="BC166" s="406"/>
      <c r="BD166" s="406"/>
      <c r="BE166" s="405"/>
      <c r="BF166" s="405"/>
      <c r="BG166" s="405"/>
      <c r="BH166" s="405"/>
      <c r="BI166" s="442"/>
      <c r="BJ166" s="442"/>
      <c r="BK166" s="443"/>
      <c r="BL166" s="443"/>
      <c r="BM166" s="443"/>
      <c r="BN166" s="442"/>
      <c r="BO166" s="442"/>
      <c r="BP166" s="442"/>
      <c r="BQ166" s="405"/>
      <c r="BR166" s="405"/>
      <c r="BS166" s="405"/>
      <c r="BT166" s="405"/>
      <c r="BU166" s="405"/>
      <c r="BV166" s="405"/>
      <c r="BW166" s="406"/>
      <c r="BX166" s="406"/>
      <c r="BY166" s="406"/>
      <c r="BZ166" s="405"/>
      <c r="CA166" s="405"/>
      <c r="CB166" s="409"/>
    </row>
    <row r="167" spans="1:80" ht="30" customHeight="1" x14ac:dyDescent="0.2">
      <c r="A167" s="42"/>
      <c r="B167" s="152">
        <v>25</v>
      </c>
      <c r="C167" s="181" t="s">
        <v>237</v>
      </c>
      <c r="D167" s="182"/>
      <c r="E167" s="182"/>
      <c r="F167" s="182"/>
      <c r="G167" s="182"/>
      <c r="H167" s="181"/>
      <c r="I167" s="182"/>
      <c r="J167" s="182"/>
      <c r="K167" s="183"/>
      <c r="L167" s="183"/>
      <c r="M167" s="183"/>
      <c r="N167" s="181"/>
      <c r="O167" s="181"/>
      <c r="P167" s="182"/>
      <c r="Q167" s="182"/>
      <c r="R167" s="447"/>
      <c r="S167" s="447"/>
      <c r="T167" s="447"/>
      <c r="U167" s="447"/>
      <c r="V167" s="447"/>
      <c r="W167" s="447"/>
      <c r="X167" s="447"/>
      <c r="Y167" s="447"/>
      <c r="Z167" s="447"/>
      <c r="AA167" s="447"/>
      <c r="AB167" s="447"/>
      <c r="AC167" s="447"/>
      <c r="AD167" s="447"/>
      <c r="AE167" s="447"/>
      <c r="AF167" s="447"/>
      <c r="AG167" s="447"/>
      <c r="AH167" s="447"/>
      <c r="AI167" s="447"/>
      <c r="AJ167" s="447"/>
      <c r="AK167" s="447"/>
      <c r="AL167" s="447"/>
      <c r="AM167" s="447"/>
      <c r="AN167" s="447"/>
      <c r="AO167" s="447"/>
      <c r="AP167" s="447"/>
      <c r="AQ167" s="447"/>
      <c r="AR167" s="447"/>
      <c r="AS167" s="447"/>
      <c r="AT167" s="447"/>
      <c r="AU167" s="447"/>
      <c r="AV167" s="447"/>
      <c r="AW167" s="447"/>
      <c r="AX167" s="447"/>
      <c r="AY167" s="447"/>
      <c r="AZ167" s="447"/>
      <c r="BA167" s="447"/>
      <c r="BB167" s="447"/>
      <c r="BC167" s="447"/>
      <c r="BD167" s="447"/>
      <c r="BE167" s="447"/>
      <c r="BF167" s="447"/>
      <c r="BG167" s="447"/>
      <c r="BH167" s="447"/>
      <c r="BI167" s="447"/>
      <c r="BJ167" s="447"/>
      <c r="BK167" s="448"/>
      <c r="BL167" s="448"/>
      <c r="BM167" s="448"/>
      <c r="BN167" s="447"/>
      <c r="BO167" s="447"/>
      <c r="BP167" s="447"/>
      <c r="BQ167" s="447"/>
      <c r="BR167" s="447"/>
      <c r="BS167" s="447"/>
      <c r="BT167" s="447"/>
      <c r="BU167" s="447"/>
      <c r="BV167" s="447"/>
      <c r="BW167" s="447"/>
      <c r="BX167" s="447"/>
      <c r="BY167" s="447"/>
      <c r="BZ167" s="449"/>
      <c r="CA167" s="449"/>
      <c r="CB167" s="449"/>
    </row>
    <row r="168" spans="1:80" ht="30" customHeight="1" x14ac:dyDescent="0.2">
      <c r="A168" s="42"/>
      <c r="B168" s="76"/>
      <c r="C168" s="27"/>
      <c r="D168" s="536"/>
      <c r="E168" s="536"/>
      <c r="F168" s="536"/>
      <c r="G168" s="78">
        <v>81</v>
      </c>
      <c r="H168" s="79" t="s">
        <v>238</v>
      </c>
      <c r="I168" s="79"/>
      <c r="J168" s="79"/>
      <c r="K168" s="184"/>
      <c r="L168" s="184"/>
      <c r="M168" s="184"/>
      <c r="N168" s="173"/>
      <c r="O168" s="173"/>
      <c r="P168" s="79"/>
      <c r="Q168" s="80"/>
      <c r="R168" s="267"/>
      <c r="S168" s="267"/>
      <c r="T168" s="267"/>
      <c r="U168" s="267"/>
      <c r="V168" s="267"/>
      <c r="W168" s="267"/>
      <c r="X168" s="267"/>
      <c r="Y168" s="267"/>
      <c r="Z168" s="267"/>
      <c r="AA168" s="267"/>
      <c r="AB168" s="267"/>
      <c r="AC168" s="267"/>
      <c r="AD168" s="267"/>
      <c r="AE168" s="267"/>
      <c r="AF168" s="267"/>
      <c r="AG168" s="267"/>
      <c r="AH168" s="267"/>
      <c r="AI168" s="267"/>
      <c r="AJ168" s="267"/>
      <c r="AK168" s="267"/>
      <c r="AL168" s="267"/>
      <c r="AM168" s="267"/>
      <c r="AN168" s="267"/>
      <c r="AO168" s="267"/>
      <c r="AP168" s="267"/>
      <c r="AQ168" s="267"/>
      <c r="AR168" s="267"/>
      <c r="AS168" s="267"/>
      <c r="AT168" s="267"/>
      <c r="AU168" s="267"/>
      <c r="AV168" s="267"/>
      <c r="AW168" s="267"/>
      <c r="AX168" s="267"/>
      <c r="AY168" s="267"/>
      <c r="AZ168" s="267"/>
      <c r="BA168" s="267"/>
      <c r="BB168" s="267"/>
      <c r="BC168" s="267"/>
      <c r="BD168" s="267"/>
      <c r="BE168" s="267"/>
      <c r="BF168" s="267"/>
      <c r="BG168" s="267"/>
      <c r="BH168" s="267"/>
      <c r="BI168" s="267"/>
      <c r="BJ168" s="267"/>
      <c r="BK168" s="414"/>
      <c r="BL168" s="414"/>
      <c r="BM168" s="414"/>
      <c r="BN168" s="267"/>
      <c r="BO168" s="267"/>
      <c r="BP168" s="267"/>
      <c r="BQ168" s="267"/>
      <c r="BR168" s="267"/>
      <c r="BS168" s="267"/>
      <c r="BT168" s="267"/>
      <c r="BU168" s="267"/>
      <c r="BV168" s="267"/>
      <c r="BW168" s="267"/>
      <c r="BX168" s="267"/>
      <c r="BY168" s="267"/>
      <c r="BZ168" s="269"/>
      <c r="CA168" s="269"/>
      <c r="CB168" s="269"/>
    </row>
    <row r="169" spans="1:80" ht="51" customHeight="1" x14ac:dyDescent="0.2">
      <c r="A169" s="42"/>
      <c r="B169" s="42"/>
      <c r="C169" s="883">
        <v>13</v>
      </c>
      <c r="D169" s="891" t="s">
        <v>215</v>
      </c>
      <c r="E169" s="883" t="s">
        <v>216</v>
      </c>
      <c r="F169" s="883" t="s">
        <v>217</v>
      </c>
      <c r="G169" s="43"/>
      <c r="H169" s="57">
        <v>236</v>
      </c>
      <c r="I169" s="729" t="s">
        <v>239</v>
      </c>
      <c r="J169" s="44">
        <v>1</v>
      </c>
      <c r="K169" s="818">
        <v>8</v>
      </c>
      <c r="L169" s="370">
        <v>7</v>
      </c>
      <c r="M169" s="884">
        <v>2017003630019</v>
      </c>
      <c r="N169" s="895" t="s">
        <v>240</v>
      </c>
      <c r="O169" s="895" t="s">
        <v>241</v>
      </c>
      <c r="P169" s="890" t="s">
        <v>966</v>
      </c>
      <c r="Q169" s="57" t="s">
        <v>67</v>
      </c>
      <c r="R169" s="401">
        <v>0</v>
      </c>
      <c r="S169" s="401"/>
      <c r="T169" s="401"/>
      <c r="U169" s="401">
        <v>0</v>
      </c>
      <c r="V169" s="401"/>
      <c r="W169" s="401"/>
      <c r="X169" s="401">
        <v>0</v>
      </c>
      <c r="Y169" s="401"/>
      <c r="Z169" s="401"/>
      <c r="AA169" s="401">
        <v>0</v>
      </c>
      <c r="AB169" s="401"/>
      <c r="AC169" s="401"/>
      <c r="AD169" s="401">
        <v>0</v>
      </c>
      <c r="AE169" s="401"/>
      <c r="AF169" s="401"/>
      <c r="AG169" s="401">
        <v>0</v>
      </c>
      <c r="AH169" s="401"/>
      <c r="AI169" s="401"/>
      <c r="AJ169" s="401">
        <v>0</v>
      </c>
      <c r="AK169" s="401"/>
      <c r="AL169" s="401"/>
      <c r="AM169" s="401"/>
      <c r="AN169" s="401"/>
      <c r="AO169" s="401"/>
      <c r="AP169" s="401"/>
      <c r="AQ169" s="401"/>
      <c r="AR169" s="401"/>
      <c r="AS169" s="401">
        <v>0</v>
      </c>
      <c r="AT169" s="401"/>
      <c r="AU169" s="401"/>
      <c r="AV169" s="401">
        <v>0</v>
      </c>
      <c r="AW169" s="401"/>
      <c r="AX169" s="401"/>
      <c r="AY169" s="401"/>
      <c r="AZ169" s="401"/>
      <c r="BA169" s="401"/>
      <c r="BB169" s="401"/>
      <c r="BC169" s="401"/>
      <c r="BD169" s="401"/>
      <c r="BE169" s="401">
        <v>0</v>
      </c>
      <c r="BF169" s="401"/>
      <c r="BG169" s="401"/>
      <c r="BH169" s="401">
        <v>0</v>
      </c>
      <c r="BI169" s="403"/>
      <c r="BJ169" s="403"/>
      <c r="BK169" s="404">
        <f>63000000+42000000</f>
        <v>105000000</v>
      </c>
      <c r="BL169" s="404">
        <v>95018800</v>
      </c>
      <c r="BM169" s="404">
        <v>57955683</v>
      </c>
      <c r="BN169" s="404"/>
      <c r="BO169" s="404"/>
      <c r="BP169" s="404"/>
      <c r="BQ169" s="401">
        <v>0</v>
      </c>
      <c r="BR169" s="403"/>
      <c r="BS169" s="403"/>
      <c r="BT169" s="403"/>
      <c r="BU169" s="403"/>
      <c r="BV169" s="403"/>
      <c r="BW169" s="403">
        <v>0</v>
      </c>
      <c r="BX169" s="403"/>
      <c r="BY169" s="403"/>
      <c r="BZ169" s="401">
        <f t="shared" ref="BZ169:CB173" si="60">R169+U169+X169+AA169+AD169+AG169+AJ169+AM169+AP169+AS169+AV169+AY169+BB169+BE169+BH169+BK169+BN169+BQ169+BT169+BW169</f>
        <v>105000000</v>
      </c>
      <c r="CA169" s="401">
        <f t="shared" si="60"/>
        <v>95018800</v>
      </c>
      <c r="CB169" s="401">
        <f t="shared" si="60"/>
        <v>57955683</v>
      </c>
    </row>
    <row r="170" spans="1:80" ht="71.25" customHeight="1" x14ac:dyDescent="0.2">
      <c r="A170" s="42"/>
      <c r="B170" s="42"/>
      <c r="C170" s="883"/>
      <c r="D170" s="891"/>
      <c r="E170" s="883"/>
      <c r="F170" s="883"/>
      <c r="G170" s="49"/>
      <c r="H170" s="57">
        <v>237</v>
      </c>
      <c r="I170" s="729" t="s">
        <v>243</v>
      </c>
      <c r="J170" s="44" t="s">
        <v>43</v>
      </c>
      <c r="K170" s="818">
        <v>20</v>
      </c>
      <c r="L170" s="370">
        <v>19</v>
      </c>
      <c r="M170" s="885"/>
      <c r="N170" s="883"/>
      <c r="O170" s="883"/>
      <c r="P170" s="891"/>
      <c r="Q170" s="57" t="s">
        <v>67</v>
      </c>
      <c r="R170" s="401">
        <v>0</v>
      </c>
      <c r="S170" s="401"/>
      <c r="T170" s="401"/>
      <c r="U170" s="401">
        <v>0</v>
      </c>
      <c r="V170" s="401"/>
      <c r="W170" s="401"/>
      <c r="X170" s="401">
        <v>0</v>
      </c>
      <c r="Y170" s="401"/>
      <c r="Z170" s="401"/>
      <c r="AA170" s="401">
        <v>0</v>
      </c>
      <c r="AB170" s="401"/>
      <c r="AC170" s="401"/>
      <c r="AD170" s="401">
        <v>0</v>
      </c>
      <c r="AE170" s="401"/>
      <c r="AF170" s="401"/>
      <c r="AG170" s="401">
        <v>0</v>
      </c>
      <c r="AH170" s="401"/>
      <c r="AI170" s="401"/>
      <c r="AJ170" s="401">
        <v>0</v>
      </c>
      <c r="AK170" s="401"/>
      <c r="AL170" s="401"/>
      <c r="AM170" s="401"/>
      <c r="AN170" s="401"/>
      <c r="AO170" s="401"/>
      <c r="AP170" s="401"/>
      <c r="AQ170" s="401"/>
      <c r="AR170" s="401"/>
      <c r="AS170" s="401">
        <v>0</v>
      </c>
      <c r="AT170" s="401"/>
      <c r="AU170" s="401"/>
      <c r="AV170" s="401">
        <v>0</v>
      </c>
      <c r="AW170" s="401"/>
      <c r="AX170" s="401"/>
      <c r="AY170" s="401"/>
      <c r="AZ170" s="401"/>
      <c r="BA170" s="401"/>
      <c r="BB170" s="401"/>
      <c r="BC170" s="401"/>
      <c r="BD170" s="401"/>
      <c r="BE170" s="401">
        <v>0</v>
      </c>
      <c r="BF170" s="401"/>
      <c r="BG170" s="401"/>
      <c r="BH170" s="401">
        <v>0</v>
      </c>
      <c r="BI170" s="403"/>
      <c r="BJ170" s="403"/>
      <c r="BK170" s="404">
        <f>22000000+5000000</f>
        <v>27000000</v>
      </c>
      <c r="BL170" s="404">
        <v>23604000</v>
      </c>
      <c r="BM170" s="404">
        <v>14098400</v>
      </c>
      <c r="BN170" s="404"/>
      <c r="BO170" s="404"/>
      <c r="BP170" s="404"/>
      <c r="BQ170" s="401">
        <v>0</v>
      </c>
      <c r="BR170" s="403"/>
      <c r="BS170" s="403"/>
      <c r="BT170" s="403"/>
      <c r="BU170" s="403"/>
      <c r="BV170" s="403"/>
      <c r="BW170" s="403">
        <v>0</v>
      </c>
      <c r="BX170" s="403"/>
      <c r="BY170" s="403"/>
      <c r="BZ170" s="401">
        <f t="shared" si="60"/>
        <v>27000000</v>
      </c>
      <c r="CA170" s="401">
        <f t="shared" si="60"/>
        <v>23604000</v>
      </c>
      <c r="CB170" s="401">
        <f t="shared" si="60"/>
        <v>14098400</v>
      </c>
    </row>
    <row r="171" spans="1:80" ht="86.25" customHeight="1" x14ac:dyDescent="0.2">
      <c r="A171" s="42"/>
      <c r="B171" s="42"/>
      <c r="C171" s="883"/>
      <c r="D171" s="891"/>
      <c r="E171" s="883"/>
      <c r="F171" s="883"/>
      <c r="G171" s="49"/>
      <c r="H171" s="57">
        <v>238</v>
      </c>
      <c r="I171" s="729" t="s">
        <v>244</v>
      </c>
      <c r="J171" s="44" t="s">
        <v>43</v>
      </c>
      <c r="K171" s="818">
        <v>12</v>
      </c>
      <c r="L171" s="370">
        <v>11</v>
      </c>
      <c r="M171" s="885"/>
      <c r="N171" s="883"/>
      <c r="O171" s="883"/>
      <c r="P171" s="891"/>
      <c r="Q171" s="57" t="s">
        <v>52</v>
      </c>
      <c r="R171" s="401">
        <v>0</v>
      </c>
      <c r="S171" s="401"/>
      <c r="T171" s="401"/>
      <c r="U171" s="401">
        <v>0</v>
      </c>
      <c r="V171" s="401"/>
      <c r="W171" s="401"/>
      <c r="X171" s="401">
        <v>0</v>
      </c>
      <c r="Y171" s="401"/>
      <c r="Z171" s="401"/>
      <c r="AA171" s="401">
        <v>0</v>
      </c>
      <c r="AB171" s="401"/>
      <c r="AC171" s="401"/>
      <c r="AD171" s="401">
        <v>0</v>
      </c>
      <c r="AE171" s="401"/>
      <c r="AF171" s="401"/>
      <c r="AG171" s="401">
        <v>0</v>
      </c>
      <c r="AH171" s="401"/>
      <c r="AI171" s="401"/>
      <c r="AJ171" s="401">
        <v>0</v>
      </c>
      <c r="AK171" s="401"/>
      <c r="AL171" s="401"/>
      <c r="AM171" s="401"/>
      <c r="AN171" s="401"/>
      <c r="AO171" s="401"/>
      <c r="AP171" s="401"/>
      <c r="AQ171" s="401"/>
      <c r="AR171" s="401"/>
      <c r="AS171" s="401">
        <v>0</v>
      </c>
      <c r="AT171" s="401"/>
      <c r="AU171" s="401"/>
      <c r="AV171" s="401">
        <v>0</v>
      </c>
      <c r="AW171" s="401"/>
      <c r="AX171" s="401"/>
      <c r="AY171" s="401"/>
      <c r="AZ171" s="401"/>
      <c r="BA171" s="401"/>
      <c r="BB171" s="401"/>
      <c r="BC171" s="401"/>
      <c r="BD171" s="401"/>
      <c r="BE171" s="401">
        <v>0</v>
      </c>
      <c r="BF171" s="401"/>
      <c r="BG171" s="401"/>
      <c r="BH171" s="401">
        <v>0</v>
      </c>
      <c r="BI171" s="403"/>
      <c r="BJ171" s="403"/>
      <c r="BK171" s="404">
        <f>73000000+30081242</f>
        <v>103081242</v>
      </c>
      <c r="BL171" s="404">
        <v>60802660</v>
      </c>
      <c r="BM171" s="404">
        <v>33880000</v>
      </c>
      <c r="BN171" s="404"/>
      <c r="BO171" s="404"/>
      <c r="BP171" s="404"/>
      <c r="BQ171" s="401">
        <v>0</v>
      </c>
      <c r="BR171" s="403"/>
      <c r="BS171" s="403"/>
      <c r="BT171" s="403"/>
      <c r="BU171" s="403"/>
      <c r="BV171" s="403"/>
      <c r="BW171" s="403">
        <v>0</v>
      </c>
      <c r="BX171" s="403"/>
      <c r="BY171" s="403"/>
      <c r="BZ171" s="401">
        <f t="shared" si="60"/>
        <v>103081242</v>
      </c>
      <c r="CA171" s="401">
        <f t="shared" si="60"/>
        <v>60802660</v>
      </c>
      <c r="CB171" s="401">
        <f t="shared" si="60"/>
        <v>33880000</v>
      </c>
    </row>
    <row r="172" spans="1:80" ht="63.75" customHeight="1" x14ac:dyDescent="0.2">
      <c r="A172" s="42"/>
      <c r="B172" s="42"/>
      <c r="C172" s="883"/>
      <c r="D172" s="891"/>
      <c r="E172" s="883"/>
      <c r="F172" s="883"/>
      <c r="G172" s="49"/>
      <c r="H172" s="57">
        <v>239</v>
      </c>
      <c r="I172" s="729" t="s">
        <v>245</v>
      </c>
      <c r="J172" s="44" t="s">
        <v>43</v>
      </c>
      <c r="K172" s="818">
        <v>6</v>
      </c>
      <c r="L172" s="45">
        <v>5</v>
      </c>
      <c r="M172" s="885"/>
      <c r="N172" s="883"/>
      <c r="O172" s="883"/>
      <c r="P172" s="891"/>
      <c r="Q172" s="57" t="s">
        <v>67</v>
      </c>
      <c r="R172" s="401">
        <v>0</v>
      </c>
      <c r="S172" s="401"/>
      <c r="T172" s="401"/>
      <c r="U172" s="401">
        <v>0</v>
      </c>
      <c r="V172" s="401"/>
      <c r="W172" s="401"/>
      <c r="X172" s="401">
        <v>0</v>
      </c>
      <c r="Y172" s="401"/>
      <c r="Z172" s="401"/>
      <c r="AA172" s="401">
        <v>0</v>
      </c>
      <c r="AB172" s="401"/>
      <c r="AC172" s="401"/>
      <c r="AD172" s="401">
        <v>0</v>
      </c>
      <c r="AE172" s="401"/>
      <c r="AF172" s="401"/>
      <c r="AG172" s="401">
        <v>0</v>
      </c>
      <c r="AH172" s="401"/>
      <c r="AI172" s="401"/>
      <c r="AJ172" s="401">
        <v>0</v>
      </c>
      <c r="AK172" s="401"/>
      <c r="AL172" s="401"/>
      <c r="AM172" s="401"/>
      <c r="AN172" s="401"/>
      <c r="AO172" s="401"/>
      <c r="AP172" s="401"/>
      <c r="AQ172" s="401"/>
      <c r="AR172" s="401"/>
      <c r="AS172" s="401">
        <v>0</v>
      </c>
      <c r="AT172" s="401"/>
      <c r="AU172" s="401"/>
      <c r="AV172" s="401">
        <v>0</v>
      </c>
      <c r="AW172" s="401"/>
      <c r="AX172" s="401"/>
      <c r="AY172" s="401"/>
      <c r="AZ172" s="401"/>
      <c r="BA172" s="401"/>
      <c r="BB172" s="401"/>
      <c r="BC172" s="401"/>
      <c r="BD172" s="401"/>
      <c r="BE172" s="401">
        <v>0</v>
      </c>
      <c r="BF172" s="401"/>
      <c r="BG172" s="401"/>
      <c r="BH172" s="401">
        <v>0</v>
      </c>
      <c r="BI172" s="403"/>
      <c r="BJ172" s="403"/>
      <c r="BK172" s="404">
        <f>45000000+20000000</f>
        <v>65000000</v>
      </c>
      <c r="BL172" s="404"/>
      <c r="BM172" s="404"/>
      <c r="BN172" s="404"/>
      <c r="BO172" s="404"/>
      <c r="BP172" s="404"/>
      <c r="BQ172" s="401">
        <v>0</v>
      </c>
      <c r="BR172" s="403"/>
      <c r="BS172" s="403"/>
      <c r="BT172" s="403"/>
      <c r="BU172" s="403"/>
      <c r="BV172" s="403"/>
      <c r="BW172" s="403">
        <v>0</v>
      </c>
      <c r="BX172" s="403"/>
      <c r="BY172" s="403"/>
      <c r="BZ172" s="401">
        <f t="shared" si="60"/>
        <v>65000000</v>
      </c>
      <c r="CA172" s="401">
        <f t="shared" si="60"/>
        <v>0</v>
      </c>
      <c r="CB172" s="401">
        <f t="shared" si="60"/>
        <v>0</v>
      </c>
    </row>
    <row r="173" spans="1:80" ht="65.25" customHeight="1" x14ac:dyDescent="0.2">
      <c r="A173" s="42"/>
      <c r="B173" s="42"/>
      <c r="C173" s="883"/>
      <c r="D173" s="891"/>
      <c r="E173" s="883"/>
      <c r="F173" s="883"/>
      <c r="G173" s="49"/>
      <c r="H173" s="57">
        <v>240</v>
      </c>
      <c r="I173" s="729" t="s">
        <v>246</v>
      </c>
      <c r="J173" s="44">
        <v>1</v>
      </c>
      <c r="K173" s="370">
        <v>1</v>
      </c>
      <c r="L173" s="110">
        <v>0.75</v>
      </c>
      <c r="M173" s="886"/>
      <c r="N173" s="898"/>
      <c r="O173" s="898"/>
      <c r="P173" s="892"/>
      <c r="Q173" s="57" t="s">
        <v>52</v>
      </c>
      <c r="R173" s="401">
        <v>0</v>
      </c>
      <c r="S173" s="401"/>
      <c r="T173" s="401"/>
      <c r="U173" s="401">
        <v>0</v>
      </c>
      <c r="V173" s="401"/>
      <c r="W173" s="401"/>
      <c r="X173" s="401">
        <v>0</v>
      </c>
      <c r="Y173" s="401"/>
      <c r="Z173" s="401"/>
      <c r="AA173" s="401">
        <v>0</v>
      </c>
      <c r="AB173" s="401"/>
      <c r="AC173" s="401"/>
      <c r="AD173" s="401">
        <v>0</v>
      </c>
      <c r="AE173" s="401"/>
      <c r="AF173" s="401"/>
      <c r="AG173" s="401">
        <v>0</v>
      </c>
      <c r="AH173" s="401"/>
      <c r="AI173" s="401"/>
      <c r="AJ173" s="401">
        <v>0</v>
      </c>
      <c r="AK173" s="401"/>
      <c r="AL173" s="401"/>
      <c r="AM173" s="401"/>
      <c r="AN173" s="401"/>
      <c r="AO173" s="401"/>
      <c r="AP173" s="401"/>
      <c r="AQ173" s="401"/>
      <c r="AR173" s="401"/>
      <c r="AS173" s="401">
        <v>0</v>
      </c>
      <c r="AT173" s="401"/>
      <c r="AU173" s="401"/>
      <c r="AV173" s="401">
        <v>0</v>
      </c>
      <c r="AW173" s="401"/>
      <c r="AX173" s="401"/>
      <c r="AY173" s="401"/>
      <c r="AZ173" s="401"/>
      <c r="BA173" s="401"/>
      <c r="BB173" s="401"/>
      <c r="BC173" s="401"/>
      <c r="BD173" s="401"/>
      <c r="BE173" s="401">
        <v>0</v>
      </c>
      <c r="BF173" s="401"/>
      <c r="BG173" s="401"/>
      <c r="BH173" s="401">
        <v>0</v>
      </c>
      <c r="BI173" s="403"/>
      <c r="BJ173" s="403"/>
      <c r="BK173" s="404">
        <f>250000000+70000000</f>
        <v>320000000</v>
      </c>
      <c r="BL173" s="404">
        <v>195131447</v>
      </c>
      <c r="BM173" s="404">
        <v>130359355</v>
      </c>
      <c r="BN173" s="404"/>
      <c r="BO173" s="404"/>
      <c r="BP173" s="404"/>
      <c r="BQ173" s="401">
        <v>0</v>
      </c>
      <c r="BR173" s="403"/>
      <c r="BS173" s="403"/>
      <c r="BT173" s="403"/>
      <c r="BU173" s="403"/>
      <c r="BV173" s="403"/>
      <c r="BW173" s="403">
        <v>0</v>
      </c>
      <c r="BX173" s="403"/>
      <c r="BY173" s="403"/>
      <c r="BZ173" s="401">
        <f t="shared" si="60"/>
        <v>320000000</v>
      </c>
      <c r="CA173" s="401">
        <f t="shared" si="60"/>
        <v>195131447</v>
      </c>
      <c r="CB173" s="401">
        <f t="shared" si="60"/>
        <v>130359355</v>
      </c>
    </row>
    <row r="174" spans="1:80" ht="30" customHeight="1" x14ac:dyDescent="0.2">
      <c r="A174" s="42"/>
      <c r="B174" s="42"/>
      <c r="C174" s="714"/>
      <c r="D174" s="709"/>
      <c r="E174" s="714"/>
      <c r="F174" s="714"/>
      <c r="G174" s="58"/>
      <c r="H174" s="59"/>
      <c r="I174" s="58"/>
      <c r="J174" s="60"/>
      <c r="K174" s="84"/>
      <c r="L174" s="84"/>
      <c r="M174" s="84"/>
      <c r="N174" s="60"/>
      <c r="O174" s="59"/>
      <c r="P174" s="58"/>
      <c r="Q174" s="59"/>
      <c r="R174" s="410">
        <f t="shared" ref="R174:BY174" si="61">SUM(R169:R173)</f>
        <v>0</v>
      </c>
      <c r="S174" s="410">
        <f t="shared" si="61"/>
        <v>0</v>
      </c>
      <c r="T174" s="410">
        <f t="shared" si="61"/>
        <v>0</v>
      </c>
      <c r="U174" s="410">
        <f t="shared" si="61"/>
        <v>0</v>
      </c>
      <c r="V174" s="410">
        <f t="shared" si="61"/>
        <v>0</v>
      </c>
      <c r="W174" s="410">
        <f t="shared" si="61"/>
        <v>0</v>
      </c>
      <c r="X174" s="410">
        <f t="shared" si="61"/>
        <v>0</v>
      </c>
      <c r="Y174" s="410">
        <f t="shared" si="61"/>
        <v>0</v>
      </c>
      <c r="Z174" s="410">
        <f t="shared" si="61"/>
        <v>0</v>
      </c>
      <c r="AA174" s="410">
        <f t="shared" si="61"/>
        <v>0</v>
      </c>
      <c r="AB174" s="410">
        <f t="shared" si="61"/>
        <v>0</v>
      </c>
      <c r="AC174" s="410">
        <f t="shared" si="61"/>
        <v>0</v>
      </c>
      <c r="AD174" s="410">
        <f t="shared" si="61"/>
        <v>0</v>
      </c>
      <c r="AE174" s="410">
        <f t="shared" si="61"/>
        <v>0</v>
      </c>
      <c r="AF174" s="410">
        <f t="shared" si="61"/>
        <v>0</v>
      </c>
      <c r="AG174" s="410">
        <f t="shared" si="61"/>
        <v>0</v>
      </c>
      <c r="AH174" s="410">
        <f t="shared" si="61"/>
        <v>0</v>
      </c>
      <c r="AI174" s="410">
        <f t="shared" si="61"/>
        <v>0</v>
      </c>
      <c r="AJ174" s="410">
        <f t="shared" si="61"/>
        <v>0</v>
      </c>
      <c r="AK174" s="410">
        <f t="shared" si="61"/>
        <v>0</v>
      </c>
      <c r="AL174" s="410">
        <f t="shared" si="61"/>
        <v>0</v>
      </c>
      <c r="AM174" s="410">
        <f t="shared" si="61"/>
        <v>0</v>
      </c>
      <c r="AN174" s="410">
        <f t="shared" si="61"/>
        <v>0</v>
      </c>
      <c r="AO174" s="410">
        <f t="shared" si="61"/>
        <v>0</v>
      </c>
      <c r="AP174" s="410">
        <f t="shared" si="61"/>
        <v>0</v>
      </c>
      <c r="AQ174" s="410">
        <f t="shared" si="61"/>
        <v>0</v>
      </c>
      <c r="AR174" s="410">
        <f t="shared" si="61"/>
        <v>0</v>
      </c>
      <c r="AS174" s="410">
        <f t="shared" si="61"/>
        <v>0</v>
      </c>
      <c r="AT174" s="410">
        <f t="shared" si="61"/>
        <v>0</v>
      </c>
      <c r="AU174" s="410">
        <f t="shared" si="61"/>
        <v>0</v>
      </c>
      <c r="AV174" s="410">
        <f t="shared" si="61"/>
        <v>0</v>
      </c>
      <c r="AW174" s="410">
        <f t="shared" si="61"/>
        <v>0</v>
      </c>
      <c r="AX174" s="410">
        <f t="shared" si="61"/>
        <v>0</v>
      </c>
      <c r="AY174" s="410">
        <f t="shared" si="61"/>
        <v>0</v>
      </c>
      <c r="AZ174" s="410">
        <f t="shared" si="61"/>
        <v>0</v>
      </c>
      <c r="BA174" s="410">
        <f t="shared" si="61"/>
        <v>0</v>
      </c>
      <c r="BB174" s="410">
        <f t="shared" si="61"/>
        <v>0</v>
      </c>
      <c r="BC174" s="410">
        <f t="shared" si="61"/>
        <v>0</v>
      </c>
      <c r="BD174" s="410">
        <f t="shared" si="61"/>
        <v>0</v>
      </c>
      <c r="BE174" s="410">
        <f t="shared" si="61"/>
        <v>0</v>
      </c>
      <c r="BF174" s="410">
        <f t="shared" si="61"/>
        <v>0</v>
      </c>
      <c r="BG174" s="410">
        <f t="shared" si="61"/>
        <v>0</v>
      </c>
      <c r="BH174" s="410">
        <f t="shared" si="61"/>
        <v>0</v>
      </c>
      <c r="BI174" s="410">
        <f t="shared" si="61"/>
        <v>0</v>
      </c>
      <c r="BJ174" s="410">
        <f t="shared" si="61"/>
        <v>0</v>
      </c>
      <c r="BK174" s="410">
        <f t="shared" si="61"/>
        <v>620081242</v>
      </c>
      <c r="BL174" s="410">
        <f t="shared" si="61"/>
        <v>374556907</v>
      </c>
      <c r="BM174" s="410">
        <f t="shared" si="61"/>
        <v>236293438</v>
      </c>
      <c r="BN174" s="410">
        <f t="shared" si="61"/>
        <v>0</v>
      </c>
      <c r="BO174" s="410">
        <f t="shared" si="61"/>
        <v>0</v>
      </c>
      <c r="BP174" s="410">
        <f t="shared" si="61"/>
        <v>0</v>
      </c>
      <c r="BQ174" s="410">
        <f t="shared" si="61"/>
        <v>0</v>
      </c>
      <c r="BR174" s="410">
        <f t="shared" si="61"/>
        <v>0</v>
      </c>
      <c r="BS174" s="410">
        <f t="shared" si="61"/>
        <v>0</v>
      </c>
      <c r="BT174" s="410">
        <f t="shared" si="61"/>
        <v>0</v>
      </c>
      <c r="BU174" s="410">
        <f t="shared" si="61"/>
        <v>0</v>
      </c>
      <c r="BV174" s="410">
        <f t="shared" si="61"/>
        <v>0</v>
      </c>
      <c r="BW174" s="410">
        <f t="shared" si="61"/>
        <v>0</v>
      </c>
      <c r="BX174" s="410">
        <f t="shared" si="61"/>
        <v>0</v>
      </c>
      <c r="BY174" s="410">
        <f t="shared" si="61"/>
        <v>0</v>
      </c>
      <c r="BZ174" s="410">
        <f>SUM(BZ169:BZ173)</f>
        <v>620081242</v>
      </c>
      <c r="CA174" s="410">
        <f t="shared" ref="CA174:CB174" si="62">SUM(CA169:CA173)</f>
        <v>374556907</v>
      </c>
      <c r="CB174" s="410">
        <f t="shared" si="62"/>
        <v>236293438</v>
      </c>
    </row>
    <row r="175" spans="1:80" ht="30" customHeight="1" x14ac:dyDescent="0.2">
      <c r="A175" s="42"/>
      <c r="B175" s="42"/>
      <c r="C175" s="150"/>
      <c r="D175" s="72"/>
      <c r="E175" s="150"/>
      <c r="F175" s="150"/>
      <c r="G175" s="72"/>
      <c r="H175" s="150"/>
      <c r="I175" s="72"/>
      <c r="J175" s="73"/>
      <c r="K175" s="83"/>
      <c r="L175" s="171"/>
      <c r="M175" s="171"/>
      <c r="N175" s="119"/>
      <c r="O175" s="400"/>
      <c r="P175" s="101"/>
      <c r="Q175" s="150"/>
      <c r="R175" s="405"/>
      <c r="S175" s="405"/>
      <c r="T175" s="405"/>
      <c r="U175" s="406"/>
      <c r="V175" s="406"/>
      <c r="W175" s="406"/>
      <c r="X175" s="405"/>
      <c r="Y175" s="405"/>
      <c r="Z175" s="405"/>
      <c r="AA175" s="405"/>
      <c r="AB175" s="405"/>
      <c r="AC175" s="405"/>
      <c r="AD175" s="405"/>
      <c r="AE175" s="405"/>
      <c r="AF175" s="405"/>
      <c r="AG175" s="405"/>
      <c r="AH175" s="405"/>
      <c r="AI175" s="405"/>
      <c r="AJ175" s="405"/>
      <c r="AK175" s="405"/>
      <c r="AL175" s="405"/>
      <c r="AM175" s="405"/>
      <c r="AN175" s="405"/>
      <c r="AO175" s="405"/>
      <c r="AP175" s="405"/>
      <c r="AQ175" s="405"/>
      <c r="AR175" s="405"/>
      <c r="AS175" s="405"/>
      <c r="AT175" s="405"/>
      <c r="AU175" s="405"/>
      <c r="AV175" s="405"/>
      <c r="AW175" s="405"/>
      <c r="AX175" s="405"/>
      <c r="AY175" s="406"/>
      <c r="AZ175" s="406"/>
      <c r="BA175" s="406"/>
      <c r="BB175" s="406"/>
      <c r="BC175" s="406"/>
      <c r="BD175" s="406"/>
      <c r="BE175" s="405"/>
      <c r="BF175" s="405"/>
      <c r="BG175" s="405"/>
      <c r="BH175" s="405"/>
      <c r="BI175" s="791"/>
      <c r="BJ175" s="791"/>
      <c r="BK175" s="793"/>
      <c r="BL175" s="793"/>
      <c r="BM175" s="793"/>
      <c r="BN175" s="794"/>
      <c r="BO175" s="794"/>
      <c r="BP175" s="794"/>
      <c r="BQ175" s="405"/>
      <c r="BR175" s="405"/>
      <c r="BS175" s="405"/>
      <c r="BT175" s="405"/>
      <c r="BU175" s="405"/>
      <c r="BV175" s="405"/>
      <c r="BW175" s="406"/>
      <c r="BX175" s="406"/>
      <c r="BY175" s="406"/>
      <c r="BZ175" s="409"/>
      <c r="CA175" s="409"/>
      <c r="CB175" s="409"/>
    </row>
    <row r="176" spans="1:80" ht="30" customHeight="1" x14ac:dyDescent="0.2">
      <c r="A176" s="42"/>
      <c r="B176" s="42"/>
      <c r="C176" s="713"/>
      <c r="D176" s="707"/>
      <c r="E176" s="713"/>
      <c r="F176" s="713"/>
      <c r="G176" s="78">
        <v>82</v>
      </c>
      <c r="H176" s="79" t="s">
        <v>247</v>
      </c>
      <c r="I176" s="80"/>
      <c r="J176" s="80"/>
      <c r="K176" s="91"/>
      <c r="L176" s="91"/>
      <c r="M176" s="91"/>
      <c r="N176" s="173"/>
      <c r="O176" s="173"/>
      <c r="P176" s="80"/>
      <c r="Q176" s="80"/>
      <c r="R176" s="267"/>
      <c r="S176" s="267"/>
      <c r="T176" s="267"/>
      <c r="U176" s="267"/>
      <c r="V176" s="267"/>
      <c r="W176" s="267"/>
      <c r="X176" s="267"/>
      <c r="Y176" s="267"/>
      <c r="Z176" s="267"/>
      <c r="AA176" s="267"/>
      <c r="AB176" s="267"/>
      <c r="AC176" s="267"/>
      <c r="AD176" s="267"/>
      <c r="AE176" s="267"/>
      <c r="AF176" s="267"/>
      <c r="AG176" s="267"/>
      <c r="AH176" s="267"/>
      <c r="AI176" s="267"/>
      <c r="AJ176" s="267"/>
      <c r="AK176" s="267"/>
      <c r="AL176" s="267"/>
      <c r="AM176" s="267"/>
      <c r="AN176" s="267"/>
      <c r="AO176" s="267"/>
      <c r="AP176" s="267"/>
      <c r="AQ176" s="267"/>
      <c r="AR176" s="267"/>
      <c r="AS176" s="267"/>
      <c r="AT176" s="267"/>
      <c r="AU176" s="267"/>
      <c r="AV176" s="267"/>
      <c r="AW176" s="267"/>
      <c r="AX176" s="267"/>
      <c r="AY176" s="267"/>
      <c r="AZ176" s="267"/>
      <c r="BA176" s="267"/>
      <c r="BB176" s="267"/>
      <c r="BC176" s="267"/>
      <c r="BD176" s="267"/>
      <c r="BE176" s="267"/>
      <c r="BF176" s="267"/>
      <c r="BG176" s="267"/>
      <c r="BH176" s="267"/>
      <c r="BI176" s="267"/>
      <c r="BJ176" s="267"/>
      <c r="BK176" s="414"/>
      <c r="BL176" s="414"/>
      <c r="BM176" s="414"/>
      <c r="BN176" s="267"/>
      <c r="BO176" s="267"/>
      <c r="BP176" s="267"/>
      <c r="BQ176" s="267"/>
      <c r="BR176" s="267"/>
      <c r="BS176" s="267"/>
      <c r="BT176" s="267"/>
      <c r="BU176" s="267"/>
      <c r="BV176" s="267"/>
      <c r="BW176" s="267"/>
      <c r="BX176" s="267"/>
      <c r="BY176" s="267"/>
      <c r="BZ176" s="269"/>
      <c r="CA176" s="269"/>
      <c r="CB176" s="269"/>
    </row>
    <row r="177" spans="1:80" ht="66" customHeight="1" x14ac:dyDescent="0.2">
      <c r="A177" s="42"/>
      <c r="B177" s="42"/>
      <c r="C177" s="883">
        <v>13</v>
      </c>
      <c r="D177" s="891" t="s">
        <v>215</v>
      </c>
      <c r="E177" s="883">
        <v>71.040000000000006</v>
      </c>
      <c r="F177" s="883">
        <v>88.17</v>
      </c>
      <c r="G177" s="895"/>
      <c r="H177" s="57">
        <v>241</v>
      </c>
      <c r="I177" s="729" t="s">
        <v>248</v>
      </c>
      <c r="J177" s="44">
        <v>1</v>
      </c>
      <c r="K177" s="45">
        <v>1</v>
      </c>
      <c r="L177" s="110">
        <v>0.75</v>
      </c>
      <c r="M177" s="884">
        <v>2017003630020</v>
      </c>
      <c r="N177" s="895" t="s">
        <v>240</v>
      </c>
      <c r="O177" s="895" t="s">
        <v>249</v>
      </c>
      <c r="P177" s="890" t="s">
        <v>967</v>
      </c>
      <c r="Q177" s="57" t="s">
        <v>52</v>
      </c>
      <c r="R177" s="401">
        <v>0</v>
      </c>
      <c r="S177" s="401"/>
      <c r="T177" s="401"/>
      <c r="U177" s="401">
        <v>0</v>
      </c>
      <c r="V177" s="401"/>
      <c r="W177" s="401"/>
      <c r="X177" s="401">
        <v>0</v>
      </c>
      <c r="Y177" s="401"/>
      <c r="Z177" s="401"/>
      <c r="AA177" s="401">
        <v>0</v>
      </c>
      <c r="AB177" s="401"/>
      <c r="AC177" s="401"/>
      <c r="AD177" s="401">
        <v>0</v>
      </c>
      <c r="AE177" s="401"/>
      <c r="AF177" s="401"/>
      <c r="AG177" s="401">
        <v>0</v>
      </c>
      <c r="AH177" s="401"/>
      <c r="AI177" s="401"/>
      <c r="AJ177" s="401">
        <v>0</v>
      </c>
      <c r="AK177" s="401"/>
      <c r="AL177" s="401"/>
      <c r="AM177" s="401"/>
      <c r="AN177" s="401"/>
      <c r="AO177" s="401"/>
      <c r="AP177" s="401"/>
      <c r="AQ177" s="401"/>
      <c r="AR177" s="401"/>
      <c r="AS177" s="401">
        <v>0</v>
      </c>
      <c r="AT177" s="401"/>
      <c r="AU177" s="401"/>
      <c r="AV177" s="401">
        <v>0</v>
      </c>
      <c r="AW177" s="401"/>
      <c r="AX177" s="401"/>
      <c r="AY177" s="401"/>
      <c r="AZ177" s="401"/>
      <c r="BA177" s="401"/>
      <c r="BB177" s="401"/>
      <c r="BC177" s="401"/>
      <c r="BD177" s="401"/>
      <c r="BE177" s="401">
        <v>0</v>
      </c>
      <c r="BF177" s="401"/>
      <c r="BG177" s="401"/>
      <c r="BH177" s="401">
        <v>0</v>
      </c>
      <c r="BI177" s="401"/>
      <c r="BJ177" s="401"/>
      <c r="BK177" s="672">
        <f>30000000+27479700-20000000</f>
        <v>37479700</v>
      </c>
      <c r="BL177" s="402">
        <v>25088100</v>
      </c>
      <c r="BM177" s="402">
        <v>15822377</v>
      </c>
      <c r="BN177" s="402"/>
      <c r="BO177" s="402"/>
      <c r="BP177" s="402"/>
      <c r="BQ177" s="401">
        <v>0</v>
      </c>
      <c r="BR177" s="403"/>
      <c r="BS177" s="403"/>
      <c r="BT177" s="403"/>
      <c r="BU177" s="403"/>
      <c r="BV177" s="403"/>
      <c r="BW177" s="403">
        <v>0</v>
      </c>
      <c r="BX177" s="403"/>
      <c r="BY177" s="403"/>
      <c r="BZ177" s="401">
        <f t="shared" ref="BZ177:CB178" si="63">R177+U177+X177+AA177+AD177+AG177+AJ177+AM177+AP177+AS177+AV177+AY177+BB177+BE177+BH177+BK177+BN177+BQ177+BT177+BW177</f>
        <v>37479700</v>
      </c>
      <c r="CA177" s="401">
        <f t="shared" si="63"/>
        <v>25088100</v>
      </c>
      <c r="CB177" s="401">
        <f t="shared" si="63"/>
        <v>15822377</v>
      </c>
    </row>
    <row r="178" spans="1:80" ht="84" customHeight="1" x14ac:dyDescent="0.2">
      <c r="A178" s="42"/>
      <c r="B178" s="42"/>
      <c r="C178" s="883"/>
      <c r="D178" s="891"/>
      <c r="E178" s="883"/>
      <c r="F178" s="883"/>
      <c r="G178" s="898"/>
      <c r="H178" s="57">
        <v>242</v>
      </c>
      <c r="I178" s="729" t="s">
        <v>251</v>
      </c>
      <c r="J178" s="44">
        <v>1</v>
      </c>
      <c r="K178" s="45">
        <v>1</v>
      </c>
      <c r="L178" s="110">
        <v>0.65</v>
      </c>
      <c r="M178" s="886"/>
      <c r="N178" s="898"/>
      <c r="O178" s="898"/>
      <c r="P178" s="892"/>
      <c r="Q178" s="57" t="s">
        <v>52</v>
      </c>
      <c r="R178" s="401">
        <v>0</v>
      </c>
      <c r="S178" s="401"/>
      <c r="T178" s="401"/>
      <c r="U178" s="401">
        <v>0</v>
      </c>
      <c r="V178" s="401"/>
      <c r="W178" s="401"/>
      <c r="X178" s="401">
        <v>0</v>
      </c>
      <c r="Y178" s="401"/>
      <c r="Z178" s="401"/>
      <c r="AA178" s="401">
        <v>0</v>
      </c>
      <c r="AB178" s="401"/>
      <c r="AC178" s="401"/>
      <c r="AD178" s="401">
        <v>0</v>
      </c>
      <c r="AE178" s="401"/>
      <c r="AF178" s="401"/>
      <c r="AG178" s="401">
        <v>0</v>
      </c>
      <c r="AH178" s="401"/>
      <c r="AI178" s="401"/>
      <c r="AJ178" s="401">
        <v>0</v>
      </c>
      <c r="AK178" s="401"/>
      <c r="AL178" s="401"/>
      <c r="AM178" s="401"/>
      <c r="AN178" s="401"/>
      <c r="AO178" s="401"/>
      <c r="AP178" s="401"/>
      <c r="AQ178" s="401"/>
      <c r="AR178" s="401"/>
      <c r="AS178" s="401">
        <v>0</v>
      </c>
      <c r="AT178" s="401"/>
      <c r="AU178" s="401"/>
      <c r="AV178" s="401">
        <v>0</v>
      </c>
      <c r="AW178" s="401"/>
      <c r="AX178" s="401"/>
      <c r="AY178" s="401"/>
      <c r="AZ178" s="401"/>
      <c r="BA178" s="401"/>
      <c r="BB178" s="401"/>
      <c r="BC178" s="401"/>
      <c r="BD178" s="401"/>
      <c r="BE178" s="401">
        <v>0</v>
      </c>
      <c r="BF178" s="401"/>
      <c r="BG178" s="401"/>
      <c r="BH178" s="401">
        <v>0</v>
      </c>
      <c r="BI178" s="401"/>
      <c r="BJ178" s="401"/>
      <c r="BK178" s="672">
        <f>55000000+20000000</f>
        <v>75000000</v>
      </c>
      <c r="BL178" s="402">
        <v>37101500</v>
      </c>
      <c r="BM178" s="402">
        <v>33522000</v>
      </c>
      <c r="BN178" s="402"/>
      <c r="BO178" s="402"/>
      <c r="BP178" s="402"/>
      <c r="BQ178" s="401">
        <v>0</v>
      </c>
      <c r="BR178" s="403"/>
      <c r="BS178" s="403"/>
      <c r="BT178" s="403"/>
      <c r="BU178" s="403"/>
      <c r="BV178" s="403"/>
      <c r="BW178" s="403">
        <v>0</v>
      </c>
      <c r="BX178" s="403"/>
      <c r="BY178" s="403"/>
      <c r="BZ178" s="401">
        <f t="shared" si="63"/>
        <v>75000000</v>
      </c>
      <c r="CA178" s="401">
        <f t="shared" si="63"/>
        <v>37101500</v>
      </c>
      <c r="CB178" s="401">
        <f t="shared" si="63"/>
        <v>33522000</v>
      </c>
    </row>
    <row r="179" spans="1:80" ht="30" customHeight="1" x14ac:dyDescent="0.2">
      <c r="A179" s="42"/>
      <c r="B179" s="55"/>
      <c r="C179" s="714"/>
      <c r="D179" s="709"/>
      <c r="E179" s="714"/>
      <c r="F179" s="714"/>
      <c r="G179" s="93"/>
      <c r="H179" s="94"/>
      <c r="I179" s="58"/>
      <c r="J179" s="60"/>
      <c r="K179" s="84"/>
      <c r="L179" s="84"/>
      <c r="M179" s="84"/>
      <c r="N179" s="60"/>
      <c r="O179" s="59"/>
      <c r="P179" s="58"/>
      <c r="Q179" s="59"/>
      <c r="R179" s="410">
        <f t="shared" ref="R179:CB179" si="64">SUM(R177:R178)</f>
        <v>0</v>
      </c>
      <c r="S179" s="410">
        <f t="shared" si="64"/>
        <v>0</v>
      </c>
      <c r="T179" s="410">
        <f t="shared" si="64"/>
        <v>0</v>
      </c>
      <c r="U179" s="410">
        <f t="shared" si="64"/>
        <v>0</v>
      </c>
      <c r="V179" s="410">
        <f t="shared" si="64"/>
        <v>0</v>
      </c>
      <c r="W179" s="410">
        <f t="shared" si="64"/>
        <v>0</v>
      </c>
      <c r="X179" s="410">
        <f t="shared" si="64"/>
        <v>0</v>
      </c>
      <c r="Y179" s="410">
        <f t="shared" si="64"/>
        <v>0</v>
      </c>
      <c r="Z179" s="410">
        <f t="shared" si="64"/>
        <v>0</v>
      </c>
      <c r="AA179" s="410">
        <f t="shared" si="64"/>
        <v>0</v>
      </c>
      <c r="AB179" s="410">
        <f t="shared" si="64"/>
        <v>0</v>
      </c>
      <c r="AC179" s="410">
        <f t="shared" si="64"/>
        <v>0</v>
      </c>
      <c r="AD179" s="410">
        <f t="shared" si="64"/>
        <v>0</v>
      </c>
      <c r="AE179" s="410">
        <f t="shared" si="64"/>
        <v>0</v>
      </c>
      <c r="AF179" s="410">
        <f t="shared" si="64"/>
        <v>0</v>
      </c>
      <c r="AG179" s="410">
        <f t="shared" si="64"/>
        <v>0</v>
      </c>
      <c r="AH179" s="410">
        <f t="shared" si="64"/>
        <v>0</v>
      </c>
      <c r="AI179" s="410">
        <f t="shared" si="64"/>
        <v>0</v>
      </c>
      <c r="AJ179" s="410">
        <f t="shared" si="64"/>
        <v>0</v>
      </c>
      <c r="AK179" s="410">
        <f t="shared" si="64"/>
        <v>0</v>
      </c>
      <c r="AL179" s="410">
        <f t="shared" si="64"/>
        <v>0</v>
      </c>
      <c r="AM179" s="410">
        <f t="shared" si="64"/>
        <v>0</v>
      </c>
      <c r="AN179" s="410">
        <f t="shared" si="64"/>
        <v>0</v>
      </c>
      <c r="AO179" s="410">
        <f t="shared" si="64"/>
        <v>0</v>
      </c>
      <c r="AP179" s="410">
        <f t="shared" si="64"/>
        <v>0</v>
      </c>
      <c r="AQ179" s="410">
        <f t="shared" si="64"/>
        <v>0</v>
      </c>
      <c r="AR179" s="410">
        <f t="shared" si="64"/>
        <v>0</v>
      </c>
      <c r="AS179" s="410">
        <f t="shared" si="64"/>
        <v>0</v>
      </c>
      <c r="AT179" s="410">
        <f t="shared" si="64"/>
        <v>0</v>
      </c>
      <c r="AU179" s="410">
        <f t="shared" si="64"/>
        <v>0</v>
      </c>
      <c r="AV179" s="410">
        <f t="shared" si="64"/>
        <v>0</v>
      </c>
      <c r="AW179" s="410">
        <f t="shared" si="64"/>
        <v>0</v>
      </c>
      <c r="AX179" s="410">
        <f t="shared" si="64"/>
        <v>0</v>
      </c>
      <c r="AY179" s="410">
        <f t="shared" si="64"/>
        <v>0</v>
      </c>
      <c r="AZ179" s="410">
        <f t="shared" si="64"/>
        <v>0</v>
      </c>
      <c r="BA179" s="410">
        <f t="shared" si="64"/>
        <v>0</v>
      </c>
      <c r="BB179" s="410">
        <f t="shared" si="64"/>
        <v>0</v>
      </c>
      <c r="BC179" s="410">
        <f t="shared" si="64"/>
        <v>0</v>
      </c>
      <c r="BD179" s="410">
        <f t="shared" si="64"/>
        <v>0</v>
      </c>
      <c r="BE179" s="410">
        <f t="shared" si="64"/>
        <v>0</v>
      </c>
      <c r="BF179" s="410">
        <f t="shared" si="64"/>
        <v>0</v>
      </c>
      <c r="BG179" s="410">
        <f t="shared" si="64"/>
        <v>0</v>
      </c>
      <c r="BH179" s="410">
        <f t="shared" si="64"/>
        <v>0</v>
      </c>
      <c r="BI179" s="410">
        <f t="shared" si="64"/>
        <v>0</v>
      </c>
      <c r="BJ179" s="410">
        <f t="shared" si="64"/>
        <v>0</v>
      </c>
      <c r="BK179" s="410">
        <f t="shared" si="64"/>
        <v>112479700</v>
      </c>
      <c r="BL179" s="410">
        <f t="shared" si="64"/>
        <v>62189600</v>
      </c>
      <c r="BM179" s="410">
        <f t="shared" si="64"/>
        <v>49344377</v>
      </c>
      <c r="BN179" s="410">
        <f t="shared" si="64"/>
        <v>0</v>
      </c>
      <c r="BO179" s="410">
        <f t="shared" si="64"/>
        <v>0</v>
      </c>
      <c r="BP179" s="410">
        <f t="shared" si="64"/>
        <v>0</v>
      </c>
      <c r="BQ179" s="410">
        <f t="shared" si="64"/>
        <v>0</v>
      </c>
      <c r="BR179" s="410">
        <f t="shared" si="64"/>
        <v>0</v>
      </c>
      <c r="BS179" s="410">
        <f t="shared" si="64"/>
        <v>0</v>
      </c>
      <c r="BT179" s="410">
        <f t="shared" si="64"/>
        <v>0</v>
      </c>
      <c r="BU179" s="410">
        <f t="shared" si="64"/>
        <v>0</v>
      </c>
      <c r="BV179" s="410">
        <f t="shared" si="64"/>
        <v>0</v>
      </c>
      <c r="BW179" s="410">
        <f t="shared" si="64"/>
        <v>0</v>
      </c>
      <c r="BX179" s="410">
        <f t="shared" si="64"/>
        <v>0</v>
      </c>
      <c r="BY179" s="410">
        <f t="shared" si="64"/>
        <v>0</v>
      </c>
      <c r="BZ179" s="410">
        <f t="shared" si="64"/>
        <v>112479700</v>
      </c>
      <c r="CA179" s="410">
        <f t="shared" si="64"/>
        <v>62189600</v>
      </c>
      <c r="CB179" s="410">
        <f t="shared" si="64"/>
        <v>49344377</v>
      </c>
    </row>
    <row r="180" spans="1:80" ht="30" customHeight="1" x14ac:dyDescent="0.2">
      <c r="A180" s="55"/>
      <c r="B180" s="62"/>
      <c r="C180" s="97"/>
      <c r="D180" s="62"/>
      <c r="E180" s="63"/>
      <c r="F180" s="63"/>
      <c r="G180" s="98"/>
      <c r="H180" s="99"/>
      <c r="I180" s="62"/>
      <c r="J180" s="64"/>
      <c r="K180" s="100"/>
      <c r="L180" s="100"/>
      <c r="M180" s="100"/>
      <c r="N180" s="64"/>
      <c r="O180" s="63"/>
      <c r="P180" s="62"/>
      <c r="Q180" s="63"/>
      <c r="R180" s="416">
        <f t="shared" ref="R180:CB180" si="65">R179+R174</f>
        <v>0</v>
      </c>
      <c r="S180" s="416">
        <f t="shared" si="65"/>
        <v>0</v>
      </c>
      <c r="T180" s="416">
        <f t="shared" si="65"/>
        <v>0</v>
      </c>
      <c r="U180" s="416">
        <f t="shared" si="65"/>
        <v>0</v>
      </c>
      <c r="V180" s="416">
        <f t="shared" si="65"/>
        <v>0</v>
      </c>
      <c r="W180" s="416">
        <f t="shared" si="65"/>
        <v>0</v>
      </c>
      <c r="X180" s="416">
        <f t="shared" si="65"/>
        <v>0</v>
      </c>
      <c r="Y180" s="416">
        <f t="shared" si="65"/>
        <v>0</v>
      </c>
      <c r="Z180" s="416">
        <f t="shared" si="65"/>
        <v>0</v>
      </c>
      <c r="AA180" s="416">
        <f t="shared" si="65"/>
        <v>0</v>
      </c>
      <c r="AB180" s="416">
        <f t="shared" si="65"/>
        <v>0</v>
      </c>
      <c r="AC180" s="416">
        <f t="shared" si="65"/>
        <v>0</v>
      </c>
      <c r="AD180" s="416">
        <f t="shared" si="65"/>
        <v>0</v>
      </c>
      <c r="AE180" s="416">
        <f t="shared" si="65"/>
        <v>0</v>
      </c>
      <c r="AF180" s="416">
        <f t="shared" si="65"/>
        <v>0</v>
      </c>
      <c r="AG180" s="416">
        <f t="shared" si="65"/>
        <v>0</v>
      </c>
      <c r="AH180" s="416">
        <f t="shared" si="65"/>
        <v>0</v>
      </c>
      <c r="AI180" s="416">
        <f t="shared" si="65"/>
        <v>0</v>
      </c>
      <c r="AJ180" s="416">
        <f t="shared" si="65"/>
        <v>0</v>
      </c>
      <c r="AK180" s="416">
        <f t="shared" si="65"/>
        <v>0</v>
      </c>
      <c r="AL180" s="416">
        <f t="shared" si="65"/>
        <v>0</v>
      </c>
      <c r="AM180" s="416">
        <f t="shared" si="65"/>
        <v>0</v>
      </c>
      <c r="AN180" s="416">
        <f t="shared" si="65"/>
        <v>0</v>
      </c>
      <c r="AO180" s="416">
        <f t="shared" si="65"/>
        <v>0</v>
      </c>
      <c r="AP180" s="416">
        <f t="shared" si="65"/>
        <v>0</v>
      </c>
      <c r="AQ180" s="416">
        <f t="shared" si="65"/>
        <v>0</v>
      </c>
      <c r="AR180" s="416">
        <f t="shared" si="65"/>
        <v>0</v>
      </c>
      <c r="AS180" s="416">
        <f t="shared" si="65"/>
        <v>0</v>
      </c>
      <c r="AT180" s="416">
        <f t="shared" si="65"/>
        <v>0</v>
      </c>
      <c r="AU180" s="416">
        <f t="shared" si="65"/>
        <v>0</v>
      </c>
      <c r="AV180" s="416">
        <f t="shared" si="65"/>
        <v>0</v>
      </c>
      <c r="AW180" s="416">
        <f t="shared" si="65"/>
        <v>0</v>
      </c>
      <c r="AX180" s="416">
        <f t="shared" si="65"/>
        <v>0</v>
      </c>
      <c r="AY180" s="416">
        <f t="shared" si="65"/>
        <v>0</v>
      </c>
      <c r="AZ180" s="416">
        <f t="shared" si="65"/>
        <v>0</v>
      </c>
      <c r="BA180" s="416">
        <f t="shared" si="65"/>
        <v>0</v>
      </c>
      <c r="BB180" s="416">
        <f t="shared" si="65"/>
        <v>0</v>
      </c>
      <c r="BC180" s="416">
        <f t="shared" si="65"/>
        <v>0</v>
      </c>
      <c r="BD180" s="416">
        <f t="shared" si="65"/>
        <v>0</v>
      </c>
      <c r="BE180" s="416">
        <f t="shared" si="65"/>
        <v>0</v>
      </c>
      <c r="BF180" s="416">
        <f t="shared" si="65"/>
        <v>0</v>
      </c>
      <c r="BG180" s="416">
        <f t="shared" si="65"/>
        <v>0</v>
      </c>
      <c r="BH180" s="416">
        <f t="shared" si="65"/>
        <v>0</v>
      </c>
      <c r="BI180" s="416">
        <f t="shared" si="65"/>
        <v>0</v>
      </c>
      <c r="BJ180" s="416">
        <f t="shared" si="65"/>
        <v>0</v>
      </c>
      <c r="BK180" s="416">
        <f t="shared" si="65"/>
        <v>732560942</v>
      </c>
      <c r="BL180" s="416">
        <f t="shared" si="65"/>
        <v>436746507</v>
      </c>
      <c r="BM180" s="416">
        <f t="shared" si="65"/>
        <v>285637815</v>
      </c>
      <c r="BN180" s="416">
        <f t="shared" si="65"/>
        <v>0</v>
      </c>
      <c r="BO180" s="416">
        <f t="shared" si="65"/>
        <v>0</v>
      </c>
      <c r="BP180" s="416">
        <f t="shared" si="65"/>
        <v>0</v>
      </c>
      <c r="BQ180" s="416">
        <f t="shared" si="65"/>
        <v>0</v>
      </c>
      <c r="BR180" s="416">
        <f t="shared" si="65"/>
        <v>0</v>
      </c>
      <c r="BS180" s="416">
        <f t="shared" si="65"/>
        <v>0</v>
      </c>
      <c r="BT180" s="416">
        <f t="shared" si="65"/>
        <v>0</v>
      </c>
      <c r="BU180" s="416">
        <f t="shared" si="65"/>
        <v>0</v>
      </c>
      <c r="BV180" s="416">
        <f t="shared" si="65"/>
        <v>0</v>
      </c>
      <c r="BW180" s="416">
        <f t="shared" si="65"/>
        <v>0</v>
      </c>
      <c r="BX180" s="416">
        <f t="shared" si="65"/>
        <v>0</v>
      </c>
      <c r="BY180" s="416">
        <f t="shared" si="65"/>
        <v>0</v>
      </c>
      <c r="BZ180" s="416">
        <f t="shared" si="65"/>
        <v>732560942</v>
      </c>
      <c r="CA180" s="416">
        <f t="shared" si="65"/>
        <v>436746507</v>
      </c>
      <c r="CB180" s="416">
        <f t="shared" si="65"/>
        <v>285637815</v>
      </c>
    </row>
    <row r="181" spans="1:80" ht="30" customHeight="1" x14ac:dyDescent="0.2">
      <c r="A181" s="65"/>
      <c r="B181" s="65"/>
      <c r="C181" s="66"/>
      <c r="D181" s="65"/>
      <c r="E181" s="66"/>
      <c r="F181" s="66"/>
      <c r="G181" s="185"/>
      <c r="H181" s="186"/>
      <c r="I181" s="65"/>
      <c r="J181" s="67"/>
      <c r="K181" s="129"/>
      <c r="L181" s="129"/>
      <c r="M181" s="129"/>
      <c r="N181" s="67"/>
      <c r="O181" s="66"/>
      <c r="P181" s="65"/>
      <c r="Q181" s="66"/>
      <c r="R181" s="422">
        <f t="shared" ref="R181:CB181" si="66">R180+R165+R144</f>
        <v>0</v>
      </c>
      <c r="S181" s="422">
        <f t="shared" si="66"/>
        <v>0</v>
      </c>
      <c r="T181" s="422">
        <f t="shared" si="66"/>
        <v>0</v>
      </c>
      <c r="U181" s="422">
        <f t="shared" si="66"/>
        <v>0</v>
      </c>
      <c r="V181" s="422">
        <f t="shared" si="66"/>
        <v>0</v>
      </c>
      <c r="W181" s="422">
        <f t="shared" si="66"/>
        <v>0</v>
      </c>
      <c r="X181" s="422">
        <f t="shared" si="66"/>
        <v>0</v>
      </c>
      <c r="Y181" s="422">
        <f t="shared" si="66"/>
        <v>0</v>
      </c>
      <c r="Z181" s="422">
        <f t="shared" si="66"/>
        <v>0</v>
      </c>
      <c r="AA181" s="422">
        <f t="shared" si="66"/>
        <v>7014956012.3800001</v>
      </c>
      <c r="AB181" s="422">
        <f t="shared" si="66"/>
        <v>1459102717</v>
      </c>
      <c r="AC181" s="422">
        <f t="shared" si="66"/>
        <v>1021140213</v>
      </c>
      <c r="AD181" s="422">
        <f t="shared" si="66"/>
        <v>0</v>
      </c>
      <c r="AE181" s="422">
        <f t="shared" si="66"/>
        <v>0</v>
      </c>
      <c r="AF181" s="422">
        <f t="shared" si="66"/>
        <v>0</v>
      </c>
      <c r="AG181" s="422">
        <f t="shared" si="66"/>
        <v>0</v>
      </c>
      <c r="AH181" s="422">
        <f t="shared" si="66"/>
        <v>0</v>
      </c>
      <c r="AI181" s="422">
        <f t="shared" si="66"/>
        <v>0</v>
      </c>
      <c r="AJ181" s="422">
        <f t="shared" si="66"/>
        <v>0</v>
      </c>
      <c r="AK181" s="422">
        <f t="shared" si="66"/>
        <v>0</v>
      </c>
      <c r="AL181" s="422">
        <f t="shared" si="66"/>
        <v>0</v>
      </c>
      <c r="AM181" s="422">
        <f t="shared" si="66"/>
        <v>0</v>
      </c>
      <c r="AN181" s="422">
        <f t="shared" si="66"/>
        <v>0</v>
      </c>
      <c r="AO181" s="422">
        <f t="shared" si="66"/>
        <v>0</v>
      </c>
      <c r="AP181" s="422">
        <f t="shared" si="66"/>
        <v>0</v>
      </c>
      <c r="AQ181" s="422">
        <f t="shared" si="66"/>
        <v>0</v>
      </c>
      <c r="AR181" s="422">
        <f t="shared" si="66"/>
        <v>0</v>
      </c>
      <c r="AS181" s="422">
        <f t="shared" si="66"/>
        <v>0</v>
      </c>
      <c r="AT181" s="422">
        <f t="shared" si="66"/>
        <v>0</v>
      </c>
      <c r="AU181" s="422">
        <f t="shared" si="66"/>
        <v>0</v>
      </c>
      <c r="AV181" s="422">
        <f t="shared" si="66"/>
        <v>0</v>
      </c>
      <c r="AW181" s="422">
        <f t="shared" si="66"/>
        <v>0</v>
      </c>
      <c r="AX181" s="422">
        <f t="shared" si="66"/>
        <v>0</v>
      </c>
      <c r="AY181" s="422">
        <f t="shared" si="66"/>
        <v>0</v>
      </c>
      <c r="AZ181" s="422">
        <f t="shared" si="66"/>
        <v>0</v>
      </c>
      <c r="BA181" s="422">
        <f t="shared" si="66"/>
        <v>0</v>
      </c>
      <c r="BB181" s="422">
        <f t="shared" si="66"/>
        <v>0</v>
      </c>
      <c r="BC181" s="422">
        <f t="shared" si="66"/>
        <v>0</v>
      </c>
      <c r="BD181" s="422">
        <f t="shared" si="66"/>
        <v>0</v>
      </c>
      <c r="BE181" s="422">
        <f t="shared" si="66"/>
        <v>0</v>
      </c>
      <c r="BF181" s="422">
        <f t="shared" si="66"/>
        <v>0</v>
      </c>
      <c r="BG181" s="422">
        <f t="shared" si="66"/>
        <v>0</v>
      </c>
      <c r="BH181" s="422">
        <f t="shared" si="66"/>
        <v>0</v>
      </c>
      <c r="BI181" s="422">
        <f t="shared" si="66"/>
        <v>0</v>
      </c>
      <c r="BJ181" s="422">
        <f t="shared" si="66"/>
        <v>0</v>
      </c>
      <c r="BK181" s="422">
        <f t="shared" si="66"/>
        <v>1636560942</v>
      </c>
      <c r="BL181" s="422">
        <f t="shared" si="66"/>
        <v>819561729</v>
      </c>
      <c r="BM181" s="422">
        <f t="shared" si="66"/>
        <v>532522770</v>
      </c>
      <c r="BN181" s="422">
        <f t="shared" si="66"/>
        <v>0</v>
      </c>
      <c r="BO181" s="422">
        <f t="shared" si="66"/>
        <v>0</v>
      </c>
      <c r="BP181" s="422">
        <f t="shared" si="66"/>
        <v>0</v>
      </c>
      <c r="BQ181" s="422">
        <f t="shared" si="66"/>
        <v>0</v>
      </c>
      <c r="BR181" s="422">
        <f t="shared" si="66"/>
        <v>0</v>
      </c>
      <c r="BS181" s="422">
        <f t="shared" si="66"/>
        <v>0</v>
      </c>
      <c r="BT181" s="422">
        <f t="shared" si="66"/>
        <v>0</v>
      </c>
      <c r="BU181" s="422">
        <f t="shared" si="66"/>
        <v>0</v>
      </c>
      <c r="BV181" s="422">
        <f t="shared" si="66"/>
        <v>0</v>
      </c>
      <c r="BW181" s="422">
        <f t="shared" si="66"/>
        <v>0</v>
      </c>
      <c r="BX181" s="422">
        <f t="shared" si="66"/>
        <v>0</v>
      </c>
      <c r="BY181" s="422">
        <f t="shared" si="66"/>
        <v>0</v>
      </c>
      <c r="BZ181" s="422">
        <f t="shared" si="66"/>
        <v>8651516954.3800011</v>
      </c>
      <c r="CA181" s="422">
        <f t="shared" si="66"/>
        <v>2278664446</v>
      </c>
      <c r="CB181" s="422">
        <f t="shared" si="66"/>
        <v>1553662983</v>
      </c>
    </row>
    <row r="182" spans="1:80" ht="30" customHeight="1" x14ac:dyDescent="0.2">
      <c r="A182" s="71"/>
      <c r="B182" s="72"/>
      <c r="C182" s="150"/>
      <c r="D182" s="72"/>
      <c r="E182" s="150"/>
      <c r="F182" s="150"/>
      <c r="G182" s="101"/>
      <c r="H182" s="400"/>
      <c r="I182" s="72"/>
      <c r="J182" s="73"/>
      <c r="K182" s="83"/>
      <c r="L182" s="171"/>
      <c r="M182" s="171"/>
      <c r="N182" s="119"/>
      <c r="O182" s="400"/>
      <c r="P182" s="101"/>
      <c r="Q182" s="150"/>
      <c r="R182" s="405"/>
      <c r="S182" s="405"/>
      <c r="T182" s="405"/>
      <c r="U182" s="406"/>
      <c r="V182" s="406"/>
      <c r="W182" s="406"/>
      <c r="X182" s="405"/>
      <c r="Y182" s="405"/>
      <c r="Z182" s="405"/>
      <c r="AA182" s="405"/>
      <c r="AB182" s="405"/>
      <c r="AC182" s="405"/>
      <c r="AD182" s="405"/>
      <c r="AE182" s="405"/>
      <c r="AF182" s="405"/>
      <c r="AG182" s="405"/>
      <c r="AH182" s="405"/>
      <c r="AI182" s="405"/>
      <c r="AJ182" s="405"/>
      <c r="AK182" s="405"/>
      <c r="AL182" s="405"/>
      <c r="AM182" s="405"/>
      <c r="AN182" s="405"/>
      <c r="AO182" s="405"/>
      <c r="AP182" s="405"/>
      <c r="AQ182" s="405"/>
      <c r="AR182" s="405"/>
      <c r="AS182" s="405"/>
      <c r="AT182" s="405"/>
      <c r="AU182" s="405"/>
      <c r="AV182" s="405"/>
      <c r="AW182" s="405"/>
      <c r="AX182" s="405"/>
      <c r="AY182" s="406"/>
      <c r="AZ182" s="406"/>
      <c r="BA182" s="406"/>
      <c r="BB182" s="406"/>
      <c r="BC182" s="406"/>
      <c r="BD182" s="406"/>
      <c r="BE182" s="405"/>
      <c r="BF182" s="405"/>
      <c r="BG182" s="405"/>
      <c r="BH182" s="405"/>
      <c r="BI182" s="405"/>
      <c r="BJ182" s="405"/>
      <c r="BK182" s="407"/>
      <c r="BL182" s="407"/>
      <c r="BM182" s="407"/>
      <c r="BN182" s="405"/>
      <c r="BO182" s="405"/>
      <c r="BP182" s="405"/>
      <c r="BQ182" s="405"/>
      <c r="BR182" s="405"/>
      <c r="BS182" s="405"/>
      <c r="BT182" s="405"/>
      <c r="BU182" s="405"/>
      <c r="BV182" s="405"/>
      <c r="BW182" s="406"/>
      <c r="BX182" s="406"/>
      <c r="BY182" s="406"/>
      <c r="BZ182" s="405"/>
      <c r="CA182" s="405"/>
      <c r="CB182" s="409"/>
    </row>
    <row r="183" spans="1:80" ht="30" customHeight="1" x14ac:dyDescent="0.2">
      <c r="A183" s="795">
        <v>5</v>
      </c>
      <c r="B183" s="34" t="s">
        <v>37</v>
      </c>
      <c r="C183" s="35"/>
      <c r="D183" s="34"/>
      <c r="E183" s="34"/>
      <c r="F183" s="34"/>
      <c r="G183" s="34"/>
      <c r="H183" s="35"/>
      <c r="I183" s="34"/>
      <c r="J183" s="34"/>
      <c r="K183" s="132"/>
      <c r="L183" s="132"/>
      <c r="M183" s="132"/>
      <c r="N183" s="35"/>
      <c r="O183" s="35"/>
      <c r="P183" s="34"/>
      <c r="Q183" s="34"/>
      <c r="R183" s="432"/>
      <c r="S183" s="432"/>
      <c r="T183" s="432"/>
      <c r="U183" s="432"/>
      <c r="V183" s="432"/>
      <c r="W183" s="432"/>
      <c r="X183" s="432"/>
      <c r="Y183" s="432"/>
      <c r="Z183" s="432"/>
      <c r="AA183" s="432"/>
      <c r="AB183" s="432"/>
      <c r="AC183" s="432"/>
      <c r="AD183" s="432"/>
      <c r="AE183" s="432"/>
      <c r="AF183" s="432"/>
      <c r="AG183" s="432"/>
      <c r="AH183" s="432"/>
      <c r="AI183" s="432"/>
      <c r="AJ183" s="432"/>
      <c r="AK183" s="432"/>
      <c r="AL183" s="432"/>
      <c r="AM183" s="432"/>
      <c r="AN183" s="432"/>
      <c r="AO183" s="432"/>
      <c r="AP183" s="432"/>
      <c r="AQ183" s="432"/>
      <c r="AR183" s="432"/>
      <c r="AS183" s="432"/>
      <c r="AT183" s="432"/>
      <c r="AU183" s="432"/>
      <c r="AV183" s="432"/>
      <c r="AW183" s="432"/>
      <c r="AX183" s="432"/>
      <c r="AY183" s="432"/>
      <c r="AZ183" s="432"/>
      <c r="BA183" s="432"/>
      <c r="BB183" s="432"/>
      <c r="BC183" s="432"/>
      <c r="BD183" s="432"/>
      <c r="BE183" s="432"/>
      <c r="BF183" s="432"/>
      <c r="BG183" s="432"/>
      <c r="BH183" s="432"/>
      <c r="BI183" s="432"/>
      <c r="BJ183" s="432"/>
      <c r="BK183" s="433"/>
      <c r="BL183" s="433"/>
      <c r="BM183" s="433"/>
      <c r="BN183" s="432"/>
      <c r="BO183" s="432"/>
      <c r="BP183" s="432"/>
      <c r="BQ183" s="432"/>
      <c r="BR183" s="432"/>
      <c r="BS183" s="432"/>
      <c r="BT183" s="432"/>
      <c r="BU183" s="432"/>
      <c r="BV183" s="432"/>
      <c r="BW183" s="432"/>
      <c r="BX183" s="432"/>
      <c r="BY183" s="432"/>
      <c r="BZ183" s="434"/>
      <c r="CA183" s="434"/>
      <c r="CB183" s="434"/>
    </row>
    <row r="184" spans="1:80" ht="30" customHeight="1" x14ac:dyDescent="0.2">
      <c r="A184" s="43"/>
      <c r="B184" s="152">
        <v>26</v>
      </c>
      <c r="C184" s="38" t="s">
        <v>70</v>
      </c>
      <c r="D184" s="39"/>
      <c r="E184" s="39"/>
      <c r="F184" s="39"/>
      <c r="G184" s="39"/>
      <c r="H184" s="40"/>
      <c r="I184" s="39"/>
      <c r="J184" s="39"/>
      <c r="K184" s="90"/>
      <c r="L184" s="90"/>
      <c r="M184" s="90"/>
      <c r="N184" s="40"/>
      <c r="O184" s="40"/>
      <c r="P184" s="39"/>
      <c r="Q184" s="39"/>
      <c r="R184" s="412"/>
      <c r="S184" s="412"/>
      <c r="T184" s="412"/>
      <c r="U184" s="412"/>
      <c r="V184" s="412"/>
      <c r="W184" s="412"/>
      <c r="X184" s="412"/>
      <c r="Y184" s="412"/>
      <c r="Z184" s="412"/>
      <c r="AA184" s="412"/>
      <c r="AB184" s="412"/>
      <c r="AC184" s="412"/>
      <c r="AD184" s="412"/>
      <c r="AE184" s="412"/>
      <c r="AF184" s="412"/>
      <c r="AG184" s="412"/>
      <c r="AH184" s="412"/>
      <c r="AI184" s="412"/>
      <c r="AJ184" s="412"/>
      <c r="AK184" s="412"/>
      <c r="AL184" s="412"/>
      <c r="AM184" s="412"/>
      <c r="AN184" s="412"/>
      <c r="AO184" s="412"/>
      <c r="AP184" s="412"/>
      <c r="AQ184" s="412"/>
      <c r="AR184" s="412"/>
      <c r="AS184" s="412"/>
      <c r="AT184" s="412"/>
      <c r="AU184" s="412"/>
      <c r="AV184" s="412"/>
      <c r="AW184" s="412"/>
      <c r="AX184" s="412"/>
      <c r="AY184" s="412"/>
      <c r="AZ184" s="412"/>
      <c r="BA184" s="412"/>
      <c r="BB184" s="412"/>
      <c r="BC184" s="412"/>
      <c r="BD184" s="412"/>
      <c r="BE184" s="412"/>
      <c r="BF184" s="412"/>
      <c r="BG184" s="412"/>
      <c r="BH184" s="412"/>
      <c r="BI184" s="412"/>
      <c r="BJ184" s="412"/>
      <c r="BK184" s="413"/>
      <c r="BL184" s="413"/>
      <c r="BM184" s="413"/>
      <c r="BN184" s="412"/>
      <c r="BO184" s="412"/>
      <c r="BP184" s="412"/>
      <c r="BQ184" s="412"/>
      <c r="BR184" s="412"/>
      <c r="BS184" s="412"/>
      <c r="BT184" s="412"/>
      <c r="BU184" s="412"/>
      <c r="BV184" s="412"/>
      <c r="BW184" s="412"/>
      <c r="BX184" s="412"/>
      <c r="BY184" s="412"/>
      <c r="BZ184" s="417"/>
      <c r="CA184" s="417"/>
      <c r="CB184" s="417"/>
    </row>
    <row r="185" spans="1:80" ht="30" customHeight="1" x14ac:dyDescent="0.2">
      <c r="A185" s="49"/>
      <c r="B185" s="43"/>
      <c r="C185" s="713"/>
      <c r="D185" s="707"/>
      <c r="E185" s="713"/>
      <c r="F185" s="713"/>
      <c r="G185" s="78">
        <v>84</v>
      </c>
      <c r="H185" s="80" t="s">
        <v>77</v>
      </c>
      <c r="I185" s="80"/>
      <c r="J185" s="80"/>
      <c r="K185" s="91"/>
      <c r="L185" s="91"/>
      <c r="M185" s="91"/>
      <c r="N185" s="173"/>
      <c r="O185" s="173"/>
      <c r="P185" s="80"/>
      <c r="Q185" s="80"/>
      <c r="R185" s="267"/>
      <c r="S185" s="267"/>
      <c r="T185" s="267"/>
      <c r="U185" s="267"/>
      <c r="V185" s="267"/>
      <c r="W185" s="267"/>
      <c r="X185" s="267"/>
      <c r="Y185" s="267"/>
      <c r="Z185" s="267"/>
      <c r="AA185" s="267"/>
      <c r="AB185" s="267"/>
      <c r="AC185" s="267"/>
      <c r="AD185" s="267"/>
      <c r="AE185" s="267"/>
      <c r="AF185" s="267"/>
      <c r="AG185" s="267"/>
      <c r="AH185" s="267"/>
      <c r="AI185" s="267"/>
      <c r="AJ185" s="267"/>
      <c r="AK185" s="267"/>
      <c r="AL185" s="267"/>
      <c r="AM185" s="267"/>
      <c r="AN185" s="267"/>
      <c r="AO185" s="267"/>
      <c r="AP185" s="267"/>
      <c r="AQ185" s="267"/>
      <c r="AR185" s="267"/>
      <c r="AS185" s="267"/>
      <c r="AT185" s="267"/>
      <c r="AU185" s="267"/>
      <c r="AV185" s="267"/>
      <c r="AW185" s="267"/>
      <c r="AX185" s="267"/>
      <c r="AY185" s="267"/>
      <c r="AZ185" s="267"/>
      <c r="BA185" s="267"/>
      <c r="BB185" s="267"/>
      <c r="BC185" s="267"/>
      <c r="BD185" s="267"/>
      <c r="BE185" s="267"/>
      <c r="BF185" s="267"/>
      <c r="BG185" s="267"/>
      <c r="BH185" s="267"/>
      <c r="BI185" s="267"/>
      <c r="BJ185" s="267"/>
      <c r="BK185" s="414"/>
      <c r="BL185" s="414"/>
      <c r="BM185" s="414"/>
      <c r="BN185" s="267"/>
      <c r="BO185" s="267"/>
      <c r="BP185" s="267"/>
      <c r="BQ185" s="267"/>
      <c r="BR185" s="267"/>
      <c r="BS185" s="267"/>
      <c r="BT185" s="267"/>
      <c r="BU185" s="267"/>
      <c r="BV185" s="267"/>
      <c r="BW185" s="267"/>
      <c r="BX185" s="267"/>
      <c r="BY185" s="267"/>
      <c r="BZ185" s="269"/>
      <c r="CA185" s="269"/>
      <c r="CB185" s="269"/>
    </row>
    <row r="186" spans="1:80" ht="69.75" customHeight="1" x14ac:dyDescent="0.2">
      <c r="A186" s="273">
        <f>+A185</f>
        <v>0</v>
      </c>
      <c r="B186" s="49"/>
      <c r="C186" s="702">
        <v>37</v>
      </c>
      <c r="D186" s="708" t="s">
        <v>252</v>
      </c>
      <c r="E186" s="702">
        <v>54.61</v>
      </c>
      <c r="F186" s="702">
        <v>60</v>
      </c>
      <c r="G186" s="707"/>
      <c r="H186" s="713">
        <v>247</v>
      </c>
      <c r="I186" s="707" t="s">
        <v>253</v>
      </c>
      <c r="J186" s="704" t="s">
        <v>43</v>
      </c>
      <c r="K186" s="50">
        <v>1</v>
      </c>
      <c r="L186" s="112">
        <v>0.9</v>
      </c>
      <c r="M186" s="703">
        <v>2017003630016</v>
      </c>
      <c r="N186" s="855" t="s">
        <v>84</v>
      </c>
      <c r="O186" s="713" t="s">
        <v>254</v>
      </c>
      <c r="P186" s="707" t="s">
        <v>968</v>
      </c>
      <c r="Q186" s="170" t="s">
        <v>52</v>
      </c>
      <c r="R186" s="440">
        <v>0</v>
      </c>
      <c r="S186" s="440"/>
      <c r="T186" s="440"/>
      <c r="U186" s="440">
        <v>0</v>
      </c>
      <c r="V186" s="440"/>
      <c r="W186" s="440"/>
      <c r="X186" s="440">
        <v>0</v>
      </c>
      <c r="Y186" s="440"/>
      <c r="Z186" s="440"/>
      <c r="AA186" s="440">
        <v>0</v>
      </c>
      <c r="AB186" s="440"/>
      <c r="AC186" s="440"/>
      <c r="AD186" s="440">
        <v>0</v>
      </c>
      <c r="AE186" s="440"/>
      <c r="AF186" s="440"/>
      <c r="AG186" s="440">
        <v>0</v>
      </c>
      <c r="AH186" s="440"/>
      <c r="AI186" s="440"/>
      <c r="AJ186" s="440">
        <v>0</v>
      </c>
      <c r="AK186" s="440"/>
      <c r="AL186" s="440"/>
      <c r="AM186" s="440"/>
      <c r="AN186" s="440"/>
      <c r="AO186" s="440"/>
      <c r="AP186" s="440"/>
      <c r="AQ186" s="440"/>
      <c r="AR186" s="440"/>
      <c r="AS186" s="440">
        <v>0</v>
      </c>
      <c r="AT186" s="440"/>
      <c r="AU186" s="440"/>
      <c r="AV186" s="440">
        <v>0</v>
      </c>
      <c r="AW186" s="440"/>
      <c r="AX186" s="440"/>
      <c r="AY186" s="440"/>
      <c r="AZ186" s="440"/>
      <c r="BA186" s="440"/>
      <c r="BB186" s="440"/>
      <c r="BC186" s="440"/>
      <c r="BD186" s="440"/>
      <c r="BE186" s="440">
        <v>0</v>
      </c>
      <c r="BF186" s="440"/>
      <c r="BG186" s="440"/>
      <c r="BH186" s="440">
        <v>0</v>
      </c>
      <c r="BI186" s="440"/>
      <c r="BJ186" s="440"/>
      <c r="BK186" s="458">
        <f>29000000+21000000</f>
        <v>50000000</v>
      </c>
      <c r="BL186" s="458">
        <v>46000000</v>
      </c>
      <c r="BM186" s="458">
        <v>40000000</v>
      </c>
      <c r="BN186" s="458"/>
      <c r="BO186" s="458"/>
      <c r="BP186" s="458"/>
      <c r="BQ186" s="440">
        <v>0</v>
      </c>
      <c r="BR186" s="468"/>
      <c r="BS186" s="468"/>
      <c r="BT186" s="468"/>
      <c r="BU186" s="468"/>
      <c r="BV186" s="468"/>
      <c r="BW186" s="468">
        <v>0</v>
      </c>
      <c r="BX186" s="468"/>
      <c r="BY186" s="468"/>
      <c r="BZ186" s="401">
        <f>R186+U186+X186+AA186+AD186+AG186+AJ186+AM186+AP186+AS186+AV186+AY186+BB186+BE186+BH186+BK186+BN186+BQ186+BT186+BW186</f>
        <v>50000000</v>
      </c>
      <c r="CA186" s="401">
        <f t="shared" ref="CA186:CB186" si="67">S186+V186+Y186+AB186+AE186+AH186+AK186+AN186+AQ186+AT186+AW186+AZ186+BC186+BF186+BI186+BL186+BO186+BR186+BU186+BX186</f>
        <v>46000000</v>
      </c>
      <c r="CB186" s="401">
        <f t="shared" si="67"/>
        <v>40000000</v>
      </c>
    </row>
    <row r="187" spans="1:80" ht="30" customHeight="1" x14ac:dyDescent="0.2">
      <c r="A187" s="603"/>
      <c r="B187" s="751"/>
      <c r="C187" s="747"/>
      <c r="D187" s="748"/>
      <c r="E187" s="747"/>
      <c r="F187" s="747"/>
      <c r="G187" s="752"/>
      <c r="H187" s="335"/>
      <c r="I187" s="335"/>
      <c r="J187" s="335"/>
      <c r="K187" s="590"/>
      <c r="L187" s="590"/>
      <c r="M187" s="590"/>
      <c r="N187" s="591"/>
      <c r="O187" s="591"/>
      <c r="P187" s="335"/>
      <c r="Q187" s="335"/>
      <c r="R187" s="508">
        <f t="shared" ref="R187:CB187" si="68">SUM(R186)</f>
        <v>0</v>
      </c>
      <c r="S187" s="508">
        <f t="shared" si="68"/>
        <v>0</v>
      </c>
      <c r="T187" s="508">
        <f t="shared" si="68"/>
        <v>0</v>
      </c>
      <c r="U187" s="508">
        <f t="shared" si="68"/>
        <v>0</v>
      </c>
      <c r="V187" s="508">
        <f t="shared" si="68"/>
        <v>0</v>
      </c>
      <c r="W187" s="508">
        <f t="shared" si="68"/>
        <v>0</v>
      </c>
      <c r="X187" s="508">
        <f t="shared" si="68"/>
        <v>0</v>
      </c>
      <c r="Y187" s="508">
        <f t="shared" si="68"/>
        <v>0</v>
      </c>
      <c r="Z187" s="508">
        <f t="shared" si="68"/>
        <v>0</v>
      </c>
      <c r="AA187" s="508">
        <f t="shared" si="68"/>
        <v>0</v>
      </c>
      <c r="AB187" s="508">
        <f t="shared" si="68"/>
        <v>0</v>
      </c>
      <c r="AC187" s="508">
        <f t="shared" si="68"/>
        <v>0</v>
      </c>
      <c r="AD187" s="508">
        <f t="shared" si="68"/>
        <v>0</v>
      </c>
      <c r="AE187" s="508">
        <f t="shared" si="68"/>
        <v>0</v>
      </c>
      <c r="AF187" s="508">
        <f t="shared" si="68"/>
        <v>0</v>
      </c>
      <c r="AG187" s="508">
        <f t="shared" si="68"/>
        <v>0</v>
      </c>
      <c r="AH187" s="508">
        <f t="shared" si="68"/>
        <v>0</v>
      </c>
      <c r="AI187" s="508">
        <f t="shared" si="68"/>
        <v>0</v>
      </c>
      <c r="AJ187" s="508">
        <f t="shared" si="68"/>
        <v>0</v>
      </c>
      <c r="AK187" s="508">
        <f t="shared" si="68"/>
        <v>0</v>
      </c>
      <c r="AL187" s="508">
        <f t="shared" si="68"/>
        <v>0</v>
      </c>
      <c r="AM187" s="508">
        <f t="shared" si="68"/>
        <v>0</v>
      </c>
      <c r="AN187" s="508">
        <f t="shared" si="68"/>
        <v>0</v>
      </c>
      <c r="AO187" s="508">
        <f t="shared" si="68"/>
        <v>0</v>
      </c>
      <c r="AP187" s="508">
        <f t="shared" si="68"/>
        <v>0</v>
      </c>
      <c r="AQ187" s="508">
        <f t="shared" si="68"/>
        <v>0</v>
      </c>
      <c r="AR187" s="508">
        <f t="shared" si="68"/>
        <v>0</v>
      </c>
      <c r="AS187" s="508">
        <f t="shared" si="68"/>
        <v>0</v>
      </c>
      <c r="AT187" s="508">
        <f t="shared" si="68"/>
        <v>0</v>
      </c>
      <c r="AU187" s="508">
        <f t="shared" si="68"/>
        <v>0</v>
      </c>
      <c r="AV187" s="508">
        <f t="shared" si="68"/>
        <v>0</v>
      </c>
      <c r="AW187" s="508">
        <f t="shared" si="68"/>
        <v>0</v>
      </c>
      <c r="AX187" s="508">
        <f t="shared" si="68"/>
        <v>0</v>
      </c>
      <c r="AY187" s="508">
        <f t="shared" si="68"/>
        <v>0</v>
      </c>
      <c r="AZ187" s="508">
        <f t="shared" si="68"/>
        <v>0</v>
      </c>
      <c r="BA187" s="508">
        <f t="shared" si="68"/>
        <v>0</v>
      </c>
      <c r="BB187" s="508">
        <f t="shared" si="68"/>
        <v>0</v>
      </c>
      <c r="BC187" s="508">
        <f t="shared" si="68"/>
        <v>0</v>
      </c>
      <c r="BD187" s="508">
        <f t="shared" si="68"/>
        <v>0</v>
      </c>
      <c r="BE187" s="508">
        <f t="shared" si="68"/>
        <v>0</v>
      </c>
      <c r="BF187" s="508">
        <f t="shared" si="68"/>
        <v>0</v>
      </c>
      <c r="BG187" s="508">
        <f t="shared" si="68"/>
        <v>0</v>
      </c>
      <c r="BH187" s="508">
        <f t="shared" si="68"/>
        <v>0</v>
      </c>
      <c r="BI187" s="508">
        <f t="shared" si="68"/>
        <v>0</v>
      </c>
      <c r="BJ187" s="508">
        <f t="shared" si="68"/>
        <v>0</v>
      </c>
      <c r="BK187" s="592">
        <f t="shared" si="68"/>
        <v>50000000</v>
      </c>
      <c r="BL187" s="592">
        <f t="shared" si="68"/>
        <v>46000000</v>
      </c>
      <c r="BM187" s="592">
        <f t="shared" si="68"/>
        <v>40000000</v>
      </c>
      <c r="BN187" s="508">
        <f t="shared" si="68"/>
        <v>0</v>
      </c>
      <c r="BO187" s="508">
        <f t="shared" si="68"/>
        <v>0</v>
      </c>
      <c r="BP187" s="508">
        <f t="shared" si="68"/>
        <v>0</v>
      </c>
      <c r="BQ187" s="508">
        <f t="shared" si="68"/>
        <v>0</v>
      </c>
      <c r="BR187" s="508">
        <f t="shared" si="68"/>
        <v>0</v>
      </c>
      <c r="BS187" s="508">
        <f t="shared" si="68"/>
        <v>0</v>
      </c>
      <c r="BT187" s="508">
        <f t="shared" si="68"/>
        <v>0</v>
      </c>
      <c r="BU187" s="508">
        <f t="shared" si="68"/>
        <v>0</v>
      </c>
      <c r="BV187" s="508">
        <f t="shared" si="68"/>
        <v>0</v>
      </c>
      <c r="BW187" s="508">
        <f t="shared" si="68"/>
        <v>0</v>
      </c>
      <c r="BX187" s="508">
        <f t="shared" si="68"/>
        <v>0</v>
      </c>
      <c r="BY187" s="508">
        <f t="shared" si="68"/>
        <v>0</v>
      </c>
      <c r="BZ187" s="511">
        <f t="shared" si="68"/>
        <v>50000000</v>
      </c>
      <c r="CA187" s="508">
        <f t="shared" si="68"/>
        <v>46000000</v>
      </c>
      <c r="CB187" s="508">
        <f t="shared" si="68"/>
        <v>40000000</v>
      </c>
    </row>
    <row r="188" spans="1:80" ht="30" customHeight="1" x14ac:dyDescent="0.2">
      <c r="A188" s="603"/>
      <c r="B188" s="754"/>
      <c r="C188" s="755"/>
      <c r="D188" s="754"/>
      <c r="E188" s="755"/>
      <c r="F188" s="755"/>
      <c r="G188" s="754"/>
      <c r="H188" s="63"/>
      <c r="I188" s="62"/>
      <c r="J188" s="64"/>
      <c r="K188" s="100"/>
      <c r="L188" s="100"/>
      <c r="M188" s="100"/>
      <c r="N188" s="64"/>
      <c r="O188" s="63"/>
      <c r="P188" s="62"/>
      <c r="Q188" s="63"/>
      <c r="R188" s="416">
        <f t="shared" ref="R188:CB188" si="69">R187</f>
        <v>0</v>
      </c>
      <c r="S188" s="416">
        <f t="shared" si="69"/>
        <v>0</v>
      </c>
      <c r="T188" s="416">
        <f t="shared" si="69"/>
        <v>0</v>
      </c>
      <c r="U188" s="416">
        <f t="shared" si="69"/>
        <v>0</v>
      </c>
      <c r="V188" s="416">
        <f t="shared" si="69"/>
        <v>0</v>
      </c>
      <c r="W188" s="416">
        <f t="shared" si="69"/>
        <v>0</v>
      </c>
      <c r="X188" s="416">
        <f t="shared" si="69"/>
        <v>0</v>
      </c>
      <c r="Y188" s="416">
        <f t="shared" si="69"/>
        <v>0</v>
      </c>
      <c r="Z188" s="416">
        <f t="shared" si="69"/>
        <v>0</v>
      </c>
      <c r="AA188" s="416">
        <f t="shared" si="69"/>
        <v>0</v>
      </c>
      <c r="AB188" s="416">
        <f t="shared" si="69"/>
        <v>0</v>
      </c>
      <c r="AC188" s="416">
        <f t="shared" si="69"/>
        <v>0</v>
      </c>
      <c r="AD188" s="416">
        <f t="shared" si="69"/>
        <v>0</v>
      </c>
      <c r="AE188" s="416">
        <f t="shared" si="69"/>
        <v>0</v>
      </c>
      <c r="AF188" s="416">
        <f t="shared" si="69"/>
        <v>0</v>
      </c>
      <c r="AG188" s="416">
        <f t="shared" si="69"/>
        <v>0</v>
      </c>
      <c r="AH188" s="416">
        <f t="shared" si="69"/>
        <v>0</v>
      </c>
      <c r="AI188" s="416">
        <f t="shared" si="69"/>
        <v>0</v>
      </c>
      <c r="AJ188" s="416">
        <f t="shared" si="69"/>
        <v>0</v>
      </c>
      <c r="AK188" s="416">
        <f t="shared" si="69"/>
        <v>0</v>
      </c>
      <c r="AL188" s="416">
        <f t="shared" si="69"/>
        <v>0</v>
      </c>
      <c r="AM188" s="416">
        <f t="shared" si="69"/>
        <v>0</v>
      </c>
      <c r="AN188" s="416">
        <f t="shared" si="69"/>
        <v>0</v>
      </c>
      <c r="AO188" s="416">
        <f t="shared" si="69"/>
        <v>0</v>
      </c>
      <c r="AP188" s="416">
        <f t="shared" si="69"/>
        <v>0</v>
      </c>
      <c r="AQ188" s="416">
        <f t="shared" si="69"/>
        <v>0</v>
      </c>
      <c r="AR188" s="416">
        <f t="shared" si="69"/>
        <v>0</v>
      </c>
      <c r="AS188" s="416">
        <f t="shared" si="69"/>
        <v>0</v>
      </c>
      <c r="AT188" s="416">
        <f t="shared" si="69"/>
        <v>0</v>
      </c>
      <c r="AU188" s="416">
        <f t="shared" si="69"/>
        <v>0</v>
      </c>
      <c r="AV188" s="416">
        <f t="shared" si="69"/>
        <v>0</v>
      </c>
      <c r="AW188" s="416">
        <f t="shared" si="69"/>
        <v>0</v>
      </c>
      <c r="AX188" s="416">
        <f t="shared" si="69"/>
        <v>0</v>
      </c>
      <c r="AY188" s="416">
        <f t="shared" si="69"/>
        <v>0</v>
      </c>
      <c r="AZ188" s="416">
        <f t="shared" si="69"/>
        <v>0</v>
      </c>
      <c r="BA188" s="416">
        <f t="shared" si="69"/>
        <v>0</v>
      </c>
      <c r="BB188" s="416">
        <f t="shared" si="69"/>
        <v>0</v>
      </c>
      <c r="BC188" s="416">
        <f t="shared" si="69"/>
        <v>0</v>
      </c>
      <c r="BD188" s="416">
        <f t="shared" si="69"/>
        <v>0</v>
      </c>
      <c r="BE188" s="416">
        <f t="shared" si="69"/>
        <v>0</v>
      </c>
      <c r="BF188" s="416">
        <f t="shared" si="69"/>
        <v>0</v>
      </c>
      <c r="BG188" s="416">
        <f t="shared" si="69"/>
        <v>0</v>
      </c>
      <c r="BH188" s="416">
        <f t="shared" si="69"/>
        <v>0</v>
      </c>
      <c r="BI188" s="416">
        <f t="shared" si="69"/>
        <v>0</v>
      </c>
      <c r="BJ188" s="416">
        <f t="shared" si="69"/>
        <v>0</v>
      </c>
      <c r="BK188" s="416">
        <f t="shared" si="69"/>
        <v>50000000</v>
      </c>
      <c r="BL188" s="416">
        <f t="shared" si="69"/>
        <v>46000000</v>
      </c>
      <c r="BM188" s="416">
        <f t="shared" si="69"/>
        <v>40000000</v>
      </c>
      <c r="BN188" s="416">
        <f t="shared" si="69"/>
        <v>0</v>
      </c>
      <c r="BO188" s="416">
        <f t="shared" si="69"/>
        <v>0</v>
      </c>
      <c r="BP188" s="416">
        <f t="shared" si="69"/>
        <v>0</v>
      </c>
      <c r="BQ188" s="416">
        <f t="shared" si="69"/>
        <v>0</v>
      </c>
      <c r="BR188" s="416">
        <f t="shared" si="69"/>
        <v>0</v>
      </c>
      <c r="BS188" s="416">
        <f t="shared" si="69"/>
        <v>0</v>
      </c>
      <c r="BT188" s="416">
        <f t="shared" si="69"/>
        <v>0</v>
      </c>
      <c r="BU188" s="416">
        <f t="shared" si="69"/>
        <v>0</v>
      </c>
      <c r="BV188" s="416">
        <f t="shared" si="69"/>
        <v>0</v>
      </c>
      <c r="BW188" s="416">
        <f t="shared" si="69"/>
        <v>0</v>
      </c>
      <c r="BX188" s="416">
        <f t="shared" si="69"/>
        <v>0</v>
      </c>
      <c r="BY188" s="416">
        <f t="shared" si="69"/>
        <v>0</v>
      </c>
      <c r="BZ188" s="416">
        <f t="shared" si="69"/>
        <v>50000000</v>
      </c>
      <c r="CA188" s="416">
        <f t="shared" si="69"/>
        <v>46000000</v>
      </c>
      <c r="CB188" s="416">
        <f t="shared" si="69"/>
        <v>40000000</v>
      </c>
    </row>
    <row r="189" spans="1:80" ht="30" customHeight="1" x14ac:dyDescent="0.2">
      <c r="A189" s="603"/>
      <c r="B189" s="748"/>
      <c r="C189" s="747"/>
      <c r="D189" s="748"/>
      <c r="E189" s="747"/>
      <c r="F189" s="747"/>
      <c r="G189" s="748"/>
      <c r="H189" s="747"/>
      <c r="I189" s="748"/>
      <c r="J189" s="749"/>
      <c r="K189" s="796"/>
      <c r="L189" s="796"/>
      <c r="M189" s="796"/>
      <c r="N189" s="749"/>
      <c r="O189" s="747"/>
      <c r="P189" s="748"/>
      <c r="Q189" s="747"/>
      <c r="R189" s="791"/>
      <c r="S189" s="791"/>
      <c r="T189" s="791"/>
      <c r="U189" s="792"/>
      <c r="V189" s="792"/>
      <c r="W189" s="792"/>
      <c r="X189" s="791"/>
      <c r="Y189" s="791"/>
      <c r="Z189" s="791"/>
      <c r="AA189" s="791"/>
      <c r="AB189" s="791"/>
      <c r="AC189" s="791"/>
      <c r="AD189" s="791"/>
      <c r="AE189" s="791"/>
      <c r="AF189" s="791"/>
      <c r="AG189" s="791"/>
      <c r="AH189" s="791"/>
      <c r="AI189" s="791"/>
      <c r="AJ189" s="791"/>
      <c r="AK189" s="791"/>
      <c r="AL189" s="791"/>
      <c r="AM189" s="791"/>
      <c r="AN189" s="791"/>
      <c r="AO189" s="791"/>
      <c r="AP189" s="791"/>
      <c r="AQ189" s="791"/>
      <c r="AR189" s="791"/>
      <c r="AS189" s="791"/>
      <c r="AT189" s="791"/>
      <c r="AU189" s="791"/>
      <c r="AV189" s="791"/>
      <c r="AW189" s="791"/>
      <c r="AX189" s="791"/>
      <c r="AY189" s="792"/>
      <c r="AZ189" s="792"/>
      <c r="BA189" s="792"/>
      <c r="BB189" s="792"/>
      <c r="BC189" s="792"/>
      <c r="BD189" s="792"/>
      <c r="BE189" s="791"/>
      <c r="BF189" s="791"/>
      <c r="BG189" s="791"/>
      <c r="BH189" s="791"/>
      <c r="BI189" s="791"/>
      <c r="BJ189" s="791"/>
      <c r="BK189" s="793"/>
      <c r="BL189" s="793"/>
      <c r="BM189" s="793"/>
      <c r="BN189" s="794"/>
      <c r="BO189" s="794"/>
      <c r="BP189" s="794"/>
      <c r="BQ189" s="791"/>
      <c r="BR189" s="791"/>
      <c r="BS189" s="791"/>
      <c r="BT189" s="791"/>
      <c r="BU189" s="791"/>
      <c r="BV189" s="791"/>
      <c r="BW189" s="792"/>
      <c r="BX189" s="792"/>
      <c r="BY189" s="792"/>
      <c r="BZ189" s="791"/>
      <c r="CA189" s="791"/>
      <c r="CB189" s="630"/>
    </row>
    <row r="190" spans="1:80" ht="30" customHeight="1" x14ac:dyDescent="0.2">
      <c r="A190" s="49"/>
      <c r="B190" s="588">
        <v>27</v>
      </c>
      <c r="C190" s="589" t="s">
        <v>81</v>
      </c>
      <c r="D190" s="589"/>
      <c r="E190" s="589"/>
      <c r="F190" s="589"/>
      <c r="G190" s="589"/>
      <c r="H190" s="199"/>
      <c r="I190" s="337"/>
      <c r="J190" s="337"/>
      <c r="K190" s="593"/>
      <c r="L190" s="593"/>
      <c r="M190" s="593"/>
      <c r="N190" s="199"/>
      <c r="O190" s="199"/>
      <c r="P190" s="337"/>
      <c r="Q190" s="337"/>
      <c r="R190" s="509"/>
      <c r="S190" s="509"/>
      <c r="T190" s="509"/>
      <c r="U190" s="509"/>
      <c r="V190" s="509"/>
      <c r="W190" s="509"/>
      <c r="X190" s="509"/>
      <c r="Y190" s="509"/>
      <c r="Z190" s="509"/>
      <c r="AA190" s="509"/>
      <c r="AB190" s="509"/>
      <c r="AC190" s="509"/>
      <c r="AD190" s="509"/>
      <c r="AE190" s="509"/>
      <c r="AF190" s="509"/>
      <c r="AG190" s="509"/>
      <c r="AH190" s="509"/>
      <c r="AI190" s="509"/>
      <c r="AJ190" s="509"/>
      <c r="AK190" s="509"/>
      <c r="AL190" s="509"/>
      <c r="AM190" s="509"/>
      <c r="AN190" s="509"/>
      <c r="AO190" s="509"/>
      <c r="AP190" s="509"/>
      <c r="AQ190" s="509"/>
      <c r="AR190" s="509"/>
      <c r="AS190" s="509"/>
      <c r="AT190" s="509"/>
      <c r="AU190" s="509"/>
      <c r="AV190" s="509"/>
      <c r="AW190" s="509"/>
      <c r="AX190" s="509"/>
      <c r="AY190" s="509"/>
      <c r="AZ190" s="509"/>
      <c r="BA190" s="509"/>
      <c r="BB190" s="509"/>
      <c r="BC190" s="509"/>
      <c r="BD190" s="509"/>
      <c r="BE190" s="509"/>
      <c r="BF190" s="509"/>
      <c r="BG190" s="509"/>
      <c r="BH190" s="509"/>
      <c r="BI190" s="509"/>
      <c r="BJ190" s="509"/>
      <c r="BK190" s="594"/>
      <c r="BL190" s="594"/>
      <c r="BM190" s="594"/>
      <c r="BN190" s="509"/>
      <c r="BO190" s="509"/>
      <c r="BP190" s="509"/>
      <c r="BQ190" s="509"/>
      <c r="BR190" s="509"/>
      <c r="BS190" s="509"/>
      <c r="BT190" s="509"/>
      <c r="BU190" s="509"/>
      <c r="BV190" s="509"/>
      <c r="BW190" s="509"/>
      <c r="BX190" s="509"/>
      <c r="BY190" s="509"/>
      <c r="BZ190" s="509"/>
      <c r="CA190" s="509"/>
      <c r="CB190" s="509"/>
    </row>
    <row r="191" spans="1:80" ht="30" customHeight="1" x14ac:dyDescent="0.2">
      <c r="A191" s="49"/>
      <c r="B191" s="43"/>
      <c r="C191" s="713"/>
      <c r="D191" s="43"/>
      <c r="E191" s="43"/>
      <c r="F191" s="43"/>
      <c r="G191" s="771">
        <v>85</v>
      </c>
      <c r="H191" s="335" t="s">
        <v>82</v>
      </c>
      <c r="I191" s="335"/>
      <c r="J191" s="335"/>
      <c r="K191" s="335"/>
      <c r="L191" s="335"/>
      <c r="M191" s="335"/>
      <c r="N191" s="591"/>
      <c r="O191" s="335"/>
      <c r="P191" s="335"/>
      <c r="Q191" s="335"/>
      <c r="R191" s="508"/>
      <c r="S191" s="508"/>
      <c r="T191" s="508"/>
      <c r="U191" s="508"/>
      <c r="V191" s="508"/>
      <c r="W191" s="508"/>
      <c r="X191" s="508"/>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row>
    <row r="192" spans="1:80" ht="67.5" customHeight="1" x14ac:dyDescent="0.2">
      <c r="A192" s="49"/>
      <c r="B192" s="49"/>
      <c r="C192" s="883">
        <v>37</v>
      </c>
      <c r="D192" s="891" t="s">
        <v>256</v>
      </c>
      <c r="E192" s="883">
        <v>54.61</v>
      </c>
      <c r="F192" s="883">
        <v>60</v>
      </c>
      <c r="G192" s="49"/>
      <c r="H192" s="713">
        <v>250</v>
      </c>
      <c r="I192" s="729" t="s">
        <v>257</v>
      </c>
      <c r="J192" s="44">
        <v>1</v>
      </c>
      <c r="K192" s="54">
        <v>3</v>
      </c>
      <c r="L192" s="112">
        <v>2.6</v>
      </c>
      <c r="M192" s="884">
        <v>2017003630014</v>
      </c>
      <c r="N192" s="887" t="s">
        <v>84</v>
      </c>
      <c r="O192" s="883" t="s">
        <v>258</v>
      </c>
      <c r="P192" s="891" t="s">
        <v>259</v>
      </c>
      <c r="Q192" s="169" t="s">
        <v>52</v>
      </c>
      <c r="R192" s="401">
        <v>0</v>
      </c>
      <c r="S192" s="401"/>
      <c r="T192" s="401"/>
      <c r="U192" s="401">
        <v>0</v>
      </c>
      <c r="V192" s="401"/>
      <c r="W192" s="401"/>
      <c r="X192" s="401">
        <v>0</v>
      </c>
      <c r="Y192" s="401"/>
      <c r="Z192" s="401"/>
      <c r="AA192" s="401">
        <v>0</v>
      </c>
      <c r="AB192" s="401"/>
      <c r="AC192" s="401"/>
      <c r="AD192" s="401">
        <v>0</v>
      </c>
      <c r="AE192" s="401"/>
      <c r="AF192" s="401"/>
      <c r="AG192" s="401">
        <v>0</v>
      </c>
      <c r="AH192" s="401"/>
      <c r="AI192" s="401"/>
      <c r="AJ192" s="401">
        <v>0</v>
      </c>
      <c r="AK192" s="401"/>
      <c r="AL192" s="401"/>
      <c r="AM192" s="401">
        <v>0</v>
      </c>
      <c r="AN192" s="401"/>
      <c r="AO192" s="401"/>
      <c r="AP192" s="401">
        <v>0</v>
      </c>
      <c r="AQ192" s="401"/>
      <c r="AR192" s="401"/>
      <c r="AS192" s="401">
        <v>0</v>
      </c>
      <c r="AT192" s="401"/>
      <c r="AU192" s="401"/>
      <c r="AV192" s="401">
        <v>0</v>
      </c>
      <c r="AW192" s="401"/>
      <c r="AX192" s="401"/>
      <c r="AY192" s="401">
        <v>0</v>
      </c>
      <c r="AZ192" s="401"/>
      <c r="BA192" s="401"/>
      <c r="BB192" s="401">
        <v>0</v>
      </c>
      <c r="BC192" s="401"/>
      <c r="BD192" s="401"/>
      <c r="BE192" s="401">
        <v>0</v>
      </c>
      <c r="BF192" s="401"/>
      <c r="BG192" s="401"/>
      <c r="BH192" s="401">
        <v>0</v>
      </c>
      <c r="BI192" s="401"/>
      <c r="BJ192" s="401"/>
      <c r="BK192" s="415">
        <f>188000000+170000000</f>
        <v>358000000</v>
      </c>
      <c r="BL192" s="415">
        <v>167723508</v>
      </c>
      <c r="BM192" s="415">
        <v>128892824</v>
      </c>
      <c r="BN192" s="401">
        <v>0</v>
      </c>
      <c r="BO192" s="401"/>
      <c r="BP192" s="401"/>
      <c r="BQ192" s="401">
        <v>0</v>
      </c>
      <c r="BR192" s="401"/>
      <c r="BS192" s="401"/>
      <c r="BT192" s="401"/>
      <c r="BU192" s="401"/>
      <c r="BV192" s="401"/>
      <c r="BW192" s="401">
        <v>0</v>
      </c>
      <c r="BX192" s="401"/>
      <c r="BY192" s="401"/>
      <c r="BZ192" s="401">
        <f t="shared" ref="BZ192:CB196" si="70">R192+U192+X192+AA192+AD192+AG192+AJ192+AM192+AP192+AS192+AV192+AY192+BB192+BE192+BH192+BK192+BN192+BQ192+BT192+BW192</f>
        <v>358000000</v>
      </c>
      <c r="CA192" s="401">
        <f t="shared" si="70"/>
        <v>167723508</v>
      </c>
      <c r="CB192" s="401">
        <f t="shared" si="70"/>
        <v>128892824</v>
      </c>
    </row>
    <row r="193" spans="1:80" ht="67.5" customHeight="1" x14ac:dyDescent="0.2">
      <c r="A193" s="49"/>
      <c r="B193" s="49"/>
      <c r="C193" s="883"/>
      <c r="D193" s="891"/>
      <c r="E193" s="883"/>
      <c r="F193" s="883"/>
      <c r="G193" s="49"/>
      <c r="H193" s="713">
        <v>251</v>
      </c>
      <c r="I193" s="729" t="s">
        <v>260</v>
      </c>
      <c r="J193" s="44">
        <v>0</v>
      </c>
      <c r="K193" s="54">
        <v>1</v>
      </c>
      <c r="L193" s="110">
        <v>0.75</v>
      </c>
      <c r="M193" s="885"/>
      <c r="N193" s="888"/>
      <c r="O193" s="883"/>
      <c r="P193" s="891"/>
      <c r="Q193" s="169" t="s">
        <v>52</v>
      </c>
      <c r="R193" s="401">
        <v>0</v>
      </c>
      <c r="S193" s="401"/>
      <c r="T193" s="401"/>
      <c r="U193" s="401">
        <v>0</v>
      </c>
      <c r="V193" s="401"/>
      <c r="W193" s="401"/>
      <c r="X193" s="401">
        <v>0</v>
      </c>
      <c r="Y193" s="401"/>
      <c r="Z193" s="401"/>
      <c r="AA193" s="401">
        <v>0</v>
      </c>
      <c r="AB193" s="401"/>
      <c r="AC193" s="401"/>
      <c r="AD193" s="401">
        <v>0</v>
      </c>
      <c r="AE193" s="401"/>
      <c r="AF193" s="401"/>
      <c r="AG193" s="401">
        <v>0</v>
      </c>
      <c r="AH193" s="401"/>
      <c r="AI193" s="401"/>
      <c r="AJ193" s="401">
        <v>0</v>
      </c>
      <c r="AK193" s="401"/>
      <c r="AL193" s="401"/>
      <c r="AM193" s="401"/>
      <c r="AN193" s="401"/>
      <c r="AO193" s="401"/>
      <c r="AP193" s="401"/>
      <c r="AQ193" s="401"/>
      <c r="AR193" s="401"/>
      <c r="AS193" s="401">
        <v>0</v>
      </c>
      <c r="AT193" s="401"/>
      <c r="AU193" s="401"/>
      <c r="AV193" s="401">
        <v>0</v>
      </c>
      <c r="AW193" s="401"/>
      <c r="AX193" s="401"/>
      <c r="AY193" s="401"/>
      <c r="AZ193" s="401"/>
      <c r="BA193" s="401"/>
      <c r="BB193" s="401"/>
      <c r="BC193" s="401"/>
      <c r="BD193" s="401"/>
      <c r="BE193" s="401">
        <v>0</v>
      </c>
      <c r="BF193" s="401"/>
      <c r="BG193" s="401"/>
      <c r="BH193" s="401">
        <v>0</v>
      </c>
      <c r="BI193" s="401"/>
      <c r="BJ193" s="401"/>
      <c r="BK193" s="415">
        <v>50000000</v>
      </c>
      <c r="BL193" s="415">
        <v>16880000</v>
      </c>
      <c r="BM193" s="415">
        <v>9085000</v>
      </c>
      <c r="BN193" s="421"/>
      <c r="BO193" s="421"/>
      <c r="BP193" s="421"/>
      <c r="BQ193" s="401">
        <v>0</v>
      </c>
      <c r="BR193" s="403"/>
      <c r="BS193" s="403"/>
      <c r="BT193" s="403"/>
      <c r="BU193" s="403"/>
      <c r="BV193" s="403"/>
      <c r="BW193" s="403">
        <v>0</v>
      </c>
      <c r="BX193" s="403"/>
      <c r="BY193" s="403"/>
      <c r="BZ193" s="401">
        <f t="shared" si="70"/>
        <v>50000000</v>
      </c>
      <c r="CA193" s="401">
        <f t="shared" si="70"/>
        <v>16880000</v>
      </c>
      <c r="CB193" s="401">
        <f t="shared" si="70"/>
        <v>9085000</v>
      </c>
    </row>
    <row r="194" spans="1:80" ht="66" customHeight="1" x14ac:dyDescent="0.2">
      <c r="A194" s="49"/>
      <c r="B194" s="49"/>
      <c r="C194" s="883"/>
      <c r="D194" s="891"/>
      <c r="E194" s="883"/>
      <c r="F194" s="883"/>
      <c r="G194" s="187"/>
      <c r="H194" s="713">
        <v>252</v>
      </c>
      <c r="I194" s="47" t="s">
        <v>261</v>
      </c>
      <c r="J194" s="44">
        <v>1</v>
      </c>
      <c r="K194" s="769">
        <v>2</v>
      </c>
      <c r="L194" s="45">
        <v>2</v>
      </c>
      <c r="M194" s="885"/>
      <c r="N194" s="888"/>
      <c r="O194" s="883"/>
      <c r="P194" s="891"/>
      <c r="Q194" s="169" t="s">
        <v>67</v>
      </c>
      <c r="R194" s="401">
        <v>0</v>
      </c>
      <c r="S194" s="401"/>
      <c r="T194" s="401"/>
      <c r="U194" s="401">
        <v>0</v>
      </c>
      <c r="V194" s="401"/>
      <c r="W194" s="401"/>
      <c r="X194" s="401">
        <v>0</v>
      </c>
      <c r="Y194" s="401"/>
      <c r="Z194" s="401"/>
      <c r="AA194" s="401">
        <v>0</v>
      </c>
      <c r="AB194" s="401"/>
      <c r="AC194" s="401"/>
      <c r="AD194" s="401">
        <v>0</v>
      </c>
      <c r="AE194" s="401"/>
      <c r="AF194" s="401"/>
      <c r="AG194" s="401">
        <v>0</v>
      </c>
      <c r="AH194" s="401"/>
      <c r="AI194" s="401"/>
      <c r="AJ194" s="401">
        <v>0</v>
      </c>
      <c r="AK194" s="401"/>
      <c r="AL194" s="401"/>
      <c r="AM194" s="401">
        <v>0</v>
      </c>
      <c r="AN194" s="401"/>
      <c r="AO194" s="401"/>
      <c r="AP194" s="401">
        <v>0</v>
      </c>
      <c r="AQ194" s="401"/>
      <c r="AR194" s="401"/>
      <c r="AS194" s="401">
        <v>0</v>
      </c>
      <c r="AT194" s="401"/>
      <c r="AU194" s="401"/>
      <c r="AV194" s="401">
        <v>0</v>
      </c>
      <c r="AW194" s="401"/>
      <c r="AX194" s="401"/>
      <c r="AY194" s="401">
        <v>0</v>
      </c>
      <c r="AZ194" s="401"/>
      <c r="BA194" s="401"/>
      <c r="BB194" s="401">
        <v>0</v>
      </c>
      <c r="BC194" s="401"/>
      <c r="BD194" s="401"/>
      <c r="BE194" s="401">
        <v>0</v>
      </c>
      <c r="BF194" s="401"/>
      <c r="BG194" s="401"/>
      <c r="BH194" s="401">
        <v>0</v>
      </c>
      <c r="BI194" s="401"/>
      <c r="BJ194" s="401"/>
      <c r="BK194" s="401">
        <v>25000000</v>
      </c>
      <c r="BL194" s="401">
        <v>18500000</v>
      </c>
      <c r="BM194" s="401">
        <v>14883000</v>
      </c>
      <c r="BN194" s="401">
        <v>0</v>
      </c>
      <c r="BO194" s="401"/>
      <c r="BP194" s="401"/>
      <c r="BQ194" s="401">
        <v>0</v>
      </c>
      <c r="BR194" s="401"/>
      <c r="BS194" s="401"/>
      <c r="BT194" s="401"/>
      <c r="BU194" s="401"/>
      <c r="BV194" s="401"/>
      <c r="BW194" s="401">
        <v>0</v>
      </c>
      <c r="BX194" s="401"/>
      <c r="BY194" s="401"/>
      <c r="BZ194" s="401">
        <f t="shared" si="70"/>
        <v>25000000</v>
      </c>
      <c r="CA194" s="401">
        <f t="shared" si="70"/>
        <v>18500000</v>
      </c>
      <c r="CB194" s="401">
        <f t="shared" si="70"/>
        <v>14883000</v>
      </c>
    </row>
    <row r="195" spans="1:80" ht="58.5" customHeight="1" x14ac:dyDescent="0.2">
      <c r="A195" s="49" t="s">
        <v>262</v>
      </c>
      <c r="B195" s="49"/>
      <c r="C195" s="883"/>
      <c r="D195" s="891"/>
      <c r="E195" s="883"/>
      <c r="F195" s="883"/>
      <c r="G195" s="49"/>
      <c r="H195" s="713">
        <v>253</v>
      </c>
      <c r="I195" s="729" t="s">
        <v>263</v>
      </c>
      <c r="J195" s="44">
        <v>4</v>
      </c>
      <c r="K195" s="110">
        <v>0.25</v>
      </c>
      <c r="L195" s="45">
        <v>0</v>
      </c>
      <c r="M195" s="885"/>
      <c r="N195" s="888"/>
      <c r="O195" s="883"/>
      <c r="P195" s="891"/>
      <c r="Q195" s="169" t="s">
        <v>67</v>
      </c>
      <c r="R195" s="401">
        <v>0</v>
      </c>
      <c r="S195" s="401"/>
      <c r="T195" s="401"/>
      <c r="U195" s="401">
        <v>0</v>
      </c>
      <c r="V195" s="401"/>
      <c r="W195" s="401"/>
      <c r="X195" s="401">
        <v>0</v>
      </c>
      <c r="Y195" s="401"/>
      <c r="Z195" s="401"/>
      <c r="AA195" s="401">
        <v>0</v>
      </c>
      <c r="AB195" s="401"/>
      <c r="AC195" s="401"/>
      <c r="AD195" s="401">
        <v>0</v>
      </c>
      <c r="AE195" s="401"/>
      <c r="AF195" s="401"/>
      <c r="AG195" s="401">
        <v>0</v>
      </c>
      <c r="AH195" s="401"/>
      <c r="AI195" s="401"/>
      <c r="AJ195" s="401">
        <v>0</v>
      </c>
      <c r="AK195" s="401"/>
      <c r="AL195" s="401"/>
      <c r="AM195" s="401">
        <v>0</v>
      </c>
      <c r="AN195" s="401"/>
      <c r="AO195" s="401"/>
      <c r="AP195" s="401">
        <v>0</v>
      </c>
      <c r="AQ195" s="401"/>
      <c r="AR195" s="401"/>
      <c r="AS195" s="401">
        <v>0</v>
      </c>
      <c r="AT195" s="401"/>
      <c r="AU195" s="401"/>
      <c r="AV195" s="401">
        <v>0</v>
      </c>
      <c r="AW195" s="401"/>
      <c r="AX195" s="401"/>
      <c r="AY195" s="401">
        <v>0</v>
      </c>
      <c r="AZ195" s="401"/>
      <c r="BA195" s="401"/>
      <c r="BB195" s="401">
        <v>0</v>
      </c>
      <c r="BC195" s="401"/>
      <c r="BD195" s="401"/>
      <c r="BE195" s="401">
        <v>0</v>
      </c>
      <c r="BF195" s="401"/>
      <c r="BG195" s="401"/>
      <c r="BH195" s="401">
        <v>0</v>
      </c>
      <c r="BI195" s="401"/>
      <c r="BJ195" s="401"/>
      <c r="BK195" s="401">
        <v>0</v>
      </c>
      <c r="BL195" s="401"/>
      <c r="BM195" s="401"/>
      <c r="BN195" s="401">
        <v>0</v>
      </c>
      <c r="BO195" s="401"/>
      <c r="BP195" s="401"/>
      <c r="BQ195" s="401">
        <v>0</v>
      </c>
      <c r="BR195" s="401"/>
      <c r="BS195" s="401"/>
      <c r="BT195" s="401"/>
      <c r="BU195" s="401"/>
      <c r="BV195" s="401"/>
      <c r="BW195" s="401">
        <v>0</v>
      </c>
      <c r="BX195" s="401"/>
      <c r="BY195" s="401"/>
      <c r="BZ195" s="401">
        <f t="shared" si="70"/>
        <v>0</v>
      </c>
      <c r="CA195" s="401">
        <f t="shared" si="70"/>
        <v>0</v>
      </c>
      <c r="CB195" s="401">
        <f t="shared" si="70"/>
        <v>0</v>
      </c>
    </row>
    <row r="196" spans="1:80" ht="84" customHeight="1" x14ac:dyDescent="0.2">
      <c r="A196" s="49" t="s">
        <v>262</v>
      </c>
      <c r="B196" s="49"/>
      <c r="C196" s="883"/>
      <c r="D196" s="891"/>
      <c r="E196" s="883"/>
      <c r="F196" s="883"/>
      <c r="G196" s="92"/>
      <c r="H196" s="713">
        <v>254</v>
      </c>
      <c r="I196" s="47" t="s">
        <v>264</v>
      </c>
      <c r="J196" s="44">
        <v>0</v>
      </c>
      <c r="K196" s="45">
        <v>1</v>
      </c>
      <c r="L196" s="112">
        <v>0.9</v>
      </c>
      <c r="M196" s="886"/>
      <c r="N196" s="889"/>
      <c r="O196" s="898"/>
      <c r="P196" s="892"/>
      <c r="Q196" s="169" t="s">
        <v>52</v>
      </c>
      <c r="R196" s="401">
        <v>0</v>
      </c>
      <c r="S196" s="401"/>
      <c r="T196" s="401"/>
      <c r="U196" s="401">
        <v>0</v>
      </c>
      <c r="V196" s="401"/>
      <c r="W196" s="401"/>
      <c r="X196" s="401">
        <v>0</v>
      </c>
      <c r="Y196" s="401"/>
      <c r="Z196" s="401"/>
      <c r="AA196" s="401">
        <v>0</v>
      </c>
      <c r="AB196" s="401"/>
      <c r="AC196" s="401"/>
      <c r="AD196" s="401">
        <v>0</v>
      </c>
      <c r="AE196" s="401"/>
      <c r="AF196" s="401"/>
      <c r="AG196" s="401">
        <v>0</v>
      </c>
      <c r="AH196" s="401"/>
      <c r="AI196" s="401"/>
      <c r="AJ196" s="401">
        <v>0</v>
      </c>
      <c r="AK196" s="401"/>
      <c r="AL196" s="401"/>
      <c r="AM196" s="401"/>
      <c r="AN196" s="401"/>
      <c r="AO196" s="401"/>
      <c r="AP196" s="401"/>
      <c r="AQ196" s="401"/>
      <c r="AR196" s="401"/>
      <c r="AS196" s="401">
        <v>0</v>
      </c>
      <c r="AT196" s="401"/>
      <c r="AU196" s="401"/>
      <c r="AV196" s="401">
        <v>0</v>
      </c>
      <c r="AW196" s="401"/>
      <c r="AX196" s="401"/>
      <c r="AY196" s="401"/>
      <c r="AZ196" s="401"/>
      <c r="BA196" s="401"/>
      <c r="BB196" s="401"/>
      <c r="BC196" s="401"/>
      <c r="BD196" s="401"/>
      <c r="BE196" s="401">
        <v>0</v>
      </c>
      <c r="BF196" s="401"/>
      <c r="BG196" s="401"/>
      <c r="BH196" s="401">
        <v>0</v>
      </c>
      <c r="BI196" s="401"/>
      <c r="BJ196" s="401"/>
      <c r="BK196" s="415">
        <v>30000000</v>
      </c>
      <c r="BL196" s="415">
        <v>30000000</v>
      </c>
      <c r="BM196" s="415">
        <v>16431000</v>
      </c>
      <c r="BN196" s="415"/>
      <c r="BO196" s="415"/>
      <c r="BP196" s="415"/>
      <c r="BQ196" s="401">
        <v>0</v>
      </c>
      <c r="BR196" s="401"/>
      <c r="BS196" s="401"/>
      <c r="BT196" s="401"/>
      <c r="BU196" s="401"/>
      <c r="BV196" s="401"/>
      <c r="BW196" s="401">
        <v>0</v>
      </c>
      <c r="BX196" s="401"/>
      <c r="BY196" s="401"/>
      <c r="BZ196" s="401">
        <f t="shared" si="70"/>
        <v>30000000</v>
      </c>
      <c r="CA196" s="401">
        <f t="shared" si="70"/>
        <v>30000000</v>
      </c>
      <c r="CB196" s="401">
        <f t="shared" si="70"/>
        <v>16431000</v>
      </c>
    </row>
    <row r="197" spans="1:80" ht="30" customHeight="1" x14ac:dyDescent="0.2">
      <c r="A197" s="49"/>
      <c r="B197" s="49"/>
      <c r="C197" s="714"/>
      <c r="D197" s="709"/>
      <c r="E197" s="714"/>
      <c r="F197" s="714"/>
      <c r="G197" s="93"/>
      <c r="H197" s="94"/>
      <c r="I197" s="188"/>
      <c r="J197" s="60"/>
      <c r="K197" s="60"/>
      <c r="L197" s="60"/>
      <c r="M197" s="60"/>
      <c r="N197" s="60"/>
      <c r="O197" s="59"/>
      <c r="P197" s="58"/>
      <c r="Q197" s="59"/>
      <c r="R197" s="410">
        <f t="shared" ref="R197:BY197" si="71">SUM(R192:R196)</f>
        <v>0</v>
      </c>
      <c r="S197" s="410">
        <f t="shared" si="71"/>
        <v>0</v>
      </c>
      <c r="T197" s="410">
        <f t="shared" si="71"/>
        <v>0</v>
      </c>
      <c r="U197" s="410">
        <f t="shared" si="71"/>
        <v>0</v>
      </c>
      <c r="V197" s="410">
        <f t="shared" si="71"/>
        <v>0</v>
      </c>
      <c r="W197" s="410">
        <f t="shared" si="71"/>
        <v>0</v>
      </c>
      <c r="X197" s="410">
        <f t="shared" si="71"/>
        <v>0</v>
      </c>
      <c r="Y197" s="410">
        <f t="shared" si="71"/>
        <v>0</v>
      </c>
      <c r="Z197" s="410">
        <f t="shared" si="71"/>
        <v>0</v>
      </c>
      <c r="AA197" s="410">
        <f t="shared" si="71"/>
        <v>0</v>
      </c>
      <c r="AB197" s="410">
        <f t="shared" si="71"/>
        <v>0</v>
      </c>
      <c r="AC197" s="410">
        <f t="shared" si="71"/>
        <v>0</v>
      </c>
      <c r="AD197" s="410">
        <f t="shared" si="71"/>
        <v>0</v>
      </c>
      <c r="AE197" s="410">
        <f t="shared" si="71"/>
        <v>0</v>
      </c>
      <c r="AF197" s="410">
        <f t="shared" si="71"/>
        <v>0</v>
      </c>
      <c r="AG197" s="410">
        <f t="shared" si="71"/>
        <v>0</v>
      </c>
      <c r="AH197" s="410">
        <f t="shared" si="71"/>
        <v>0</v>
      </c>
      <c r="AI197" s="410">
        <f t="shared" si="71"/>
        <v>0</v>
      </c>
      <c r="AJ197" s="410">
        <f t="shared" si="71"/>
        <v>0</v>
      </c>
      <c r="AK197" s="410">
        <f t="shared" si="71"/>
        <v>0</v>
      </c>
      <c r="AL197" s="410">
        <f t="shared" si="71"/>
        <v>0</v>
      </c>
      <c r="AM197" s="410">
        <f t="shared" si="71"/>
        <v>0</v>
      </c>
      <c r="AN197" s="410">
        <f t="shared" si="71"/>
        <v>0</v>
      </c>
      <c r="AO197" s="410">
        <f t="shared" si="71"/>
        <v>0</v>
      </c>
      <c r="AP197" s="410">
        <f t="shared" si="71"/>
        <v>0</v>
      </c>
      <c r="AQ197" s="410">
        <f t="shared" si="71"/>
        <v>0</v>
      </c>
      <c r="AR197" s="410">
        <f t="shared" si="71"/>
        <v>0</v>
      </c>
      <c r="AS197" s="410">
        <f t="shared" si="71"/>
        <v>0</v>
      </c>
      <c r="AT197" s="410">
        <f t="shared" si="71"/>
        <v>0</v>
      </c>
      <c r="AU197" s="410">
        <f t="shared" si="71"/>
        <v>0</v>
      </c>
      <c r="AV197" s="410">
        <f t="shared" si="71"/>
        <v>0</v>
      </c>
      <c r="AW197" s="410">
        <f t="shared" si="71"/>
        <v>0</v>
      </c>
      <c r="AX197" s="410">
        <f t="shared" si="71"/>
        <v>0</v>
      </c>
      <c r="AY197" s="410">
        <f t="shared" si="71"/>
        <v>0</v>
      </c>
      <c r="AZ197" s="410">
        <f t="shared" si="71"/>
        <v>0</v>
      </c>
      <c r="BA197" s="410">
        <f t="shared" si="71"/>
        <v>0</v>
      </c>
      <c r="BB197" s="410">
        <f t="shared" si="71"/>
        <v>0</v>
      </c>
      <c r="BC197" s="410">
        <f t="shared" si="71"/>
        <v>0</v>
      </c>
      <c r="BD197" s="410">
        <f t="shared" si="71"/>
        <v>0</v>
      </c>
      <c r="BE197" s="410">
        <f t="shared" si="71"/>
        <v>0</v>
      </c>
      <c r="BF197" s="410">
        <f t="shared" si="71"/>
        <v>0</v>
      </c>
      <c r="BG197" s="410">
        <f t="shared" si="71"/>
        <v>0</v>
      </c>
      <c r="BH197" s="410">
        <f t="shared" si="71"/>
        <v>0</v>
      </c>
      <c r="BI197" s="410">
        <f t="shared" si="71"/>
        <v>0</v>
      </c>
      <c r="BJ197" s="410">
        <f t="shared" si="71"/>
        <v>0</v>
      </c>
      <c r="BK197" s="410">
        <f t="shared" si="71"/>
        <v>463000000</v>
      </c>
      <c r="BL197" s="410">
        <f t="shared" si="71"/>
        <v>233103508</v>
      </c>
      <c r="BM197" s="410">
        <f t="shared" si="71"/>
        <v>169291824</v>
      </c>
      <c r="BN197" s="410">
        <f t="shared" si="71"/>
        <v>0</v>
      </c>
      <c r="BO197" s="410">
        <f t="shared" si="71"/>
        <v>0</v>
      </c>
      <c r="BP197" s="410">
        <f t="shared" si="71"/>
        <v>0</v>
      </c>
      <c r="BQ197" s="410">
        <f t="shared" si="71"/>
        <v>0</v>
      </c>
      <c r="BR197" s="410">
        <f t="shared" si="71"/>
        <v>0</v>
      </c>
      <c r="BS197" s="410">
        <f t="shared" si="71"/>
        <v>0</v>
      </c>
      <c r="BT197" s="410">
        <f t="shared" si="71"/>
        <v>0</v>
      </c>
      <c r="BU197" s="410">
        <f t="shared" si="71"/>
        <v>0</v>
      </c>
      <c r="BV197" s="410">
        <f t="shared" si="71"/>
        <v>0</v>
      </c>
      <c r="BW197" s="410">
        <f t="shared" si="71"/>
        <v>0</v>
      </c>
      <c r="BX197" s="410">
        <f t="shared" si="71"/>
        <v>0</v>
      </c>
      <c r="BY197" s="410">
        <f t="shared" si="71"/>
        <v>0</v>
      </c>
      <c r="BZ197" s="410">
        <f>SUM(BZ192:BZ196)</f>
        <v>463000000</v>
      </c>
      <c r="CA197" s="410">
        <f t="shared" ref="CA197:CB197" si="72">SUM(CA192:CA196)</f>
        <v>233103508</v>
      </c>
      <c r="CB197" s="410">
        <f t="shared" si="72"/>
        <v>169291824</v>
      </c>
    </row>
    <row r="198" spans="1:80" ht="30" customHeight="1" x14ac:dyDescent="0.2">
      <c r="A198" s="49"/>
      <c r="B198" s="49"/>
      <c r="C198" s="150"/>
      <c r="D198" s="72"/>
      <c r="E198" s="150"/>
      <c r="F198" s="150"/>
      <c r="G198" s="101"/>
      <c r="H198" s="400"/>
      <c r="I198" s="89"/>
      <c r="J198" s="73"/>
      <c r="K198" s="73"/>
      <c r="L198" s="73"/>
      <c r="M198" s="73"/>
      <c r="N198" s="73"/>
      <c r="O198" s="150"/>
      <c r="P198" s="72"/>
      <c r="Q198" s="150"/>
      <c r="R198" s="405"/>
      <c r="S198" s="405"/>
      <c r="T198" s="405"/>
      <c r="U198" s="406"/>
      <c r="V198" s="406"/>
      <c r="W198" s="406"/>
      <c r="X198" s="405"/>
      <c r="Y198" s="405"/>
      <c r="Z198" s="405"/>
      <c r="AA198" s="405"/>
      <c r="AB198" s="405"/>
      <c r="AC198" s="405"/>
      <c r="AD198" s="405"/>
      <c r="AE198" s="405"/>
      <c r="AF198" s="405"/>
      <c r="AG198" s="405"/>
      <c r="AH198" s="405"/>
      <c r="AI198" s="405"/>
      <c r="AJ198" s="405"/>
      <c r="AK198" s="405"/>
      <c r="AL198" s="405"/>
      <c r="AM198" s="405"/>
      <c r="AN198" s="405"/>
      <c r="AO198" s="405"/>
      <c r="AP198" s="405"/>
      <c r="AQ198" s="405"/>
      <c r="AR198" s="405"/>
      <c r="AS198" s="405"/>
      <c r="AT198" s="405"/>
      <c r="AU198" s="405"/>
      <c r="AV198" s="405"/>
      <c r="AW198" s="405"/>
      <c r="AX198" s="405"/>
      <c r="AY198" s="405"/>
      <c r="AZ198" s="405"/>
      <c r="BA198" s="405"/>
      <c r="BB198" s="405"/>
      <c r="BC198" s="405"/>
      <c r="BD198" s="405"/>
      <c r="BE198" s="405"/>
      <c r="BF198" s="405"/>
      <c r="BG198" s="405"/>
      <c r="BH198" s="405"/>
      <c r="BI198" s="405"/>
      <c r="BJ198" s="405"/>
      <c r="BK198" s="407"/>
      <c r="BL198" s="407"/>
      <c r="BM198" s="407"/>
      <c r="BN198" s="408"/>
      <c r="BO198" s="408"/>
      <c r="BP198" s="408"/>
      <c r="BQ198" s="405"/>
      <c r="BR198" s="405"/>
      <c r="BS198" s="405"/>
      <c r="BT198" s="405"/>
      <c r="BU198" s="405"/>
      <c r="BV198" s="405"/>
      <c r="BW198" s="406"/>
      <c r="BX198" s="406"/>
      <c r="BY198" s="406"/>
      <c r="BZ198" s="405"/>
      <c r="CA198" s="405"/>
      <c r="CB198" s="409"/>
    </row>
    <row r="199" spans="1:80" ht="30" customHeight="1" x14ac:dyDescent="0.2">
      <c r="A199" s="49"/>
      <c r="B199" s="49"/>
      <c r="C199" s="713"/>
      <c r="D199" s="707"/>
      <c r="E199" s="713"/>
      <c r="F199" s="713"/>
      <c r="G199" s="78">
        <v>86</v>
      </c>
      <c r="H199" s="80" t="s">
        <v>265</v>
      </c>
      <c r="I199" s="80"/>
      <c r="J199" s="80"/>
      <c r="K199" s="80"/>
      <c r="L199" s="80"/>
      <c r="M199" s="80"/>
      <c r="N199" s="173"/>
      <c r="O199" s="173"/>
      <c r="P199" s="80"/>
      <c r="Q199" s="80"/>
      <c r="R199" s="267"/>
      <c r="S199" s="267"/>
      <c r="T199" s="267"/>
      <c r="U199" s="267"/>
      <c r="V199" s="267"/>
      <c r="W199" s="267"/>
      <c r="X199" s="267"/>
      <c r="Y199" s="267"/>
      <c r="Z199" s="267"/>
      <c r="AA199" s="267"/>
      <c r="AB199" s="267"/>
      <c r="AC199" s="267"/>
      <c r="AD199" s="267"/>
      <c r="AE199" s="267"/>
      <c r="AF199" s="267"/>
      <c r="AG199" s="267"/>
      <c r="AH199" s="267"/>
      <c r="AI199" s="267"/>
      <c r="AJ199" s="267"/>
      <c r="AK199" s="267"/>
      <c r="AL199" s="267"/>
      <c r="AM199" s="267"/>
      <c r="AN199" s="267"/>
      <c r="AO199" s="267"/>
      <c r="AP199" s="267"/>
      <c r="AQ199" s="267"/>
      <c r="AR199" s="267"/>
      <c r="AS199" s="267"/>
      <c r="AT199" s="267"/>
      <c r="AU199" s="267"/>
      <c r="AV199" s="267"/>
      <c r="AW199" s="267"/>
      <c r="AX199" s="267"/>
      <c r="AY199" s="267"/>
      <c r="AZ199" s="267"/>
      <c r="BA199" s="267"/>
      <c r="BB199" s="267"/>
      <c r="BC199" s="267"/>
      <c r="BD199" s="267"/>
      <c r="BE199" s="267"/>
      <c r="BF199" s="267"/>
      <c r="BG199" s="267"/>
      <c r="BH199" s="267"/>
      <c r="BI199" s="267"/>
      <c r="BJ199" s="267"/>
      <c r="BK199" s="414"/>
      <c r="BL199" s="414"/>
      <c r="BM199" s="414"/>
      <c r="BN199" s="267"/>
      <c r="BO199" s="267"/>
      <c r="BP199" s="267"/>
      <c r="BQ199" s="267"/>
      <c r="BR199" s="267"/>
      <c r="BS199" s="267"/>
      <c r="BT199" s="267"/>
      <c r="BU199" s="267"/>
      <c r="BV199" s="267"/>
      <c r="BW199" s="267"/>
      <c r="BX199" s="267"/>
      <c r="BY199" s="267"/>
      <c r="BZ199" s="269"/>
      <c r="CA199" s="269"/>
      <c r="CB199" s="269"/>
    </row>
    <row r="200" spans="1:80" ht="69" customHeight="1" x14ac:dyDescent="0.2">
      <c r="A200" s="49"/>
      <c r="B200" s="49"/>
      <c r="C200" s="702">
        <v>37</v>
      </c>
      <c r="D200" s="708" t="s">
        <v>252</v>
      </c>
      <c r="E200" s="702">
        <v>54.61</v>
      </c>
      <c r="F200" s="702">
        <v>60</v>
      </c>
      <c r="G200" s="43"/>
      <c r="H200" s="57">
        <v>255</v>
      </c>
      <c r="I200" s="729" t="s">
        <v>266</v>
      </c>
      <c r="J200" s="44">
        <v>12</v>
      </c>
      <c r="K200" s="45">
        <v>12</v>
      </c>
      <c r="L200" s="45">
        <v>11</v>
      </c>
      <c r="M200" s="46">
        <v>2017003630015</v>
      </c>
      <c r="N200" s="44" t="s">
        <v>84</v>
      </c>
      <c r="O200" s="57" t="s">
        <v>267</v>
      </c>
      <c r="P200" s="729" t="s">
        <v>969</v>
      </c>
      <c r="Q200" s="169" t="s">
        <v>52</v>
      </c>
      <c r="R200" s="401">
        <v>0</v>
      </c>
      <c r="S200" s="401"/>
      <c r="T200" s="401"/>
      <c r="U200" s="401">
        <v>0</v>
      </c>
      <c r="V200" s="401"/>
      <c r="W200" s="401"/>
      <c r="X200" s="401">
        <v>0</v>
      </c>
      <c r="Y200" s="401"/>
      <c r="Z200" s="401"/>
      <c r="AA200" s="401">
        <v>0</v>
      </c>
      <c r="AB200" s="401"/>
      <c r="AC200" s="401"/>
      <c r="AD200" s="401">
        <v>0</v>
      </c>
      <c r="AE200" s="401"/>
      <c r="AF200" s="401"/>
      <c r="AG200" s="401">
        <v>0</v>
      </c>
      <c r="AH200" s="401"/>
      <c r="AI200" s="401"/>
      <c r="AJ200" s="401">
        <v>0</v>
      </c>
      <c r="AK200" s="401"/>
      <c r="AL200" s="401"/>
      <c r="AM200" s="401"/>
      <c r="AN200" s="401"/>
      <c r="AO200" s="401"/>
      <c r="AP200" s="401"/>
      <c r="AQ200" s="401"/>
      <c r="AR200" s="401"/>
      <c r="AS200" s="401">
        <v>0</v>
      </c>
      <c r="AT200" s="401"/>
      <c r="AU200" s="401"/>
      <c r="AV200" s="401">
        <v>0</v>
      </c>
      <c r="AW200" s="401"/>
      <c r="AX200" s="401"/>
      <c r="AY200" s="401"/>
      <c r="AZ200" s="401"/>
      <c r="BA200" s="401"/>
      <c r="BB200" s="401"/>
      <c r="BC200" s="401"/>
      <c r="BD200" s="401"/>
      <c r="BE200" s="401">
        <v>0</v>
      </c>
      <c r="BF200" s="401"/>
      <c r="BG200" s="401"/>
      <c r="BH200" s="401">
        <v>0</v>
      </c>
      <c r="BI200" s="403"/>
      <c r="BJ200" s="403"/>
      <c r="BK200" s="404">
        <f>100000000+70000000</f>
        <v>170000000</v>
      </c>
      <c r="BL200" s="404">
        <f>[3]METAS!$P$74+[3]METAS!$P$75</f>
        <v>85073330</v>
      </c>
      <c r="BM200" s="404">
        <f>[3]METAS!$Q$74+[3]METAS!$Q$75</f>
        <v>52330000</v>
      </c>
      <c r="BN200" s="404"/>
      <c r="BO200" s="404"/>
      <c r="BP200" s="404"/>
      <c r="BQ200" s="401">
        <v>0</v>
      </c>
      <c r="BR200" s="403"/>
      <c r="BS200" s="403"/>
      <c r="BT200" s="403"/>
      <c r="BU200" s="403"/>
      <c r="BV200" s="403"/>
      <c r="BW200" s="403">
        <v>0</v>
      </c>
      <c r="BX200" s="403"/>
      <c r="BY200" s="403"/>
      <c r="BZ200" s="401">
        <f>R200+U200+X200+AA200+AD200+AG200+AJ200+AM200+AP200+AS200+AV200+AY200+BB200+BE200+BH200+BK200+BN200+BQ200+BT200+BW200</f>
        <v>170000000</v>
      </c>
      <c r="CA200" s="401">
        <f t="shared" ref="CA200:CB200" si="73">S200+V200+Y200+AB200+AE200+AH200+AK200+AN200+AQ200+AT200+AW200+AZ200+BC200+BF200+BI200+BL200+BO200+BR200+BU200+BX200</f>
        <v>85073330</v>
      </c>
      <c r="CB200" s="401">
        <f t="shared" si="73"/>
        <v>52330000</v>
      </c>
    </row>
    <row r="201" spans="1:80" s="2" customFormat="1" ht="30" customHeight="1" x14ac:dyDescent="0.25">
      <c r="A201" s="49"/>
      <c r="B201" s="49"/>
      <c r="C201" s="702"/>
      <c r="D201" s="708"/>
      <c r="E201" s="702"/>
      <c r="F201" s="702"/>
      <c r="G201" s="93"/>
      <c r="H201" s="94"/>
      <c r="I201" s="93"/>
      <c r="J201" s="344"/>
      <c r="K201" s="344"/>
      <c r="L201" s="344"/>
      <c r="M201" s="344"/>
      <c r="N201" s="344"/>
      <c r="O201" s="94"/>
      <c r="P201" s="93"/>
      <c r="Q201" s="94"/>
      <c r="R201" s="450">
        <f t="shared" ref="R201:CB201" si="74">SUM(R200:R200)</f>
        <v>0</v>
      </c>
      <c r="S201" s="450">
        <f t="shared" si="74"/>
        <v>0</v>
      </c>
      <c r="T201" s="450">
        <f t="shared" si="74"/>
        <v>0</v>
      </c>
      <c r="U201" s="450">
        <f t="shared" si="74"/>
        <v>0</v>
      </c>
      <c r="V201" s="450">
        <f t="shared" si="74"/>
        <v>0</v>
      </c>
      <c r="W201" s="450">
        <f t="shared" si="74"/>
        <v>0</v>
      </c>
      <c r="X201" s="450">
        <f t="shared" si="74"/>
        <v>0</v>
      </c>
      <c r="Y201" s="450">
        <f t="shared" si="74"/>
        <v>0</v>
      </c>
      <c r="Z201" s="450">
        <f t="shared" si="74"/>
        <v>0</v>
      </c>
      <c r="AA201" s="450">
        <f t="shared" si="74"/>
        <v>0</v>
      </c>
      <c r="AB201" s="450">
        <f t="shared" si="74"/>
        <v>0</v>
      </c>
      <c r="AC201" s="450">
        <f t="shared" si="74"/>
        <v>0</v>
      </c>
      <c r="AD201" s="450">
        <f t="shared" si="74"/>
        <v>0</v>
      </c>
      <c r="AE201" s="450">
        <f t="shared" si="74"/>
        <v>0</v>
      </c>
      <c r="AF201" s="450">
        <f t="shared" si="74"/>
        <v>0</v>
      </c>
      <c r="AG201" s="450">
        <f t="shared" si="74"/>
        <v>0</v>
      </c>
      <c r="AH201" s="450">
        <f t="shared" si="74"/>
        <v>0</v>
      </c>
      <c r="AI201" s="450">
        <f t="shared" si="74"/>
        <v>0</v>
      </c>
      <c r="AJ201" s="450">
        <f t="shared" si="74"/>
        <v>0</v>
      </c>
      <c r="AK201" s="450">
        <f t="shared" si="74"/>
        <v>0</v>
      </c>
      <c r="AL201" s="450">
        <f t="shared" si="74"/>
        <v>0</v>
      </c>
      <c r="AM201" s="450">
        <f t="shared" si="74"/>
        <v>0</v>
      </c>
      <c r="AN201" s="450">
        <f t="shared" si="74"/>
        <v>0</v>
      </c>
      <c r="AO201" s="450">
        <f t="shared" si="74"/>
        <v>0</v>
      </c>
      <c r="AP201" s="450">
        <f t="shared" si="74"/>
        <v>0</v>
      </c>
      <c r="AQ201" s="450">
        <f t="shared" si="74"/>
        <v>0</v>
      </c>
      <c r="AR201" s="450">
        <f t="shared" si="74"/>
        <v>0</v>
      </c>
      <c r="AS201" s="450">
        <f t="shared" si="74"/>
        <v>0</v>
      </c>
      <c r="AT201" s="450">
        <f t="shared" si="74"/>
        <v>0</v>
      </c>
      <c r="AU201" s="450">
        <f t="shared" si="74"/>
        <v>0</v>
      </c>
      <c r="AV201" s="450">
        <f t="shared" si="74"/>
        <v>0</v>
      </c>
      <c r="AW201" s="450">
        <f t="shared" si="74"/>
        <v>0</v>
      </c>
      <c r="AX201" s="450">
        <f t="shared" si="74"/>
        <v>0</v>
      </c>
      <c r="AY201" s="450">
        <f t="shared" si="74"/>
        <v>0</v>
      </c>
      <c r="AZ201" s="450">
        <f t="shared" si="74"/>
        <v>0</v>
      </c>
      <c r="BA201" s="450">
        <f t="shared" si="74"/>
        <v>0</v>
      </c>
      <c r="BB201" s="450">
        <f t="shared" si="74"/>
        <v>0</v>
      </c>
      <c r="BC201" s="450">
        <f t="shared" si="74"/>
        <v>0</v>
      </c>
      <c r="BD201" s="450">
        <f t="shared" si="74"/>
        <v>0</v>
      </c>
      <c r="BE201" s="450">
        <f t="shared" si="74"/>
        <v>0</v>
      </c>
      <c r="BF201" s="450">
        <f t="shared" si="74"/>
        <v>0</v>
      </c>
      <c r="BG201" s="450">
        <f t="shared" si="74"/>
        <v>0</v>
      </c>
      <c r="BH201" s="450">
        <f t="shared" si="74"/>
        <v>0</v>
      </c>
      <c r="BI201" s="450">
        <f t="shared" si="74"/>
        <v>0</v>
      </c>
      <c r="BJ201" s="450">
        <f t="shared" si="74"/>
        <v>0</v>
      </c>
      <c r="BK201" s="450">
        <f t="shared" si="74"/>
        <v>170000000</v>
      </c>
      <c r="BL201" s="450">
        <f t="shared" si="74"/>
        <v>85073330</v>
      </c>
      <c r="BM201" s="450">
        <f t="shared" si="74"/>
        <v>52330000</v>
      </c>
      <c r="BN201" s="450">
        <f t="shared" si="74"/>
        <v>0</v>
      </c>
      <c r="BO201" s="450">
        <f t="shared" si="74"/>
        <v>0</v>
      </c>
      <c r="BP201" s="450">
        <f t="shared" si="74"/>
        <v>0</v>
      </c>
      <c r="BQ201" s="450">
        <f t="shared" si="74"/>
        <v>0</v>
      </c>
      <c r="BR201" s="450">
        <f t="shared" si="74"/>
        <v>0</v>
      </c>
      <c r="BS201" s="450">
        <f t="shared" si="74"/>
        <v>0</v>
      </c>
      <c r="BT201" s="450">
        <f t="shared" si="74"/>
        <v>0</v>
      </c>
      <c r="BU201" s="450">
        <f t="shared" si="74"/>
        <v>0</v>
      </c>
      <c r="BV201" s="450">
        <f t="shared" si="74"/>
        <v>0</v>
      </c>
      <c r="BW201" s="450">
        <f t="shared" si="74"/>
        <v>0</v>
      </c>
      <c r="BX201" s="450">
        <f t="shared" si="74"/>
        <v>0</v>
      </c>
      <c r="BY201" s="450">
        <f t="shared" si="74"/>
        <v>0</v>
      </c>
      <c r="BZ201" s="450">
        <f t="shared" si="74"/>
        <v>170000000</v>
      </c>
      <c r="CA201" s="450">
        <f t="shared" si="74"/>
        <v>85073330</v>
      </c>
      <c r="CB201" s="450">
        <f t="shared" si="74"/>
        <v>52330000</v>
      </c>
    </row>
    <row r="202" spans="1:80" s="6" customFormat="1" ht="30" customHeight="1" x14ac:dyDescent="0.25">
      <c r="A202" s="603"/>
      <c r="B202" s="754"/>
      <c r="C202" s="755"/>
      <c r="D202" s="754"/>
      <c r="E202" s="755"/>
      <c r="F202" s="755"/>
      <c r="G202" s="754"/>
      <c r="H202" s="63"/>
      <c r="I202" s="62"/>
      <c r="J202" s="64"/>
      <c r="K202" s="64"/>
      <c r="L202" s="64"/>
      <c r="M202" s="64"/>
      <c r="N202" s="64"/>
      <c r="O202" s="63"/>
      <c r="P202" s="62"/>
      <c r="Q202" s="63"/>
      <c r="R202" s="416">
        <f t="shared" ref="R202:CB202" si="75">R201+R197</f>
        <v>0</v>
      </c>
      <c r="S202" s="416">
        <f t="shared" si="75"/>
        <v>0</v>
      </c>
      <c r="T202" s="416">
        <f t="shared" si="75"/>
        <v>0</v>
      </c>
      <c r="U202" s="416">
        <f t="shared" si="75"/>
        <v>0</v>
      </c>
      <c r="V202" s="416">
        <f t="shared" si="75"/>
        <v>0</v>
      </c>
      <c r="W202" s="416">
        <f t="shared" si="75"/>
        <v>0</v>
      </c>
      <c r="X202" s="416">
        <f t="shared" si="75"/>
        <v>0</v>
      </c>
      <c r="Y202" s="416">
        <f t="shared" si="75"/>
        <v>0</v>
      </c>
      <c r="Z202" s="416">
        <f t="shared" si="75"/>
        <v>0</v>
      </c>
      <c r="AA202" s="416">
        <f t="shared" si="75"/>
        <v>0</v>
      </c>
      <c r="AB202" s="416">
        <f t="shared" si="75"/>
        <v>0</v>
      </c>
      <c r="AC202" s="416">
        <f t="shared" si="75"/>
        <v>0</v>
      </c>
      <c r="AD202" s="416">
        <f t="shared" si="75"/>
        <v>0</v>
      </c>
      <c r="AE202" s="416">
        <f t="shared" si="75"/>
        <v>0</v>
      </c>
      <c r="AF202" s="416">
        <f t="shared" si="75"/>
        <v>0</v>
      </c>
      <c r="AG202" s="416">
        <f t="shared" si="75"/>
        <v>0</v>
      </c>
      <c r="AH202" s="416">
        <f t="shared" si="75"/>
        <v>0</v>
      </c>
      <c r="AI202" s="416">
        <f t="shared" si="75"/>
        <v>0</v>
      </c>
      <c r="AJ202" s="416">
        <f t="shared" si="75"/>
        <v>0</v>
      </c>
      <c r="AK202" s="416">
        <f t="shared" si="75"/>
        <v>0</v>
      </c>
      <c r="AL202" s="416">
        <f t="shared" si="75"/>
        <v>0</v>
      </c>
      <c r="AM202" s="416">
        <f t="shared" si="75"/>
        <v>0</v>
      </c>
      <c r="AN202" s="416">
        <f t="shared" si="75"/>
        <v>0</v>
      </c>
      <c r="AO202" s="416">
        <f t="shared" si="75"/>
        <v>0</v>
      </c>
      <c r="AP202" s="416">
        <f t="shared" si="75"/>
        <v>0</v>
      </c>
      <c r="AQ202" s="416">
        <f t="shared" si="75"/>
        <v>0</v>
      </c>
      <c r="AR202" s="416">
        <f t="shared" si="75"/>
        <v>0</v>
      </c>
      <c r="AS202" s="416">
        <f t="shared" si="75"/>
        <v>0</v>
      </c>
      <c r="AT202" s="416">
        <f t="shared" si="75"/>
        <v>0</v>
      </c>
      <c r="AU202" s="416">
        <f t="shared" si="75"/>
        <v>0</v>
      </c>
      <c r="AV202" s="416">
        <f t="shared" si="75"/>
        <v>0</v>
      </c>
      <c r="AW202" s="416">
        <f t="shared" si="75"/>
        <v>0</v>
      </c>
      <c r="AX202" s="416">
        <f t="shared" si="75"/>
        <v>0</v>
      </c>
      <c r="AY202" s="416">
        <f t="shared" si="75"/>
        <v>0</v>
      </c>
      <c r="AZ202" s="416">
        <f t="shared" si="75"/>
        <v>0</v>
      </c>
      <c r="BA202" s="416">
        <f t="shared" si="75"/>
        <v>0</v>
      </c>
      <c r="BB202" s="416">
        <f t="shared" si="75"/>
        <v>0</v>
      </c>
      <c r="BC202" s="416">
        <f t="shared" si="75"/>
        <v>0</v>
      </c>
      <c r="BD202" s="416">
        <f t="shared" si="75"/>
        <v>0</v>
      </c>
      <c r="BE202" s="416">
        <f t="shared" si="75"/>
        <v>0</v>
      </c>
      <c r="BF202" s="416">
        <f t="shared" si="75"/>
        <v>0</v>
      </c>
      <c r="BG202" s="416">
        <f t="shared" si="75"/>
        <v>0</v>
      </c>
      <c r="BH202" s="416">
        <f t="shared" si="75"/>
        <v>0</v>
      </c>
      <c r="BI202" s="416">
        <f t="shared" si="75"/>
        <v>0</v>
      </c>
      <c r="BJ202" s="416">
        <f t="shared" si="75"/>
        <v>0</v>
      </c>
      <c r="BK202" s="416">
        <f t="shared" si="75"/>
        <v>633000000</v>
      </c>
      <c r="BL202" s="416">
        <f t="shared" si="75"/>
        <v>318176838</v>
      </c>
      <c r="BM202" s="416">
        <f t="shared" si="75"/>
        <v>221621824</v>
      </c>
      <c r="BN202" s="416">
        <f t="shared" si="75"/>
        <v>0</v>
      </c>
      <c r="BO202" s="416">
        <f t="shared" si="75"/>
        <v>0</v>
      </c>
      <c r="BP202" s="416">
        <f t="shared" si="75"/>
        <v>0</v>
      </c>
      <c r="BQ202" s="416">
        <f t="shared" si="75"/>
        <v>0</v>
      </c>
      <c r="BR202" s="416">
        <f t="shared" si="75"/>
        <v>0</v>
      </c>
      <c r="BS202" s="416">
        <f t="shared" si="75"/>
        <v>0</v>
      </c>
      <c r="BT202" s="416">
        <f t="shared" si="75"/>
        <v>0</v>
      </c>
      <c r="BU202" s="416">
        <f t="shared" si="75"/>
        <v>0</v>
      </c>
      <c r="BV202" s="416">
        <f t="shared" si="75"/>
        <v>0</v>
      </c>
      <c r="BW202" s="416">
        <f t="shared" si="75"/>
        <v>0</v>
      </c>
      <c r="BX202" s="416">
        <f t="shared" si="75"/>
        <v>0</v>
      </c>
      <c r="BY202" s="416">
        <f t="shared" si="75"/>
        <v>0</v>
      </c>
      <c r="BZ202" s="416">
        <f t="shared" si="75"/>
        <v>633000000</v>
      </c>
      <c r="CA202" s="416">
        <f t="shared" si="75"/>
        <v>318176838</v>
      </c>
      <c r="CB202" s="416">
        <f t="shared" si="75"/>
        <v>221621824</v>
      </c>
    </row>
    <row r="203" spans="1:80" ht="30" customHeight="1" x14ac:dyDescent="0.2">
      <c r="A203" s="596"/>
      <c r="B203" s="596"/>
      <c r="C203" s="597"/>
      <c r="D203" s="596"/>
      <c r="E203" s="597"/>
      <c r="F203" s="597"/>
      <c r="G203" s="596"/>
      <c r="H203" s="597"/>
      <c r="I203" s="596"/>
      <c r="J203" s="598"/>
      <c r="K203" s="598"/>
      <c r="L203" s="598"/>
      <c r="M203" s="598"/>
      <c r="N203" s="598"/>
      <c r="O203" s="597"/>
      <c r="P203" s="596"/>
      <c r="Q203" s="597"/>
      <c r="R203" s="599">
        <f t="shared" ref="R203:BY203" si="76">R202+R188</f>
        <v>0</v>
      </c>
      <c r="S203" s="599">
        <f t="shared" si="76"/>
        <v>0</v>
      </c>
      <c r="T203" s="599">
        <f t="shared" si="76"/>
        <v>0</v>
      </c>
      <c r="U203" s="599">
        <f t="shared" si="76"/>
        <v>0</v>
      </c>
      <c r="V203" s="599">
        <f t="shared" si="76"/>
        <v>0</v>
      </c>
      <c r="W203" s="599">
        <f t="shared" si="76"/>
        <v>0</v>
      </c>
      <c r="X203" s="599">
        <f t="shared" si="76"/>
        <v>0</v>
      </c>
      <c r="Y203" s="599">
        <f t="shared" si="76"/>
        <v>0</v>
      </c>
      <c r="Z203" s="599">
        <f t="shared" si="76"/>
        <v>0</v>
      </c>
      <c r="AA203" s="599">
        <f t="shared" si="76"/>
        <v>0</v>
      </c>
      <c r="AB203" s="599">
        <f t="shared" si="76"/>
        <v>0</v>
      </c>
      <c r="AC203" s="599">
        <f t="shared" si="76"/>
        <v>0</v>
      </c>
      <c r="AD203" s="599">
        <f t="shared" si="76"/>
        <v>0</v>
      </c>
      <c r="AE203" s="599">
        <f t="shared" si="76"/>
        <v>0</v>
      </c>
      <c r="AF203" s="599">
        <f t="shared" si="76"/>
        <v>0</v>
      </c>
      <c r="AG203" s="599">
        <f t="shared" si="76"/>
        <v>0</v>
      </c>
      <c r="AH203" s="599">
        <f t="shared" si="76"/>
        <v>0</v>
      </c>
      <c r="AI203" s="599">
        <f t="shared" si="76"/>
        <v>0</v>
      </c>
      <c r="AJ203" s="599">
        <f t="shared" si="76"/>
        <v>0</v>
      </c>
      <c r="AK203" s="599">
        <f t="shared" si="76"/>
        <v>0</v>
      </c>
      <c r="AL203" s="599">
        <f t="shared" si="76"/>
        <v>0</v>
      </c>
      <c r="AM203" s="599">
        <f t="shared" si="76"/>
        <v>0</v>
      </c>
      <c r="AN203" s="599">
        <f t="shared" si="76"/>
        <v>0</v>
      </c>
      <c r="AO203" s="599">
        <f t="shared" si="76"/>
        <v>0</v>
      </c>
      <c r="AP203" s="599">
        <f t="shared" si="76"/>
        <v>0</v>
      </c>
      <c r="AQ203" s="599">
        <f t="shared" si="76"/>
        <v>0</v>
      </c>
      <c r="AR203" s="599">
        <f t="shared" si="76"/>
        <v>0</v>
      </c>
      <c r="AS203" s="599">
        <f t="shared" si="76"/>
        <v>0</v>
      </c>
      <c r="AT203" s="599">
        <f t="shared" si="76"/>
        <v>0</v>
      </c>
      <c r="AU203" s="599">
        <f t="shared" si="76"/>
        <v>0</v>
      </c>
      <c r="AV203" s="599">
        <f t="shared" si="76"/>
        <v>0</v>
      </c>
      <c r="AW203" s="599">
        <f t="shared" si="76"/>
        <v>0</v>
      </c>
      <c r="AX203" s="599">
        <f t="shared" si="76"/>
        <v>0</v>
      </c>
      <c r="AY203" s="599">
        <f t="shared" si="76"/>
        <v>0</v>
      </c>
      <c r="AZ203" s="599">
        <f t="shared" si="76"/>
        <v>0</v>
      </c>
      <c r="BA203" s="599">
        <f t="shared" si="76"/>
        <v>0</v>
      </c>
      <c r="BB203" s="599">
        <f t="shared" si="76"/>
        <v>0</v>
      </c>
      <c r="BC203" s="599">
        <f t="shared" si="76"/>
        <v>0</v>
      </c>
      <c r="BD203" s="599">
        <f t="shared" si="76"/>
        <v>0</v>
      </c>
      <c r="BE203" s="599">
        <f t="shared" si="76"/>
        <v>0</v>
      </c>
      <c r="BF203" s="599">
        <f t="shared" si="76"/>
        <v>0</v>
      </c>
      <c r="BG203" s="599">
        <f t="shared" si="76"/>
        <v>0</v>
      </c>
      <c r="BH203" s="599">
        <f t="shared" si="76"/>
        <v>0</v>
      </c>
      <c r="BI203" s="599">
        <f t="shared" si="76"/>
        <v>0</v>
      </c>
      <c r="BJ203" s="599">
        <f t="shared" si="76"/>
        <v>0</v>
      </c>
      <c r="BK203" s="599">
        <f t="shared" si="76"/>
        <v>683000000</v>
      </c>
      <c r="BL203" s="599">
        <f t="shared" si="76"/>
        <v>364176838</v>
      </c>
      <c r="BM203" s="599">
        <f t="shared" si="76"/>
        <v>261621824</v>
      </c>
      <c r="BN203" s="599">
        <f t="shared" si="76"/>
        <v>0</v>
      </c>
      <c r="BO203" s="599">
        <f t="shared" si="76"/>
        <v>0</v>
      </c>
      <c r="BP203" s="599">
        <f t="shared" si="76"/>
        <v>0</v>
      </c>
      <c r="BQ203" s="599">
        <f t="shared" si="76"/>
        <v>0</v>
      </c>
      <c r="BR203" s="599">
        <f t="shared" si="76"/>
        <v>0</v>
      </c>
      <c r="BS203" s="599">
        <f t="shared" si="76"/>
        <v>0</v>
      </c>
      <c r="BT203" s="599">
        <f t="shared" si="76"/>
        <v>0</v>
      </c>
      <c r="BU203" s="599">
        <f t="shared" si="76"/>
        <v>0</v>
      </c>
      <c r="BV203" s="599">
        <f t="shared" si="76"/>
        <v>0</v>
      </c>
      <c r="BW203" s="599">
        <f t="shared" si="76"/>
        <v>0</v>
      </c>
      <c r="BX203" s="599">
        <f t="shared" si="76"/>
        <v>0</v>
      </c>
      <c r="BY203" s="599">
        <f t="shared" si="76"/>
        <v>0</v>
      </c>
      <c r="BZ203" s="599">
        <f>BZ202+BZ188</f>
        <v>683000000</v>
      </c>
      <c r="CA203" s="599">
        <f t="shared" ref="CA203:CB203" si="77">CA202+CA188</f>
        <v>364176838</v>
      </c>
      <c r="CB203" s="599">
        <f t="shared" si="77"/>
        <v>261621824</v>
      </c>
    </row>
    <row r="204" spans="1:80" ht="30" customHeight="1" x14ac:dyDescent="0.2">
      <c r="A204" s="68"/>
      <c r="B204" s="68"/>
      <c r="C204" s="69"/>
      <c r="D204" s="68"/>
      <c r="E204" s="69"/>
      <c r="F204" s="69"/>
      <c r="G204" s="68"/>
      <c r="H204" s="69"/>
      <c r="I204" s="68"/>
      <c r="J204" s="70"/>
      <c r="K204" s="70"/>
      <c r="L204" s="70"/>
      <c r="M204" s="70"/>
      <c r="N204" s="70"/>
      <c r="O204" s="69"/>
      <c r="P204" s="68"/>
      <c r="Q204" s="69"/>
      <c r="R204" s="423">
        <f t="shared" ref="R204:BY204" si="78">R203+R181</f>
        <v>0</v>
      </c>
      <c r="S204" s="423">
        <f t="shared" si="78"/>
        <v>0</v>
      </c>
      <c r="T204" s="423">
        <f t="shared" si="78"/>
        <v>0</v>
      </c>
      <c r="U204" s="423">
        <f t="shared" si="78"/>
        <v>0</v>
      </c>
      <c r="V204" s="423">
        <f t="shared" si="78"/>
        <v>0</v>
      </c>
      <c r="W204" s="423">
        <f t="shared" si="78"/>
        <v>0</v>
      </c>
      <c r="X204" s="423">
        <f t="shared" si="78"/>
        <v>0</v>
      </c>
      <c r="Y204" s="423">
        <f t="shared" si="78"/>
        <v>0</v>
      </c>
      <c r="Z204" s="423">
        <f t="shared" si="78"/>
        <v>0</v>
      </c>
      <c r="AA204" s="423">
        <f t="shared" si="78"/>
        <v>7014956012.3800001</v>
      </c>
      <c r="AB204" s="423">
        <f t="shared" si="78"/>
        <v>1459102717</v>
      </c>
      <c r="AC204" s="423">
        <f t="shared" si="78"/>
        <v>1021140213</v>
      </c>
      <c r="AD204" s="423">
        <f t="shared" si="78"/>
        <v>0</v>
      </c>
      <c r="AE204" s="423">
        <f t="shared" si="78"/>
        <v>0</v>
      </c>
      <c r="AF204" s="423">
        <f t="shared" si="78"/>
        <v>0</v>
      </c>
      <c r="AG204" s="423">
        <f t="shared" si="78"/>
        <v>0</v>
      </c>
      <c r="AH204" s="423">
        <f t="shared" si="78"/>
        <v>0</v>
      </c>
      <c r="AI204" s="423">
        <f t="shared" si="78"/>
        <v>0</v>
      </c>
      <c r="AJ204" s="423">
        <f t="shared" si="78"/>
        <v>0</v>
      </c>
      <c r="AK204" s="423">
        <f t="shared" si="78"/>
        <v>0</v>
      </c>
      <c r="AL204" s="423">
        <f t="shared" si="78"/>
        <v>0</v>
      </c>
      <c r="AM204" s="423">
        <f t="shared" si="78"/>
        <v>0</v>
      </c>
      <c r="AN204" s="423">
        <f t="shared" si="78"/>
        <v>0</v>
      </c>
      <c r="AO204" s="423">
        <f t="shared" si="78"/>
        <v>0</v>
      </c>
      <c r="AP204" s="423">
        <f t="shared" si="78"/>
        <v>0</v>
      </c>
      <c r="AQ204" s="423">
        <f t="shared" si="78"/>
        <v>0</v>
      </c>
      <c r="AR204" s="423">
        <f t="shared" si="78"/>
        <v>0</v>
      </c>
      <c r="AS204" s="423">
        <f t="shared" si="78"/>
        <v>0</v>
      </c>
      <c r="AT204" s="423">
        <f t="shared" si="78"/>
        <v>0</v>
      </c>
      <c r="AU204" s="423">
        <f t="shared" si="78"/>
        <v>0</v>
      </c>
      <c r="AV204" s="423">
        <f t="shared" si="78"/>
        <v>0</v>
      </c>
      <c r="AW204" s="423">
        <f t="shared" si="78"/>
        <v>0</v>
      </c>
      <c r="AX204" s="423">
        <f t="shared" si="78"/>
        <v>0</v>
      </c>
      <c r="AY204" s="423">
        <f t="shared" si="78"/>
        <v>0</v>
      </c>
      <c r="AZ204" s="423">
        <f t="shared" si="78"/>
        <v>0</v>
      </c>
      <c r="BA204" s="423">
        <f t="shared" si="78"/>
        <v>0</v>
      </c>
      <c r="BB204" s="423">
        <f t="shared" si="78"/>
        <v>0</v>
      </c>
      <c r="BC204" s="423">
        <f t="shared" si="78"/>
        <v>0</v>
      </c>
      <c r="BD204" s="423">
        <f t="shared" si="78"/>
        <v>0</v>
      </c>
      <c r="BE204" s="423">
        <f t="shared" si="78"/>
        <v>0</v>
      </c>
      <c r="BF204" s="423">
        <f t="shared" si="78"/>
        <v>0</v>
      </c>
      <c r="BG204" s="423">
        <f t="shared" si="78"/>
        <v>0</v>
      </c>
      <c r="BH204" s="423">
        <f t="shared" si="78"/>
        <v>0</v>
      </c>
      <c r="BI204" s="423">
        <f t="shared" si="78"/>
        <v>0</v>
      </c>
      <c r="BJ204" s="423">
        <f t="shared" si="78"/>
        <v>0</v>
      </c>
      <c r="BK204" s="423">
        <f t="shared" si="78"/>
        <v>2319560942</v>
      </c>
      <c r="BL204" s="423">
        <f t="shared" si="78"/>
        <v>1183738567</v>
      </c>
      <c r="BM204" s="423">
        <f t="shared" si="78"/>
        <v>794144594</v>
      </c>
      <c r="BN204" s="423">
        <f t="shared" si="78"/>
        <v>0</v>
      </c>
      <c r="BO204" s="423">
        <f t="shared" si="78"/>
        <v>0</v>
      </c>
      <c r="BP204" s="423">
        <f t="shared" si="78"/>
        <v>0</v>
      </c>
      <c r="BQ204" s="423">
        <f t="shared" si="78"/>
        <v>0</v>
      </c>
      <c r="BR204" s="423">
        <f t="shared" si="78"/>
        <v>0</v>
      </c>
      <c r="BS204" s="423">
        <f t="shared" si="78"/>
        <v>0</v>
      </c>
      <c r="BT204" s="423">
        <f t="shared" si="78"/>
        <v>0</v>
      </c>
      <c r="BU204" s="423">
        <f t="shared" si="78"/>
        <v>0</v>
      </c>
      <c r="BV204" s="423">
        <f t="shared" si="78"/>
        <v>0</v>
      </c>
      <c r="BW204" s="423">
        <f t="shared" si="78"/>
        <v>0</v>
      </c>
      <c r="BX204" s="423">
        <f t="shared" si="78"/>
        <v>0</v>
      </c>
      <c r="BY204" s="423">
        <f t="shared" si="78"/>
        <v>0</v>
      </c>
      <c r="BZ204" s="423">
        <f>BZ203+BZ181</f>
        <v>9334516954.3800011</v>
      </c>
      <c r="CA204" s="423">
        <f t="shared" ref="CA204:CB204" si="79">CA203+CA181</f>
        <v>2642841284</v>
      </c>
      <c r="CB204" s="423">
        <f t="shared" si="79"/>
        <v>1815284807</v>
      </c>
    </row>
    <row r="205" spans="1:80" ht="30" customHeight="1" x14ac:dyDescent="0.2">
      <c r="A205" s="118"/>
      <c r="B205" s="101"/>
      <c r="C205" s="400"/>
      <c r="D205" s="101"/>
      <c r="E205" s="400"/>
      <c r="F205" s="400"/>
      <c r="G205" s="101"/>
      <c r="H205" s="400"/>
      <c r="I205" s="101"/>
      <c r="J205" s="119"/>
      <c r="K205" s="119"/>
      <c r="L205" s="119"/>
      <c r="M205" s="119"/>
      <c r="N205" s="119"/>
      <c r="O205" s="400"/>
      <c r="P205" s="101"/>
      <c r="Q205" s="400"/>
      <c r="R205" s="620"/>
      <c r="S205" s="620"/>
      <c r="T205" s="620"/>
      <c r="U205" s="621"/>
      <c r="V205" s="621"/>
      <c r="W205" s="621"/>
      <c r="X205" s="620"/>
      <c r="Y205" s="620"/>
      <c r="Z205" s="620"/>
      <c r="AA205" s="620"/>
      <c r="AB205" s="620"/>
      <c r="AC205" s="620"/>
      <c r="AD205" s="620"/>
      <c r="AE205" s="620"/>
      <c r="AF205" s="620"/>
      <c r="AG205" s="620"/>
      <c r="AH205" s="620"/>
      <c r="AI205" s="620"/>
      <c r="AJ205" s="620"/>
      <c r="AK205" s="620"/>
      <c r="AL205" s="620"/>
      <c r="AM205" s="620"/>
      <c r="AN205" s="620"/>
      <c r="AO205" s="620"/>
      <c r="AP205" s="620"/>
      <c r="AQ205" s="620"/>
      <c r="AR205" s="620"/>
      <c r="AS205" s="620"/>
      <c r="AT205" s="620"/>
      <c r="AU205" s="620"/>
      <c r="AV205" s="620"/>
      <c r="AW205" s="620"/>
      <c r="AX205" s="620"/>
      <c r="AY205" s="621"/>
      <c r="AZ205" s="621"/>
      <c r="BA205" s="621"/>
      <c r="BB205" s="621"/>
      <c r="BC205" s="621"/>
      <c r="BD205" s="621"/>
      <c r="BE205" s="620"/>
      <c r="BF205" s="620"/>
      <c r="BG205" s="620"/>
      <c r="BH205" s="620"/>
      <c r="BI205" s="620"/>
      <c r="BJ205" s="620"/>
      <c r="BK205" s="402"/>
      <c r="BL205" s="622"/>
      <c r="BM205" s="622"/>
      <c r="BN205" s="623"/>
      <c r="BO205" s="623"/>
      <c r="BP205" s="623"/>
      <c r="BQ205" s="620"/>
      <c r="BR205" s="620"/>
      <c r="BS205" s="620"/>
      <c r="BT205" s="620"/>
      <c r="BU205" s="620"/>
      <c r="BV205" s="620"/>
      <c r="BW205" s="621"/>
      <c r="BX205" s="621"/>
      <c r="BY205" s="621"/>
      <c r="BZ205" s="620"/>
      <c r="CA205" s="620"/>
      <c r="CB205" s="797"/>
    </row>
    <row r="206" spans="1:80" ht="30" customHeight="1" x14ac:dyDescent="0.2">
      <c r="A206" s="120" t="s">
        <v>269</v>
      </c>
      <c r="B206" s="121"/>
      <c r="C206" s="122"/>
      <c r="D206" s="121"/>
      <c r="E206" s="121"/>
      <c r="F206" s="121"/>
      <c r="G206" s="121"/>
      <c r="H206" s="122"/>
      <c r="I206" s="121"/>
      <c r="J206" s="121"/>
      <c r="K206" s="121"/>
      <c r="L206" s="121"/>
      <c r="M206" s="121"/>
      <c r="N206" s="122"/>
      <c r="O206" s="122"/>
      <c r="P206" s="121"/>
      <c r="Q206" s="122"/>
      <c r="R206" s="616"/>
      <c r="S206" s="616"/>
      <c r="T206" s="616"/>
      <c r="U206" s="616"/>
      <c r="V206" s="616"/>
      <c r="W206" s="616"/>
      <c r="X206" s="616"/>
      <c r="Y206" s="616"/>
      <c r="Z206" s="616"/>
      <c r="AA206" s="616"/>
      <c r="AB206" s="616"/>
      <c r="AC206" s="616"/>
      <c r="AD206" s="616"/>
      <c r="AE206" s="616"/>
      <c r="AF206" s="616"/>
      <c r="AG206" s="616"/>
      <c r="AH206" s="616"/>
      <c r="AI206" s="616"/>
      <c r="AJ206" s="616"/>
      <c r="AK206" s="616"/>
      <c r="AL206" s="616"/>
      <c r="AM206" s="616"/>
      <c r="AN206" s="616"/>
      <c r="AO206" s="616"/>
      <c r="AP206" s="616"/>
      <c r="AQ206" s="616"/>
      <c r="AR206" s="616"/>
      <c r="AS206" s="616"/>
      <c r="AT206" s="616"/>
      <c r="AU206" s="616"/>
      <c r="AV206" s="616"/>
      <c r="AW206" s="616"/>
      <c r="AX206" s="616"/>
      <c r="AY206" s="616"/>
      <c r="AZ206" s="616"/>
      <c r="BA206" s="616"/>
      <c r="BB206" s="616"/>
      <c r="BC206" s="616"/>
      <c r="BD206" s="616"/>
      <c r="BE206" s="616"/>
      <c r="BF206" s="616"/>
      <c r="BG206" s="616"/>
      <c r="BH206" s="616"/>
      <c r="BI206" s="616"/>
      <c r="BJ206" s="616"/>
      <c r="BK206" s="624"/>
      <c r="BL206" s="617"/>
      <c r="BM206" s="617"/>
      <c r="BN206" s="618"/>
      <c r="BO206" s="618"/>
      <c r="BP206" s="618"/>
      <c r="BQ206" s="616"/>
      <c r="BR206" s="616"/>
      <c r="BS206" s="616"/>
      <c r="BT206" s="616"/>
      <c r="BU206" s="616"/>
      <c r="BV206" s="616"/>
      <c r="BW206" s="616"/>
      <c r="BX206" s="616"/>
      <c r="BY206" s="616"/>
      <c r="BZ206" s="619" t="s">
        <v>69</v>
      </c>
      <c r="CA206" s="619" t="s">
        <v>69</v>
      </c>
      <c r="CB206" s="619" t="s">
        <v>69</v>
      </c>
    </row>
    <row r="207" spans="1:80" ht="30" customHeight="1" x14ac:dyDescent="0.2">
      <c r="A207" s="787">
        <v>3</v>
      </c>
      <c r="B207" s="34" t="s">
        <v>270</v>
      </c>
      <c r="C207" s="35"/>
      <c r="D207" s="34"/>
      <c r="E207" s="34"/>
      <c r="F207" s="34"/>
      <c r="G207" s="34"/>
      <c r="H207" s="35"/>
      <c r="I207" s="34"/>
      <c r="J207" s="34"/>
      <c r="K207" s="34"/>
      <c r="L207" s="34"/>
      <c r="M207" s="34"/>
      <c r="N207" s="35"/>
      <c r="O207" s="35"/>
      <c r="P207" s="34"/>
      <c r="Q207" s="34"/>
      <c r="R207" s="432"/>
      <c r="S207" s="432"/>
      <c r="T207" s="432"/>
      <c r="U207" s="432"/>
      <c r="V207" s="432"/>
      <c r="W207" s="432"/>
      <c r="X207" s="432"/>
      <c r="Y207" s="432"/>
      <c r="Z207" s="432"/>
      <c r="AA207" s="432"/>
      <c r="AB207" s="432"/>
      <c r="AC207" s="432"/>
      <c r="AD207" s="432"/>
      <c r="AE207" s="432"/>
      <c r="AF207" s="432"/>
      <c r="AG207" s="432"/>
      <c r="AH207" s="432"/>
      <c r="AI207" s="432"/>
      <c r="AJ207" s="432"/>
      <c r="AK207" s="432"/>
      <c r="AL207" s="432"/>
      <c r="AM207" s="432"/>
      <c r="AN207" s="432"/>
      <c r="AO207" s="432"/>
      <c r="AP207" s="432"/>
      <c r="AQ207" s="432"/>
      <c r="AR207" s="432"/>
      <c r="AS207" s="432"/>
      <c r="AT207" s="432"/>
      <c r="AU207" s="432"/>
      <c r="AV207" s="432"/>
      <c r="AW207" s="432"/>
      <c r="AX207" s="432"/>
      <c r="AY207" s="432"/>
      <c r="AZ207" s="432"/>
      <c r="BA207" s="432"/>
      <c r="BB207" s="432"/>
      <c r="BC207" s="432"/>
      <c r="BD207" s="432"/>
      <c r="BE207" s="432"/>
      <c r="BF207" s="432"/>
      <c r="BG207" s="432"/>
      <c r="BH207" s="432"/>
      <c r="BI207" s="432"/>
      <c r="BJ207" s="432"/>
      <c r="BK207" s="433"/>
      <c r="BL207" s="433"/>
      <c r="BM207" s="433"/>
      <c r="BN207" s="432"/>
      <c r="BO207" s="432"/>
      <c r="BP207" s="432"/>
      <c r="BQ207" s="432"/>
      <c r="BR207" s="432"/>
      <c r="BS207" s="432"/>
      <c r="BT207" s="432"/>
      <c r="BU207" s="432"/>
      <c r="BV207" s="432"/>
      <c r="BW207" s="432"/>
      <c r="BX207" s="432"/>
      <c r="BY207" s="432"/>
      <c r="BZ207" s="434"/>
      <c r="CA207" s="434"/>
      <c r="CB207" s="434"/>
    </row>
    <row r="208" spans="1:80" ht="30" customHeight="1" x14ac:dyDescent="0.2">
      <c r="A208" s="76"/>
      <c r="B208" s="125">
        <v>9</v>
      </c>
      <c r="C208" s="38" t="s">
        <v>271</v>
      </c>
      <c r="D208" s="39"/>
      <c r="E208" s="39"/>
      <c r="F208" s="39"/>
      <c r="G208" s="39"/>
      <c r="H208" s="40"/>
      <c r="I208" s="39"/>
      <c r="J208" s="39"/>
      <c r="K208" s="39"/>
      <c r="L208" s="39"/>
      <c r="M208" s="39"/>
      <c r="N208" s="40"/>
      <c r="O208" s="40"/>
      <c r="P208" s="39"/>
      <c r="Q208" s="39"/>
      <c r="R208" s="412"/>
      <c r="S208" s="412"/>
      <c r="T208" s="412"/>
      <c r="U208" s="412"/>
      <c r="V208" s="412"/>
      <c r="W208" s="412"/>
      <c r="X208" s="412"/>
      <c r="Y208" s="412"/>
      <c r="Z208" s="412"/>
      <c r="AA208" s="412"/>
      <c r="AB208" s="412"/>
      <c r="AC208" s="412"/>
      <c r="AD208" s="412"/>
      <c r="AE208" s="412"/>
      <c r="AF208" s="412"/>
      <c r="AG208" s="412"/>
      <c r="AH208" s="412"/>
      <c r="AI208" s="412"/>
      <c r="AJ208" s="412"/>
      <c r="AK208" s="412"/>
      <c r="AL208" s="412"/>
      <c r="AM208" s="412"/>
      <c r="AN208" s="412"/>
      <c r="AO208" s="412"/>
      <c r="AP208" s="412"/>
      <c r="AQ208" s="412"/>
      <c r="AR208" s="412"/>
      <c r="AS208" s="412"/>
      <c r="AT208" s="412"/>
      <c r="AU208" s="412"/>
      <c r="AV208" s="412"/>
      <c r="AW208" s="412"/>
      <c r="AX208" s="412"/>
      <c r="AY208" s="412"/>
      <c r="AZ208" s="412"/>
      <c r="BA208" s="412"/>
      <c r="BB208" s="412"/>
      <c r="BC208" s="412"/>
      <c r="BD208" s="412"/>
      <c r="BE208" s="412"/>
      <c r="BF208" s="412"/>
      <c r="BG208" s="412"/>
      <c r="BH208" s="412"/>
      <c r="BI208" s="412"/>
      <c r="BJ208" s="412"/>
      <c r="BK208" s="413"/>
      <c r="BL208" s="413"/>
      <c r="BM208" s="413"/>
      <c r="BN208" s="412"/>
      <c r="BO208" s="412"/>
      <c r="BP208" s="412"/>
      <c r="BQ208" s="412"/>
      <c r="BR208" s="412"/>
      <c r="BS208" s="412"/>
      <c r="BT208" s="412"/>
      <c r="BU208" s="412"/>
      <c r="BV208" s="412"/>
      <c r="BW208" s="412"/>
      <c r="BX208" s="412"/>
      <c r="BY208" s="412"/>
      <c r="BZ208" s="417"/>
      <c r="CA208" s="417"/>
      <c r="CB208" s="417"/>
    </row>
    <row r="209" spans="1:80" ht="30" customHeight="1" x14ac:dyDescent="0.2">
      <c r="A209" s="42"/>
      <c r="B209" s="76"/>
      <c r="C209" s="27"/>
      <c r="D209" s="76"/>
      <c r="E209" s="76"/>
      <c r="F209" s="76"/>
      <c r="G209" s="78">
        <v>29</v>
      </c>
      <c r="H209" s="80" t="s">
        <v>272</v>
      </c>
      <c r="I209" s="80"/>
      <c r="J209" s="80"/>
      <c r="K209" s="80"/>
      <c r="L209" s="80"/>
      <c r="M209" s="80"/>
      <c r="N209" s="173"/>
      <c r="O209" s="173"/>
      <c r="P209" s="80"/>
      <c r="Q209" s="80"/>
      <c r="R209" s="267" t="s">
        <v>69</v>
      </c>
      <c r="S209" s="267"/>
      <c r="T209" s="267"/>
      <c r="U209" s="451"/>
      <c r="V209" s="451"/>
      <c r="W209" s="451"/>
      <c r="X209" s="267"/>
      <c r="Y209" s="267"/>
      <c r="Z209" s="267"/>
      <c r="AA209" s="267"/>
      <c r="AB209" s="267"/>
      <c r="AC209" s="267"/>
      <c r="AD209" s="267"/>
      <c r="AE209" s="267"/>
      <c r="AF209" s="267"/>
      <c r="AG209" s="267"/>
      <c r="AH209" s="267"/>
      <c r="AI209" s="267"/>
      <c r="AJ209" s="267"/>
      <c r="AK209" s="267"/>
      <c r="AL209" s="267"/>
      <c r="AM209" s="267"/>
      <c r="AN209" s="267"/>
      <c r="AO209" s="267"/>
      <c r="AP209" s="267"/>
      <c r="AQ209" s="267"/>
      <c r="AR209" s="267"/>
      <c r="AS209" s="267"/>
      <c r="AT209" s="267"/>
      <c r="AU209" s="267"/>
      <c r="AV209" s="267"/>
      <c r="AW209" s="267"/>
      <c r="AX209" s="267"/>
      <c r="AY209" s="267"/>
      <c r="AZ209" s="267"/>
      <c r="BA209" s="267"/>
      <c r="BB209" s="267"/>
      <c r="BC209" s="267"/>
      <c r="BD209" s="267"/>
      <c r="BE209" s="267"/>
      <c r="BF209" s="267"/>
      <c r="BG209" s="267"/>
      <c r="BH209" s="267"/>
      <c r="BI209" s="267"/>
      <c r="BJ209" s="267"/>
      <c r="BK209" s="414"/>
      <c r="BL209" s="414"/>
      <c r="BM209" s="414"/>
      <c r="BN209" s="267"/>
      <c r="BO209" s="267"/>
      <c r="BP209" s="267"/>
      <c r="BQ209" s="267"/>
      <c r="BR209" s="267"/>
      <c r="BS209" s="267"/>
      <c r="BT209" s="267"/>
      <c r="BU209" s="267"/>
      <c r="BV209" s="267"/>
      <c r="BW209" s="267"/>
      <c r="BX209" s="267"/>
      <c r="BY209" s="267"/>
      <c r="BZ209" s="269"/>
      <c r="CA209" s="269"/>
      <c r="CB209" s="269"/>
    </row>
    <row r="210" spans="1:80" ht="174.75" customHeight="1" x14ac:dyDescent="0.2">
      <c r="A210" s="42"/>
      <c r="B210" s="42"/>
      <c r="C210" s="714" t="s">
        <v>273</v>
      </c>
      <c r="D210" s="724" t="s">
        <v>274</v>
      </c>
      <c r="E210" s="399" t="s">
        <v>275</v>
      </c>
      <c r="F210" s="714" t="s">
        <v>276</v>
      </c>
      <c r="G210" s="49"/>
      <c r="H210" s="714">
        <v>114</v>
      </c>
      <c r="I210" s="709" t="s">
        <v>277</v>
      </c>
      <c r="J210" s="706" t="s">
        <v>43</v>
      </c>
      <c r="K210" s="190">
        <v>30</v>
      </c>
      <c r="L210" s="190">
        <v>0</v>
      </c>
      <c r="M210" s="46">
        <v>2017003630006</v>
      </c>
      <c r="N210" s="858" t="s">
        <v>278</v>
      </c>
      <c r="O210" s="57" t="s">
        <v>279</v>
      </c>
      <c r="P210" s="708" t="s">
        <v>970</v>
      </c>
      <c r="Q210" s="714" t="s">
        <v>52</v>
      </c>
      <c r="R210" s="415">
        <f>169700000+890857735</f>
        <v>1060557735</v>
      </c>
      <c r="S210" s="452"/>
      <c r="T210" s="452"/>
      <c r="U210" s="425"/>
      <c r="V210" s="425"/>
      <c r="W210" s="425"/>
      <c r="X210" s="425"/>
      <c r="Y210" s="425"/>
      <c r="Z210" s="425"/>
      <c r="AA210" s="425"/>
      <c r="AB210" s="425"/>
      <c r="AC210" s="425"/>
      <c r="AD210" s="425"/>
      <c r="AE210" s="425"/>
      <c r="AF210" s="425"/>
      <c r="AG210" s="425"/>
      <c r="AH210" s="425"/>
      <c r="AI210" s="425"/>
      <c r="AJ210" s="425"/>
      <c r="AK210" s="425"/>
      <c r="AL210" s="425"/>
      <c r="AM210" s="425"/>
      <c r="AN210" s="425"/>
      <c r="AO210" s="425"/>
      <c r="AP210" s="425"/>
      <c r="AQ210" s="425"/>
      <c r="AR210" s="425"/>
      <c r="AS210" s="425"/>
      <c r="AT210" s="425"/>
      <c r="AU210" s="425"/>
      <c r="AV210" s="425"/>
      <c r="AW210" s="425"/>
      <c r="AX210" s="425"/>
      <c r="AY210" s="425"/>
      <c r="AZ210" s="425"/>
      <c r="BA210" s="425"/>
      <c r="BB210" s="425"/>
      <c r="BC210" s="425"/>
      <c r="BD210" s="425"/>
      <c r="BE210" s="425"/>
      <c r="BF210" s="425"/>
      <c r="BG210" s="425"/>
      <c r="BH210" s="425"/>
      <c r="BI210" s="425"/>
      <c r="BJ210" s="425"/>
      <c r="BK210" s="453">
        <v>0</v>
      </c>
      <c r="BL210" s="453"/>
      <c r="BM210" s="453"/>
      <c r="BN210" s="452"/>
      <c r="BO210" s="452"/>
      <c r="BP210" s="452"/>
      <c r="BQ210" s="425"/>
      <c r="BR210" s="454"/>
      <c r="BS210" s="454"/>
      <c r="BT210" s="454"/>
      <c r="BU210" s="454"/>
      <c r="BV210" s="454"/>
      <c r="BW210" s="454"/>
      <c r="BX210" s="454"/>
      <c r="BY210" s="454"/>
      <c r="BZ210" s="401">
        <f t="shared" ref="BZ210:CB213" si="80">R210+U210+X210+AA210+AD210+AG210+AJ210+AM210+AP210+AS210+AV210+AY210+BB210+BE210+BH210+BK210+BN210+BQ210+BT210+BW210</f>
        <v>1060557735</v>
      </c>
      <c r="CA210" s="401">
        <f t="shared" si="80"/>
        <v>0</v>
      </c>
      <c r="CB210" s="401">
        <f t="shared" si="80"/>
        <v>0</v>
      </c>
    </row>
    <row r="211" spans="1:80" ht="78.75" customHeight="1" x14ac:dyDescent="0.2">
      <c r="A211" s="42"/>
      <c r="B211" s="42"/>
      <c r="C211" s="895" t="s">
        <v>273</v>
      </c>
      <c r="D211" s="935" t="s">
        <v>281</v>
      </c>
      <c r="E211" s="936" t="s">
        <v>282</v>
      </c>
      <c r="F211" s="895" t="s">
        <v>283</v>
      </c>
      <c r="G211" s="49"/>
      <c r="H211" s="714">
        <v>114</v>
      </c>
      <c r="I211" s="709" t="s">
        <v>277</v>
      </c>
      <c r="J211" s="706" t="s">
        <v>43</v>
      </c>
      <c r="K211" s="726">
        <v>30</v>
      </c>
      <c r="L211" s="190">
        <v>24</v>
      </c>
      <c r="M211" s="884">
        <v>2017003630007</v>
      </c>
      <c r="N211" s="895" t="s">
        <v>278</v>
      </c>
      <c r="O211" s="883" t="s">
        <v>284</v>
      </c>
      <c r="P211" s="890" t="s">
        <v>285</v>
      </c>
      <c r="Q211" s="714" t="s">
        <v>52</v>
      </c>
      <c r="R211" s="455">
        <v>0</v>
      </c>
      <c r="S211" s="456"/>
      <c r="T211" s="456"/>
      <c r="U211" s="426">
        <v>0</v>
      </c>
      <c r="V211" s="426"/>
      <c r="W211" s="426"/>
      <c r="X211" s="426">
        <v>0</v>
      </c>
      <c r="Y211" s="426"/>
      <c r="Z211" s="426"/>
      <c r="AA211" s="426">
        <v>0</v>
      </c>
      <c r="AB211" s="426"/>
      <c r="AC211" s="426"/>
      <c r="AD211" s="426">
        <v>0</v>
      </c>
      <c r="AE211" s="426"/>
      <c r="AF211" s="426"/>
      <c r="AG211" s="426">
        <v>0</v>
      </c>
      <c r="AH211" s="426"/>
      <c r="AI211" s="426"/>
      <c r="AJ211" s="426">
        <v>0</v>
      </c>
      <c r="AK211" s="426"/>
      <c r="AL211" s="426"/>
      <c r="AM211" s="426"/>
      <c r="AN211" s="426"/>
      <c r="AO211" s="426"/>
      <c r="AP211" s="426"/>
      <c r="AQ211" s="426"/>
      <c r="AR211" s="426"/>
      <c r="AS211" s="426">
        <v>0</v>
      </c>
      <c r="AT211" s="426"/>
      <c r="AU211" s="426"/>
      <c r="AV211" s="426">
        <v>0</v>
      </c>
      <c r="AW211" s="426"/>
      <c r="AX211" s="426"/>
      <c r="AY211" s="426"/>
      <c r="AZ211" s="426"/>
      <c r="BA211" s="426"/>
      <c r="BB211" s="426"/>
      <c r="BC211" s="426"/>
      <c r="BD211" s="426"/>
      <c r="BE211" s="426">
        <v>0</v>
      </c>
      <c r="BF211" s="426"/>
      <c r="BG211" s="426"/>
      <c r="BH211" s="426">
        <v>0</v>
      </c>
      <c r="BI211" s="426"/>
      <c r="BJ211" s="426"/>
      <c r="BK211" s="453">
        <f>920000000+530000000</f>
        <v>1450000000</v>
      </c>
      <c r="BL211" s="453">
        <v>1361254000</v>
      </c>
      <c r="BM211" s="453">
        <v>615923388</v>
      </c>
      <c r="BN211" s="452"/>
      <c r="BO211" s="452"/>
      <c r="BP211" s="452"/>
      <c r="BQ211" s="426">
        <v>0</v>
      </c>
      <c r="BR211" s="457"/>
      <c r="BS211" s="457"/>
      <c r="BT211" s="457"/>
      <c r="BU211" s="457"/>
      <c r="BV211" s="457"/>
      <c r="BW211" s="457">
        <v>0</v>
      </c>
      <c r="BX211" s="457"/>
      <c r="BY211" s="457"/>
      <c r="BZ211" s="401">
        <f t="shared" si="80"/>
        <v>1450000000</v>
      </c>
      <c r="CA211" s="401">
        <f t="shared" si="80"/>
        <v>1361254000</v>
      </c>
      <c r="CB211" s="401">
        <f t="shared" si="80"/>
        <v>615923388</v>
      </c>
    </row>
    <row r="212" spans="1:80" ht="48.75" customHeight="1" x14ac:dyDescent="0.2">
      <c r="A212" s="42"/>
      <c r="B212" s="42"/>
      <c r="C212" s="883"/>
      <c r="D212" s="933"/>
      <c r="E212" s="934"/>
      <c r="F212" s="883"/>
      <c r="G212" s="49"/>
      <c r="H212" s="714">
        <v>115</v>
      </c>
      <c r="I212" s="729" t="s">
        <v>286</v>
      </c>
      <c r="J212" s="44">
        <v>0</v>
      </c>
      <c r="K212" s="371">
        <v>35</v>
      </c>
      <c r="L212" s="190">
        <v>46</v>
      </c>
      <c r="M212" s="885"/>
      <c r="N212" s="883"/>
      <c r="O212" s="883"/>
      <c r="P212" s="891"/>
      <c r="Q212" s="57" t="s">
        <v>67</v>
      </c>
      <c r="R212" s="402">
        <f>848500000+590796102</f>
        <v>1439296102</v>
      </c>
      <c r="S212" s="402">
        <v>787341860</v>
      </c>
      <c r="T212" s="402">
        <v>306508289.38</v>
      </c>
      <c r="U212" s="401">
        <v>0</v>
      </c>
      <c r="V212" s="401"/>
      <c r="W212" s="401"/>
      <c r="X212" s="401">
        <v>0</v>
      </c>
      <c r="Y212" s="401"/>
      <c r="Z212" s="401"/>
      <c r="AA212" s="401">
        <v>0</v>
      </c>
      <c r="AB212" s="401"/>
      <c r="AC212" s="401"/>
      <c r="AD212" s="401">
        <v>0</v>
      </c>
      <c r="AE212" s="401"/>
      <c r="AF212" s="401"/>
      <c r="AG212" s="401">
        <v>0</v>
      </c>
      <c r="AH212" s="401"/>
      <c r="AI212" s="401"/>
      <c r="AJ212" s="401">
        <v>0</v>
      </c>
      <c r="AK212" s="401"/>
      <c r="AL212" s="401"/>
      <c r="AM212" s="401"/>
      <c r="AN212" s="401"/>
      <c r="AO212" s="401"/>
      <c r="AP212" s="401"/>
      <c r="AQ212" s="401"/>
      <c r="AR212" s="401"/>
      <c r="AS212" s="401">
        <v>0</v>
      </c>
      <c r="AT212" s="401"/>
      <c r="AU212" s="401"/>
      <c r="AV212" s="401">
        <v>0</v>
      </c>
      <c r="AW212" s="401"/>
      <c r="AX212" s="401"/>
      <c r="AY212" s="401"/>
      <c r="AZ212" s="401"/>
      <c r="BA212" s="401"/>
      <c r="BB212" s="401"/>
      <c r="BC212" s="401"/>
      <c r="BD212" s="401"/>
      <c r="BE212" s="401">
        <v>0</v>
      </c>
      <c r="BF212" s="401"/>
      <c r="BG212" s="401"/>
      <c r="BH212" s="401">
        <v>0</v>
      </c>
      <c r="BI212" s="401"/>
      <c r="BJ212" s="401"/>
      <c r="BK212" s="402">
        <f>400000000-400000000</f>
        <v>0</v>
      </c>
      <c r="BL212" s="402"/>
      <c r="BM212" s="402"/>
      <c r="BN212" s="415"/>
      <c r="BO212" s="415"/>
      <c r="BP212" s="415"/>
      <c r="BQ212" s="401">
        <v>0</v>
      </c>
      <c r="BR212" s="403"/>
      <c r="BS212" s="403"/>
      <c r="BT212" s="403"/>
      <c r="BU212" s="403"/>
      <c r="BV212" s="403"/>
      <c r="BW212" s="403">
        <v>0</v>
      </c>
      <c r="BX212" s="403"/>
      <c r="BY212" s="403"/>
      <c r="BZ212" s="401">
        <f t="shared" si="80"/>
        <v>1439296102</v>
      </c>
      <c r="CA212" s="401">
        <f t="shared" si="80"/>
        <v>787341860</v>
      </c>
      <c r="CB212" s="401">
        <f t="shared" si="80"/>
        <v>306508289.38</v>
      </c>
    </row>
    <row r="213" spans="1:80" ht="63.75" customHeight="1" x14ac:dyDescent="0.2">
      <c r="A213" s="42"/>
      <c r="B213" s="42"/>
      <c r="C213" s="883"/>
      <c r="D213" s="933"/>
      <c r="E213" s="934"/>
      <c r="F213" s="883"/>
      <c r="G213" s="92"/>
      <c r="H213" s="714">
        <v>116</v>
      </c>
      <c r="I213" s="729" t="s">
        <v>287</v>
      </c>
      <c r="J213" s="44" t="s">
        <v>43</v>
      </c>
      <c r="K213" s="372">
        <v>10</v>
      </c>
      <c r="L213" s="190">
        <v>16</v>
      </c>
      <c r="M213" s="886"/>
      <c r="N213" s="898"/>
      <c r="O213" s="898"/>
      <c r="P213" s="892"/>
      <c r="Q213" s="57" t="s">
        <v>67</v>
      </c>
      <c r="R213" s="415">
        <f>169700000+124179245</f>
        <v>293879245</v>
      </c>
      <c r="S213" s="415">
        <v>222394000</v>
      </c>
      <c r="T213" s="415">
        <v>160220000</v>
      </c>
      <c r="U213" s="401">
        <v>0</v>
      </c>
      <c r="V213" s="401"/>
      <c r="W213" s="401"/>
      <c r="X213" s="401">
        <v>0</v>
      </c>
      <c r="Y213" s="401"/>
      <c r="Z213" s="401"/>
      <c r="AA213" s="401">
        <v>0</v>
      </c>
      <c r="AB213" s="401"/>
      <c r="AC213" s="401"/>
      <c r="AD213" s="401">
        <v>0</v>
      </c>
      <c r="AE213" s="401"/>
      <c r="AF213" s="401"/>
      <c r="AG213" s="401">
        <v>0</v>
      </c>
      <c r="AH213" s="401"/>
      <c r="AI213" s="401"/>
      <c r="AJ213" s="401">
        <v>0</v>
      </c>
      <c r="AK213" s="401"/>
      <c r="AL213" s="401"/>
      <c r="AM213" s="401"/>
      <c r="AN213" s="401"/>
      <c r="AO213" s="401"/>
      <c r="AP213" s="401"/>
      <c r="AQ213" s="401"/>
      <c r="AR213" s="401"/>
      <c r="AS213" s="401">
        <v>0</v>
      </c>
      <c r="AT213" s="401"/>
      <c r="AU213" s="401"/>
      <c r="AV213" s="401">
        <v>0</v>
      </c>
      <c r="AW213" s="401"/>
      <c r="AX213" s="401"/>
      <c r="AY213" s="401"/>
      <c r="AZ213" s="401"/>
      <c r="BA213" s="401"/>
      <c r="BB213" s="401"/>
      <c r="BC213" s="401"/>
      <c r="BD213" s="401"/>
      <c r="BE213" s="401">
        <v>0</v>
      </c>
      <c r="BF213" s="401"/>
      <c r="BG213" s="401"/>
      <c r="BH213" s="401">
        <v>0</v>
      </c>
      <c r="BI213" s="401"/>
      <c r="BJ213" s="401"/>
      <c r="BK213" s="402">
        <f>50000000-50000000</f>
        <v>0</v>
      </c>
      <c r="BL213" s="402"/>
      <c r="BM213" s="402"/>
      <c r="BN213" s="415"/>
      <c r="BO213" s="415"/>
      <c r="BP213" s="415"/>
      <c r="BQ213" s="401">
        <v>0</v>
      </c>
      <c r="BR213" s="403"/>
      <c r="BS213" s="403"/>
      <c r="BT213" s="403"/>
      <c r="BU213" s="403"/>
      <c r="BV213" s="403"/>
      <c r="BW213" s="403">
        <v>0</v>
      </c>
      <c r="BX213" s="403"/>
      <c r="BY213" s="403"/>
      <c r="BZ213" s="401">
        <f t="shared" si="80"/>
        <v>293879245</v>
      </c>
      <c r="CA213" s="401">
        <f t="shared" si="80"/>
        <v>222394000</v>
      </c>
      <c r="CB213" s="401">
        <f t="shared" si="80"/>
        <v>160220000</v>
      </c>
    </row>
    <row r="214" spans="1:80" ht="30" customHeight="1" x14ac:dyDescent="0.2">
      <c r="A214" s="42"/>
      <c r="B214" s="42"/>
      <c r="C214" s="714"/>
      <c r="D214" s="709"/>
      <c r="E214" s="714"/>
      <c r="F214" s="714"/>
      <c r="G214" s="58"/>
      <c r="H214" s="59"/>
      <c r="I214" s="58"/>
      <c r="J214" s="60"/>
      <c r="K214" s="191"/>
      <c r="L214" s="191"/>
      <c r="M214" s="191"/>
      <c r="N214" s="59"/>
      <c r="O214" s="59"/>
      <c r="P214" s="58"/>
      <c r="Q214" s="59"/>
      <c r="R214" s="410">
        <f t="shared" ref="R214:BZ214" si="81">SUM(R210:R213)</f>
        <v>2793733082</v>
      </c>
      <c r="S214" s="410">
        <f t="shared" si="81"/>
        <v>1009735860</v>
      </c>
      <c r="T214" s="410">
        <f t="shared" si="81"/>
        <v>466728289.38</v>
      </c>
      <c r="U214" s="410">
        <f t="shared" si="81"/>
        <v>0</v>
      </c>
      <c r="V214" s="410"/>
      <c r="W214" s="410"/>
      <c r="X214" s="410">
        <f t="shared" si="81"/>
        <v>0</v>
      </c>
      <c r="Y214" s="410"/>
      <c r="Z214" s="410"/>
      <c r="AA214" s="410">
        <f t="shared" si="81"/>
        <v>0</v>
      </c>
      <c r="AB214" s="410"/>
      <c r="AC214" s="410"/>
      <c r="AD214" s="410">
        <f t="shared" si="81"/>
        <v>0</v>
      </c>
      <c r="AE214" s="410"/>
      <c r="AF214" s="410"/>
      <c r="AG214" s="410">
        <f t="shared" si="81"/>
        <v>0</v>
      </c>
      <c r="AH214" s="410"/>
      <c r="AI214" s="410"/>
      <c r="AJ214" s="410">
        <f t="shared" si="81"/>
        <v>0</v>
      </c>
      <c r="AK214" s="410"/>
      <c r="AL214" s="410"/>
      <c r="AM214" s="410">
        <f t="shared" si="81"/>
        <v>0</v>
      </c>
      <c r="AN214" s="410"/>
      <c r="AO214" s="410"/>
      <c r="AP214" s="410">
        <f t="shared" si="81"/>
        <v>0</v>
      </c>
      <c r="AQ214" s="410"/>
      <c r="AR214" s="410"/>
      <c r="AS214" s="410">
        <f t="shared" si="81"/>
        <v>0</v>
      </c>
      <c r="AT214" s="410"/>
      <c r="AU214" s="410"/>
      <c r="AV214" s="410">
        <f t="shared" si="81"/>
        <v>0</v>
      </c>
      <c r="AW214" s="410"/>
      <c r="AX214" s="410"/>
      <c r="AY214" s="410">
        <f t="shared" si="81"/>
        <v>0</v>
      </c>
      <c r="AZ214" s="410"/>
      <c r="BA214" s="410"/>
      <c r="BB214" s="410">
        <f t="shared" si="81"/>
        <v>0</v>
      </c>
      <c r="BC214" s="410"/>
      <c r="BD214" s="410"/>
      <c r="BE214" s="410">
        <f t="shared" si="81"/>
        <v>0</v>
      </c>
      <c r="BF214" s="410"/>
      <c r="BG214" s="410"/>
      <c r="BH214" s="410">
        <f t="shared" si="81"/>
        <v>0</v>
      </c>
      <c r="BI214" s="410"/>
      <c r="BJ214" s="410"/>
      <c r="BK214" s="410">
        <f t="shared" si="81"/>
        <v>1450000000</v>
      </c>
      <c r="BL214" s="410">
        <f t="shared" si="81"/>
        <v>1361254000</v>
      </c>
      <c r="BM214" s="410">
        <f t="shared" si="81"/>
        <v>615923388</v>
      </c>
      <c r="BN214" s="410">
        <f t="shared" si="81"/>
        <v>0</v>
      </c>
      <c r="BO214" s="410"/>
      <c r="BP214" s="410"/>
      <c r="BQ214" s="410">
        <f t="shared" si="81"/>
        <v>0</v>
      </c>
      <c r="BR214" s="410"/>
      <c r="BS214" s="410"/>
      <c r="BT214" s="410"/>
      <c r="BU214" s="410"/>
      <c r="BV214" s="410"/>
      <c r="BW214" s="410"/>
      <c r="BX214" s="410"/>
      <c r="BY214" s="410"/>
      <c r="BZ214" s="410">
        <f t="shared" si="81"/>
        <v>4243733082</v>
      </c>
      <c r="CA214" s="410">
        <f t="shared" ref="CA214:CB214" si="82">SUM(CA210:CA213)</f>
        <v>2370989860</v>
      </c>
      <c r="CB214" s="410">
        <f t="shared" si="82"/>
        <v>1082651677.3800001</v>
      </c>
    </row>
    <row r="215" spans="1:80" ht="30" customHeight="1" x14ac:dyDescent="0.2">
      <c r="A215" s="42"/>
      <c r="B215" s="42"/>
      <c r="C215" s="192"/>
      <c r="D215" s="193"/>
      <c r="E215" s="194"/>
      <c r="F215" s="194"/>
      <c r="G215" s="72"/>
      <c r="H215" s="150"/>
      <c r="I215" s="72"/>
      <c r="J215" s="73"/>
      <c r="K215" s="195"/>
      <c r="L215" s="195"/>
      <c r="M215" s="195"/>
      <c r="N215" s="150"/>
      <c r="O215" s="150"/>
      <c r="P215" s="72"/>
      <c r="Q215" s="150"/>
      <c r="R215" s="405"/>
      <c r="S215" s="405"/>
      <c r="T215" s="405"/>
      <c r="U215" s="406"/>
      <c r="V215" s="406"/>
      <c r="W215" s="406"/>
      <c r="X215" s="405"/>
      <c r="Y215" s="405"/>
      <c r="Z215" s="405"/>
      <c r="AA215" s="405"/>
      <c r="AB215" s="405"/>
      <c r="AC215" s="405"/>
      <c r="AD215" s="405"/>
      <c r="AE215" s="405"/>
      <c r="AF215" s="405"/>
      <c r="AG215" s="405"/>
      <c r="AH215" s="405"/>
      <c r="AI215" s="405"/>
      <c r="AJ215" s="405"/>
      <c r="AK215" s="405"/>
      <c r="AL215" s="405"/>
      <c r="AM215" s="405"/>
      <c r="AN215" s="405"/>
      <c r="AO215" s="405"/>
      <c r="AP215" s="405"/>
      <c r="AQ215" s="405"/>
      <c r="AR215" s="405"/>
      <c r="AS215" s="405"/>
      <c r="AT215" s="405"/>
      <c r="AU215" s="405"/>
      <c r="AV215" s="405"/>
      <c r="AW215" s="405"/>
      <c r="AX215" s="405"/>
      <c r="AY215" s="405"/>
      <c r="AZ215" s="405"/>
      <c r="BA215" s="405"/>
      <c r="BB215" s="405"/>
      <c r="BC215" s="405"/>
      <c r="BD215" s="405"/>
      <c r="BE215" s="405"/>
      <c r="BF215" s="405"/>
      <c r="BG215" s="405"/>
      <c r="BH215" s="405"/>
      <c r="BI215" s="405"/>
      <c r="BJ215" s="405"/>
      <c r="BK215" s="407"/>
      <c r="BL215" s="407"/>
      <c r="BM215" s="407"/>
      <c r="BN215" s="405"/>
      <c r="BO215" s="405"/>
      <c r="BP215" s="405"/>
      <c r="BQ215" s="405"/>
      <c r="BR215" s="405"/>
      <c r="BS215" s="405"/>
      <c r="BT215" s="405"/>
      <c r="BU215" s="405"/>
      <c r="BV215" s="405"/>
      <c r="BW215" s="406"/>
      <c r="BX215" s="406"/>
      <c r="BY215" s="406"/>
      <c r="BZ215" s="405"/>
      <c r="CA215" s="405"/>
      <c r="CB215" s="409"/>
    </row>
    <row r="216" spans="1:80" ht="30" customHeight="1" x14ac:dyDescent="0.2">
      <c r="A216" s="42"/>
      <c r="B216" s="42"/>
      <c r="C216" s="713"/>
      <c r="D216" s="707"/>
      <c r="E216" s="713"/>
      <c r="F216" s="713"/>
      <c r="G216" s="78">
        <v>30</v>
      </c>
      <c r="H216" s="80" t="s">
        <v>288</v>
      </c>
      <c r="I216" s="80"/>
      <c r="J216" s="80"/>
      <c r="K216" s="153"/>
      <c r="L216" s="153"/>
      <c r="M216" s="153"/>
      <c r="N216" s="173"/>
      <c r="O216" s="173"/>
      <c r="P216" s="80"/>
      <c r="Q216" s="80"/>
      <c r="R216" s="267"/>
      <c r="S216" s="267"/>
      <c r="T216" s="267"/>
      <c r="U216" s="267"/>
      <c r="V216" s="267"/>
      <c r="W216" s="267"/>
      <c r="X216" s="267"/>
      <c r="Y216" s="267"/>
      <c r="Z216" s="267"/>
      <c r="AA216" s="267"/>
      <c r="AB216" s="267"/>
      <c r="AC216" s="267"/>
      <c r="AD216" s="267"/>
      <c r="AE216" s="267"/>
      <c r="AF216" s="267"/>
      <c r="AG216" s="267"/>
      <c r="AH216" s="267"/>
      <c r="AI216" s="267"/>
      <c r="AJ216" s="267"/>
      <c r="AK216" s="267"/>
      <c r="AL216" s="267"/>
      <c r="AM216" s="267"/>
      <c r="AN216" s="267"/>
      <c r="AO216" s="267"/>
      <c r="AP216" s="267"/>
      <c r="AQ216" s="267"/>
      <c r="AR216" s="267"/>
      <c r="AS216" s="267"/>
      <c r="AT216" s="267"/>
      <c r="AU216" s="267"/>
      <c r="AV216" s="267"/>
      <c r="AW216" s="267"/>
      <c r="AX216" s="267"/>
      <c r="AY216" s="267"/>
      <c r="AZ216" s="267"/>
      <c r="BA216" s="267"/>
      <c r="BB216" s="267"/>
      <c r="BC216" s="267"/>
      <c r="BD216" s="267"/>
      <c r="BE216" s="267"/>
      <c r="BF216" s="267"/>
      <c r="BG216" s="267"/>
      <c r="BH216" s="267"/>
      <c r="BI216" s="267"/>
      <c r="BJ216" s="267"/>
      <c r="BK216" s="414"/>
      <c r="BL216" s="414"/>
      <c r="BM216" s="414"/>
      <c r="BN216" s="267"/>
      <c r="BO216" s="267"/>
      <c r="BP216" s="267"/>
      <c r="BQ216" s="267"/>
      <c r="BR216" s="267"/>
      <c r="BS216" s="267"/>
      <c r="BT216" s="267"/>
      <c r="BU216" s="267"/>
      <c r="BV216" s="267"/>
      <c r="BW216" s="267"/>
      <c r="BX216" s="267"/>
      <c r="BY216" s="267"/>
      <c r="BZ216" s="269"/>
      <c r="CA216" s="269"/>
      <c r="CB216" s="269"/>
    </row>
    <row r="217" spans="1:80" ht="92.25" customHeight="1" x14ac:dyDescent="0.2">
      <c r="A217" s="42"/>
      <c r="B217" s="42"/>
      <c r="C217" s="702" t="s">
        <v>289</v>
      </c>
      <c r="D217" s="723" t="s">
        <v>290</v>
      </c>
      <c r="E217" s="730" t="s">
        <v>291</v>
      </c>
      <c r="F217" s="702" t="s">
        <v>292</v>
      </c>
      <c r="G217" s="729"/>
      <c r="H217" s="57">
        <v>117</v>
      </c>
      <c r="I217" s="729" t="s">
        <v>293</v>
      </c>
      <c r="J217" s="44" t="s">
        <v>43</v>
      </c>
      <c r="K217" s="190">
        <v>2</v>
      </c>
      <c r="L217" s="190">
        <v>2</v>
      </c>
      <c r="M217" s="46">
        <v>2017003630004</v>
      </c>
      <c r="N217" s="44" t="s">
        <v>278</v>
      </c>
      <c r="O217" s="57" t="s">
        <v>294</v>
      </c>
      <c r="P217" s="729" t="s">
        <v>971</v>
      </c>
      <c r="Q217" s="57" t="s">
        <v>67</v>
      </c>
      <c r="R217" s="401"/>
      <c r="S217" s="401"/>
      <c r="T217" s="401"/>
      <c r="U217" s="401">
        <v>0</v>
      </c>
      <c r="V217" s="401"/>
      <c r="W217" s="401"/>
      <c r="X217" s="401">
        <v>0</v>
      </c>
      <c r="Y217" s="401"/>
      <c r="Z217" s="401"/>
      <c r="AA217" s="401">
        <v>0</v>
      </c>
      <c r="AB217" s="401"/>
      <c r="AC217" s="401"/>
      <c r="AD217" s="401">
        <v>0</v>
      </c>
      <c r="AE217" s="401"/>
      <c r="AF217" s="401"/>
      <c r="AG217" s="401">
        <v>0</v>
      </c>
      <c r="AH217" s="401"/>
      <c r="AI217" s="401"/>
      <c r="AJ217" s="401">
        <v>0</v>
      </c>
      <c r="AK217" s="401"/>
      <c r="AL217" s="401"/>
      <c r="AM217" s="401"/>
      <c r="AN217" s="401"/>
      <c r="AO217" s="401"/>
      <c r="AP217" s="401"/>
      <c r="AQ217" s="401"/>
      <c r="AR217" s="401"/>
      <c r="AS217" s="401">
        <v>0</v>
      </c>
      <c r="AT217" s="401"/>
      <c r="AU217" s="401"/>
      <c r="AV217" s="401">
        <v>0</v>
      </c>
      <c r="AW217" s="401"/>
      <c r="AX217" s="401"/>
      <c r="AY217" s="401"/>
      <c r="AZ217" s="401"/>
      <c r="BA217" s="401"/>
      <c r="BB217" s="401"/>
      <c r="BC217" s="401"/>
      <c r="BD217" s="401"/>
      <c r="BE217" s="401">
        <v>0</v>
      </c>
      <c r="BF217" s="401"/>
      <c r="BG217" s="401"/>
      <c r="BH217" s="401">
        <v>0</v>
      </c>
      <c r="BI217" s="401"/>
      <c r="BJ217" s="401"/>
      <c r="BK217" s="402">
        <v>80000000</v>
      </c>
      <c r="BL217" s="402">
        <v>66150000</v>
      </c>
      <c r="BM217" s="402">
        <v>22970000</v>
      </c>
      <c r="BN217" s="415"/>
      <c r="BO217" s="415"/>
      <c r="BP217" s="415"/>
      <c r="BQ217" s="401">
        <v>0</v>
      </c>
      <c r="BR217" s="403"/>
      <c r="BS217" s="403"/>
      <c r="BT217" s="403"/>
      <c r="BU217" s="403"/>
      <c r="BV217" s="403"/>
      <c r="BW217" s="403">
        <v>0</v>
      </c>
      <c r="BX217" s="403"/>
      <c r="BY217" s="403"/>
      <c r="BZ217" s="401">
        <f>R217+U217+X217+AA217+AD217+AG217+AJ217+AM217+AP217+AS217+AV217+AY217+BB217+BE217+BH217+BK217+BN217+BQ217+BT217+BW217</f>
        <v>80000000</v>
      </c>
      <c r="CA217" s="401">
        <f t="shared" ref="CA217:CB217" si="83">S217+V217+Y217+AB217+AE217+AH217+AK217+AN217+AQ217+AT217+AW217+AZ217+BC217+BF217+BI217+BL217+BO217+BR217+BU217+BX217</f>
        <v>66150000</v>
      </c>
      <c r="CB217" s="401">
        <f t="shared" si="83"/>
        <v>22970000</v>
      </c>
    </row>
    <row r="218" spans="1:80" ht="30" customHeight="1" x14ac:dyDescent="0.2">
      <c r="A218" s="42"/>
      <c r="B218" s="42"/>
      <c r="C218" s="714"/>
      <c r="D218" s="709"/>
      <c r="E218" s="714"/>
      <c r="F218" s="714"/>
      <c r="G218" s="58"/>
      <c r="H218" s="59"/>
      <c r="I218" s="58"/>
      <c r="J218" s="60"/>
      <c r="K218" s="196"/>
      <c r="L218" s="196"/>
      <c r="M218" s="196"/>
      <c r="N218" s="60"/>
      <c r="O218" s="59"/>
      <c r="P218" s="58"/>
      <c r="Q218" s="59"/>
      <c r="R218" s="410">
        <f t="shared" ref="R218:CB218" si="84">R217</f>
        <v>0</v>
      </c>
      <c r="S218" s="410">
        <f t="shared" si="84"/>
        <v>0</v>
      </c>
      <c r="T218" s="410">
        <f t="shared" si="84"/>
        <v>0</v>
      </c>
      <c r="U218" s="410">
        <f t="shared" si="84"/>
        <v>0</v>
      </c>
      <c r="V218" s="410">
        <f t="shared" si="84"/>
        <v>0</v>
      </c>
      <c r="W218" s="410">
        <f t="shared" si="84"/>
        <v>0</v>
      </c>
      <c r="X218" s="410">
        <f t="shared" si="84"/>
        <v>0</v>
      </c>
      <c r="Y218" s="410">
        <f t="shared" si="84"/>
        <v>0</v>
      </c>
      <c r="Z218" s="410">
        <f t="shared" si="84"/>
        <v>0</v>
      </c>
      <c r="AA218" s="410">
        <f t="shared" si="84"/>
        <v>0</v>
      </c>
      <c r="AB218" s="410">
        <f t="shared" si="84"/>
        <v>0</v>
      </c>
      <c r="AC218" s="410">
        <f t="shared" si="84"/>
        <v>0</v>
      </c>
      <c r="AD218" s="410">
        <f t="shared" si="84"/>
        <v>0</v>
      </c>
      <c r="AE218" s="410">
        <f t="shared" si="84"/>
        <v>0</v>
      </c>
      <c r="AF218" s="410">
        <f t="shared" si="84"/>
        <v>0</v>
      </c>
      <c r="AG218" s="410">
        <f t="shared" si="84"/>
        <v>0</v>
      </c>
      <c r="AH218" s="410">
        <f t="shared" si="84"/>
        <v>0</v>
      </c>
      <c r="AI218" s="410">
        <f t="shared" si="84"/>
        <v>0</v>
      </c>
      <c r="AJ218" s="410">
        <f t="shared" si="84"/>
        <v>0</v>
      </c>
      <c r="AK218" s="410">
        <f t="shared" si="84"/>
        <v>0</v>
      </c>
      <c r="AL218" s="410">
        <f t="shared" si="84"/>
        <v>0</v>
      </c>
      <c r="AM218" s="410">
        <f t="shared" si="84"/>
        <v>0</v>
      </c>
      <c r="AN218" s="410">
        <f t="shared" si="84"/>
        <v>0</v>
      </c>
      <c r="AO218" s="410">
        <f t="shared" si="84"/>
        <v>0</v>
      </c>
      <c r="AP218" s="410">
        <f t="shared" si="84"/>
        <v>0</v>
      </c>
      <c r="AQ218" s="410">
        <f t="shared" si="84"/>
        <v>0</v>
      </c>
      <c r="AR218" s="410">
        <f t="shared" si="84"/>
        <v>0</v>
      </c>
      <c r="AS218" s="410">
        <f t="shared" si="84"/>
        <v>0</v>
      </c>
      <c r="AT218" s="410">
        <f t="shared" si="84"/>
        <v>0</v>
      </c>
      <c r="AU218" s="410">
        <f t="shared" si="84"/>
        <v>0</v>
      </c>
      <c r="AV218" s="410">
        <f t="shared" si="84"/>
        <v>0</v>
      </c>
      <c r="AW218" s="410">
        <f t="shared" si="84"/>
        <v>0</v>
      </c>
      <c r="AX218" s="410">
        <f t="shared" si="84"/>
        <v>0</v>
      </c>
      <c r="AY218" s="410">
        <f t="shared" si="84"/>
        <v>0</v>
      </c>
      <c r="AZ218" s="410">
        <f t="shared" si="84"/>
        <v>0</v>
      </c>
      <c r="BA218" s="410">
        <f t="shared" si="84"/>
        <v>0</v>
      </c>
      <c r="BB218" s="410">
        <f t="shared" si="84"/>
        <v>0</v>
      </c>
      <c r="BC218" s="410">
        <f t="shared" si="84"/>
        <v>0</v>
      </c>
      <c r="BD218" s="410">
        <f t="shared" si="84"/>
        <v>0</v>
      </c>
      <c r="BE218" s="410">
        <f t="shared" si="84"/>
        <v>0</v>
      </c>
      <c r="BF218" s="410">
        <f t="shared" si="84"/>
        <v>0</v>
      </c>
      <c r="BG218" s="410">
        <f t="shared" si="84"/>
        <v>0</v>
      </c>
      <c r="BH218" s="410">
        <f t="shared" si="84"/>
        <v>0</v>
      </c>
      <c r="BI218" s="410">
        <f t="shared" si="84"/>
        <v>0</v>
      </c>
      <c r="BJ218" s="410">
        <f t="shared" si="84"/>
        <v>0</v>
      </c>
      <c r="BK218" s="410">
        <f t="shared" si="84"/>
        <v>80000000</v>
      </c>
      <c r="BL218" s="410">
        <f t="shared" si="84"/>
        <v>66150000</v>
      </c>
      <c r="BM218" s="410">
        <f t="shared" si="84"/>
        <v>22970000</v>
      </c>
      <c r="BN218" s="410">
        <f t="shared" si="84"/>
        <v>0</v>
      </c>
      <c r="BO218" s="410">
        <f t="shared" si="84"/>
        <v>0</v>
      </c>
      <c r="BP218" s="410">
        <f t="shared" si="84"/>
        <v>0</v>
      </c>
      <c r="BQ218" s="410">
        <f t="shared" si="84"/>
        <v>0</v>
      </c>
      <c r="BR218" s="410">
        <f t="shared" si="84"/>
        <v>0</v>
      </c>
      <c r="BS218" s="410">
        <f t="shared" si="84"/>
        <v>0</v>
      </c>
      <c r="BT218" s="410">
        <f t="shared" si="84"/>
        <v>0</v>
      </c>
      <c r="BU218" s="410">
        <f t="shared" si="84"/>
        <v>0</v>
      </c>
      <c r="BV218" s="410">
        <f t="shared" si="84"/>
        <v>0</v>
      </c>
      <c r="BW218" s="410">
        <f t="shared" si="84"/>
        <v>0</v>
      </c>
      <c r="BX218" s="410">
        <f t="shared" si="84"/>
        <v>0</v>
      </c>
      <c r="BY218" s="410">
        <f t="shared" si="84"/>
        <v>0</v>
      </c>
      <c r="BZ218" s="410">
        <f t="shared" si="84"/>
        <v>80000000</v>
      </c>
      <c r="CA218" s="410">
        <f t="shared" si="84"/>
        <v>66150000</v>
      </c>
      <c r="CB218" s="410">
        <f t="shared" si="84"/>
        <v>22970000</v>
      </c>
    </row>
    <row r="219" spans="1:80" ht="30" customHeight="1" x14ac:dyDescent="0.2">
      <c r="A219" s="42"/>
      <c r="B219" s="42"/>
      <c r="C219" s="713"/>
      <c r="D219" s="537"/>
      <c r="E219" s="538"/>
      <c r="F219" s="538"/>
      <c r="G219" s="72"/>
      <c r="H219" s="150"/>
      <c r="I219" s="72"/>
      <c r="J219" s="73"/>
      <c r="K219" s="197"/>
      <c r="L219" s="197"/>
      <c r="M219" s="197"/>
      <c r="N219" s="73"/>
      <c r="O219" s="150"/>
      <c r="P219" s="72"/>
      <c r="Q219" s="150"/>
      <c r="R219" s="405"/>
      <c r="S219" s="405"/>
      <c r="T219" s="405"/>
      <c r="U219" s="406"/>
      <c r="V219" s="406"/>
      <c r="W219" s="406"/>
      <c r="X219" s="405"/>
      <c r="Y219" s="405"/>
      <c r="Z219" s="405"/>
      <c r="AA219" s="405"/>
      <c r="AB219" s="405"/>
      <c r="AC219" s="405"/>
      <c r="AD219" s="405"/>
      <c r="AE219" s="405"/>
      <c r="AF219" s="405"/>
      <c r="AG219" s="405"/>
      <c r="AH219" s="405"/>
      <c r="AI219" s="405"/>
      <c r="AJ219" s="405"/>
      <c r="AK219" s="405"/>
      <c r="AL219" s="405"/>
      <c r="AM219" s="405"/>
      <c r="AN219" s="405"/>
      <c r="AO219" s="405"/>
      <c r="AP219" s="405"/>
      <c r="AQ219" s="405"/>
      <c r="AR219" s="405"/>
      <c r="AS219" s="405"/>
      <c r="AT219" s="405"/>
      <c r="AU219" s="405"/>
      <c r="AV219" s="405"/>
      <c r="AW219" s="405"/>
      <c r="AX219" s="405"/>
      <c r="AY219" s="405"/>
      <c r="AZ219" s="405"/>
      <c r="BA219" s="405"/>
      <c r="BB219" s="405"/>
      <c r="BC219" s="405"/>
      <c r="BD219" s="405"/>
      <c r="BE219" s="405"/>
      <c r="BF219" s="405"/>
      <c r="BG219" s="405"/>
      <c r="BH219" s="405"/>
      <c r="BI219" s="405"/>
      <c r="BJ219" s="405"/>
      <c r="BK219" s="407"/>
      <c r="BL219" s="407"/>
      <c r="BM219" s="407"/>
      <c r="BN219" s="408"/>
      <c r="BO219" s="408"/>
      <c r="BP219" s="408"/>
      <c r="BQ219" s="405"/>
      <c r="BR219" s="405"/>
      <c r="BS219" s="405"/>
      <c r="BT219" s="405"/>
      <c r="BU219" s="405"/>
      <c r="BV219" s="405"/>
      <c r="BW219" s="406"/>
      <c r="BX219" s="406"/>
      <c r="BY219" s="406"/>
      <c r="BZ219" s="405"/>
      <c r="CA219" s="405"/>
      <c r="CB219" s="409"/>
    </row>
    <row r="220" spans="1:80" ht="30" customHeight="1" x14ac:dyDescent="0.2">
      <c r="A220" s="42"/>
      <c r="B220" s="42"/>
      <c r="C220" s="702"/>
      <c r="D220" s="708"/>
      <c r="E220" s="702"/>
      <c r="F220" s="702"/>
      <c r="G220" s="160">
        <v>31</v>
      </c>
      <c r="H220" s="172" t="s">
        <v>296</v>
      </c>
      <c r="I220" s="80"/>
      <c r="J220" s="80"/>
      <c r="K220" s="153"/>
      <c r="L220" s="153"/>
      <c r="M220" s="153"/>
      <c r="N220" s="173"/>
      <c r="O220" s="173"/>
      <c r="P220" s="80"/>
      <c r="Q220" s="80"/>
      <c r="R220" s="267"/>
      <c r="S220" s="267"/>
      <c r="T220" s="267"/>
      <c r="U220" s="267"/>
      <c r="V220" s="267"/>
      <c r="W220" s="267"/>
      <c r="X220" s="267"/>
      <c r="Y220" s="267"/>
      <c r="Z220" s="267"/>
      <c r="AA220" s="267"/>
      <c r="AB220" s="267"/>
      <c r="AC220" s="267"/>
      <c r="AD220" s="267"/>
      <c r="AE220" s="267"/>
      <c r="AF220" s="267"/>
      <c r="AG220" s="267"/>
      <c r="AH220" s="267"/>
      <c r="AI220" s="267"/>
      <c r="AJ220" s="267"/>
      <c r="AK220" s="267"/>
      <c r="AL220" s="267"/>
      <c r="AM220" s="267"/>
      <c r="AN220" s="267"/>
      <c r="AO220" s="267"/>
      <c r="AP220" s="267"/>
      <c r="AQ220" s="267"/>
      <c r="AR220" s="267"/>
      <c r="AS220" s="267"/>
      <c r="AT220" s="267"/>
      <c r="AU220" s="267"/>
      <c r="AV220" s="267"/>
      <c r="AW220" s="267"/>
      <c r="AX220" s="267"/>
      <c r="AY220" s="267"/>
      <c r="AZ220" s="267"/>
      <c r="BA220" s="267"/>
      <c r="BB220" s="267"/>
      <c r="BC220" s="267"/>
      <c r="BD220" s="267"/>
      <c r="BE220" s="267"/>
      <c r="BF220" s="267"/>
      <c r="BG220" s="267"/>
      <c r="BH220" s="267"/>
      <c r="BI220" s="267"/>
      <c r="BJ220" s="267"/>
      <c r="BK220" s="414"/>
      <c r="BL220" s="414"/>
      <c r="BM220" s="414"/>
      <c r="BN220" s="267"/>
      <c r="BO220" s="267"/>
      <c r="BP220" s="267"/>
      <c r="BQ220" s="267"/>
      <c r="BR220" s="267"/>
      <c r="BS220" s="267"/>
      <c r="BT220" s="267"/>
      <c r="BU220" s="267"/>
      <c r="BV220" s="267"/>
      <c r="BW220" s="267"/>
      <c r="BX220" s="267"/>
      <c r="BY220" s="267"/>
      <c r="BZ220" s="267"/>
      <c r="CA220" s="267"/>
      <c r="CB220" s="269"/>
    </row>
    <row r="221" spans="1:80" ht="90" x14ac:dyDescent="0.2">
      <c r="A221" s="42"/>
      <c r="B221" s="42"/>
      <c r="C221" s="702" t="s">
        <v>297</v>
      </c>
      <c r="D221" s="723" t="s">
        <v>298</v>
      </c>
      <c r="E221" s="730" t="s">
        <v>299</v>
      </c>
      <c r="F221" s="702" t="s">
        <v>300</v>
      </c>
      <c r="G221" s="82"/>
      <c r="H221" s="57">
        <v>118</v>
      </c>
      <c r="I221" s="729" t="s">
        <v>301</v>
      </c>
      <c r="J221" s="44">
        <v>16</v>
      </c>
      <c r="K221" s="725">
        <v>6</v>
      </c>
      <c r="L221" s="725">
        <v>6</v>
      </c>
      <c r="M221" s="46">
        <v>2017003630005</v>
      </c>
      <c r="N221" s="44" t="s">
        <v>278</v>
      </c>
      <c r="O221" s="57" t="s">
        <v>302</v>
      </c>
      <c r="P221" s="729" t="s">
        <v>972</v>
      </c>
      <c r="Q221" s="57" t="s">
        <v>67</v>
      </c>
      <c r="R221" s="415">
        <f>169700000+330733</f>
        <v>170030733</v>
      </c>
      <c r="S221" s="415">
        <v>127096000</v>
      </c>
      <c r="T221" s="415">
        <v>73200000</v>
      </c>
      <c r="U221" s="401">
        <v>0</v>
      </c>
      <c r="V221" s="401"/>
      <c r="W221" s="401"/>
      <c r="X221" s="401">
        <v>0</v>
      </c>
      <c r="Y221" s="401"/>
      <c r="Z221" s="401"/>
      <c r="AA221" s="401">
        <v>0</v>
      </c>
      <c r="AB221" s="401"/>
      <c r="AC221" s="401"/>
      <c r="AD221" s="401">
        <v>0</v>
      </c>
      <c r="AE221" s="401"/>
      <c r="AF221" s="401"/>
      <c r="AG221" s="401">
        <v>0</v>
      </c>
      <c r="AH221" s="401"/>
      <c r="AI221" s="401"/>
      <c r="AJ221" s="401">
        <v>0</v>
      </c>
      <c r="AK221" s="401"/>
      <c r="AL221" s="401"/>
      <c r="AM221" s="401"/>
      <c r="AN221" s="401"/>
      <c r="AO221" s="401"/>
      <c r="AP221" s="401"/>
      <c r="AQ221" s="401"/>
      <c r="AR221" s="401"/>
      <c r="AS221" s="401">
        <v>0</v>
      </c>
      <c r="AT221" s="401"/>
      <c r="AU221" s="401"/>
      <c r="AV221" s="401">
        <v>0</v>
      </c>
      <c r="AW221" s="401"/>
      <c r="AX221" s="401"/>
      <c r="AY221" s="401"/>
      <c r="AZ221" s="401"/>
      <c r="BA221" s="401"/>
      <c r="BB221" s="401"/>
      <c r="BC221" s="401"/>
      <c r="BD221" s="401"/>
      <c r="BE221" s="401">
        <v>0</v>
      </c>
      <c r="BF221" s="401"/>
      <c r="BG221" s="401"/>
      <c r="BH221" s="401">
        <v>0</v>
      </c>
      <c r="BI221" s="401"/>
      <c r="BJ221" s="401"/>
      <c r="BK221" s="402">
        <v>0</v>
      </c>
      <c r="BL221" s="402"/>
      <c r="BM221" s="402"/>
      <c r="BN221" s="415"/>
      <c r="BO221" s="415"/>
      <c r="BP221" s="415"/>
      <c r="BQ221" s="401">
        <v>0</v>
      </c>
      <c r="BR221" s="403"/>
      <c r="BS221" s="403"/>
      <c r="BT221" s="403"/>
      <c r="BU221" s="403"/>
      <c r="BV221" s="403"/>
      <c r="BW221" s="403">
        <v>0</v>
      </c>
      <c r="BX221" s="403"/>
      <c r="BY221" s="403"/>
      <c r="BZ221" s="401">
        <f>R221+U221+X221+AA221+AD221+AG221+AJ221+AM221+AP221+AS221+AV221+AY221+BB221+BE221+BH221+BK221+BN221+BQ221+BT221+BW221</f>
        <v>170030733</v>
      </c>
      <c r="CA221" s="401">
        <f t="shared" ref="CA221:CB221" si="85">S221+V221+Y221+AB221+AE221+AH221+AK221+AN221+AQ221+AT221+AW221+AZ221+BC221+BF221+BI221+BL221+BO221+BR221+BU221+BX221</f>
        <v>127096000</v>
      </c>
      <c r="CB221" s="401">
        <f t="shared" si="85"/>
        <v>73200000</v>
      </c>
    </row>
    <row r="222" spans="1:80" ht="30" customHeight="1" x14ac:dyDescent="0.2">
      <c r="A222" s="42"/>
      <c r="B222" s="55"/>
      <c r="C222" s="714"/>
      <c r="D222" s="709"/>
      <c r="E222" s="714"/>
      <c r="F222" s="714"/>
      <c r="G222" s="275"/>
      <c r="H222" s="59"/>
      <c r="I222" s="58"/>
      <c r="J222" s="60"/>
      <c r="K222" s="196"/>
      <c r="L222" s="196"/>
      <c r="M222" s="196"/>
      <c r="N222" s="60"/>
      <c r="O222" s="59"/>
      <c r="P222" s="58"/>
      <c r="Q222" s="59"/>
      <c r="R222" s="410">
        <f t="shared" ref="R222:CB222" si="86">SUM(R221)</f>
        <v>170030733</v>
      </c>
      <c r="S222" s="410">
        <f t="shared" si="86"/>
        <v>127096000</v>
      </c>
      <c r="T222" s="410">
        <f t="shared" si="86"/>
        <v>73200000</v>
      </c>
      <c r="U222" s="410">
        <f t="shared" si="86"/>
        <v>0</v>
      </c>
      <c r="V222" s="410">
        <f t="shared" si="86"/>
        <v>0</v>
      </c>
      <c r="W222" s="410">
        <f t="shared" si="86"/>
        <v>0</v>
      </c>
      <c r="X222" s="410">
        <f t="shared" si="86"/>
        <v>0</v>
      </c>
      <c r="Y222" s="410">
        <f t="shared" si="86"/>
        <v>0</v>
      </c>
      <c r="Z222" s="410">
        <f t="shared" si="86"/>
        <v>0</v>
      </c>
      <c r="AA222" s="410">
        <f t="shared" si="86"/>
        <v>0</v>
      </c>
      <c r="AB222" s="410">
        <f t="shared" si="86"/>
        <v>0</v>
      </c>
      <c r="AC222" s="410">
        <f t="shared" si="86"/>
        <v>0</v>
      </c>
      <c r="AD222" s="410">
        <f t="shared" si="86"/>
        <v>0</v>
      </c>
      <c r="AE222" s="410">
        <f t="shared" si="86"/>
        <v>0</v>
      </c>
      <c r="AF222" s="410">
        <f t="shared" si="86"/>
        <v>0</v>
      </c>
      <c r="AG222" s="410">
        <f t="shared" si="86"/>
        <v>0</v>
      </c>
      <c r="AH222" s="410">
        <f t="shared" si="86"/>
        <v>0</v>
      </c>
      <c r="AI222" s="410">
        <f t="shared" si="86"/>
        <v>0</v>
      </c>
      <c r="AJ222" s="410">
        <f t="shared" si="86"/>
        <v>0</v>
      </c>
      <c r="AK222" s="410">
        <f t="shared" si="86"/>
        <v>0</v>
      </c>
      <c r="AL222" s="410">
        <f t="shared" si="86"/>
        <v>0</v>
      </c>
      <c r="AM222" s="410">
        <f t="shared" si="86"/>
        <v>0</v>
      </c>
      <c r="AN222" s="410">
        <f t="shared" si="86"/>
        <v>0</v>
      </c>
      <c r="AO222" s="410">
        <f t="shared" si="86"/>
        <v>0</v>
      </c>
      <c r="AP222" s="410">
        <f t="shared" si="86"/>
        <v>0</v>
      </c>
      <c r="AQ222" s="410">
        <f t="shared" si="86"/>
        <v>0</v>
      </c>
      <c r="AR222" s="410">
        <f t="shared" si="86"/>
        <v>0</v>
      </c>
      <c r="AS222" s="410">
        <f t="shared" si="86"/>
        <v>0</v>
      </c>
      <c r="AT222" s="410">
        <f t="shared" si="86"/>
        <v>0</v>
      </c>
      <c r="AU222" s="410">
        <f t="shared" si="86"/>
        <v>0</v>
      </c>
      <c r="AV222" s="410">
        <f t="shared" si="86"/>
        <v>0</v>
      </c>
      <c r="AW222" s="410">
        <f t="shared" si="86"/>
        <v>0</v>
      </c>
      <c r="AX222" s="410">
        <f t="shared" si="86"/>
        <v>0</v>
      </c>
      <c r="AY222" s="410">
        <f t="shared" si="86"/>
        <v>0</v>
      </c>
      <c r="AZ222" s="410">
        <f t="shared" si="86"/>
        <v>0</v>
      </c>
      <c r="BA222" s="410">
        <f t="shared" si="86"/>
        <v>0</v>
      </c>
      <c r="BB222" s="410">
        <f t="shared" si="86"/>
        <v>0</v>
      </c>
      <c r="BC222" s="410">
        <f t="shared" si="86"/>
        <v>0</v>
      </c>
      <c r="BD222" s="410">
        <f t="shared" si="86"/>
        <v>0</v>
      </c>
      <c r="BE222" s="410">
        <f t="shared" si="86"/>
        <v>0</v>
      </c>
      <c r="BF222" s="410">
        <f t="shared" si="86"/>
        <v>0</v>
      </c>
      <c r="BG222" s="410">
        <f t="shared" si="86"/>
        <v>0</v>
      </c>
      <c r="BH222" s="410">
        <f t="shared" si="86"/>
        <v>0</v>
      </c>
      <c r="BI222" s="410">
        <f t="shared" si="86"/>
        <v>0</v>
      </c>
      <c r="BJ222" s="410">
        <f t="shared" si="86"/>
        <v>0</v>
      </c>
      <c r="BK222" s="410">
        <f t="shared" si="86"/>
        <v>0</v>
      </c>
      <c r="BL222" s="410">
        <f t="shared" si="86"/>
        <v>0</v>
      </c>
      <c r="BM222" s="410">
        <f t="shared" si="86"/>
        <v>0</v>
      </c>
      <c r="BN222" s="410">
        <f t="shared" si="86"/>
        <v>0</v>
      </c>
      <c r="BO222" s="410">
        <f t="shared" si="86"/>
        <v>0</v>
      </c>
      <c r="BP222" s="410">
        <f t="shared" si="86"/>
        <v>0</v>
      </c>
      <c r="BQ222" s="410">
        <f t="shared" si="86"/>
        <v>0</v>
      </c>
      <c r="BR222" s="410">
        <f t="shared" si="86"/>
        <v>0</v>
      </c>
      <c r="BS222" s="410">
        <f t="shared" si="86"/>
        <v>0</v>
      </c>
      <c r="BT222" s="410">
        <f t="shared" si="86"/>
        <v>0</v>
      </c>
      <c r="BU222" s="410">
        <f t="shared" si="86"/>
        <v>0</v>
      </c>
      <c r="BV222" s="410">
        <f t="shared" si="86"/>
        <v>0</v>
      </c>
      <c r="BW222" s="410">
        <f t="shared" si="86"/>
        <v>0</v>
      </c>
      <c r="BX222" s="410">
        <f t="shared" si="86"/>
        <v>0</v>
      </c>
      <c r="BY222" s="410">
        <f t="shared" si="86"/>
        <v>0</v>
      </c>
      <c r="BZ222" s="410">
        <f t="shared" si="86"/>
        <v>170030733</v>
      </c>
      <c r="CA222" s="410">
        <f t="shared" si="86"/>
        <v>127096000</v>
      </c>
      <c r="CB222" s="410">
        <f t="shared" si="86"/>
        <v>73200000</v>
      </c>
    </row>
    <row r="223" spans="1:80" ht="30" customHeight="1" x14ac:dyDescent="0.2">
      <c r="A223" s="42"/>
      <c r="B223" s="95"/>
      <c r="C223" s="63"/>
      <c r="D223" s="198"/>
      <c r="E223" s="199"/>
      <c r="F223" s="199"/>
      <c r="G223" s="62"/>
      <c r="H223" s="63"/>
      <c r="I223" s="62"/>
      <c r="J223" s="64"/>
      <c r="K223" s="200"/>
      <c r="L223" s="200"/>
      <c r="M223" s="200"/>
      <c r="N223" s="64"/>
      <c r="O223" s="63"/>
      <c r="P223" s="62"/>
      <c r="Q223" s="63"/>
      <c r="R223" s="416">
        <f t="shared" ref="R223:CB223" si="87">R222+R218+R214</f>
        <v>2963763815</v>
      </c>
      <c r="S223" s="416">
        <f t="shared" si="87"/>
        <v>1136831860</v>
      </c>
      <c r="T223" s="416">
        <f t="shared" si="87"/>
        <v>539928289.38</v>
      </c>
      <c r="U223" s="416">
        <f t="shared" si="87"/>
        <v>0</v>
      </c>
      <c r="V223" s="416">
        <f t="shared" si="87"/>
        <v>0</v>
      </c>
      <c r="W223" s="416">
        <f t="shared" si="87"/>
        <v>0</v>
      </c>
      <c r="X223" s="416">
        <f t="shared" si="87"/>
        <v>0</v>
      </c>
      <c r="Y223" s="416">
        <f t="shared" si="87"/>
        <v>0</v>
      </c>
      <c r="Z223" s="416">
        <f t="shared" si="87"/>
        <v>0</v>
      </c>
      <c r="AA223" s="416">
        <f t="shared" si="87"/>
        <v>0</v>
      </c>
      <c r="AB223" s="416">
        <f t="shared" si="87"/>
        <v>0</v>
      </c>
      <c r="AC223" s="416">
        <f t="shared" si="87"/>
        <v>0</v>
      </c>
      <c r="AD223" s="416">
        <f t="shared" si="87"/>
        <v>0</v>
      </c>
      <c r="AE223" s="416">
        <f t="shared" si="87"/>
        <v>0</v>
      </c>
      <c r="AF223" s="416">
        <f t="shared" si="87"/>
        <v>0</v>
      </c>
      <c r="AG223" s="416">
        <f t="shared" si="87"/>
        <v>0</v>
      </c>
      <c r="AH223" s="416">
        <f t="shared" si="87"/>
        <v>0</v>
      </c>
      <c r="AI223" s="416">
        <f t="shared" si="87"/>
        <v>0</v>
      </c>
      <c r="AJ223" s="416">
        <f t="shared" si="87"/>
        <v>0</v>
      </c>
      <c r="AK223" s="416">
        <f t="shared" si="87"/>
        <v>0</v>
      </c>
      <c r="AL223" s="416">
        <f t="shared" si="87"/>
        <v>0</v>
      </c>
      <c r="AM223" s="416">
        <f t="shared" si="87"/>
        <v>0</v>
      </c>
      <c r="AN223" s="416">
        <f t="shared" si="87"/>
        <v>0</v>
      </c>
      <c r="AO223" s="416">
        <f t="shared" si="87"/>
        <v>0</v>
      </c>
      <c r="AP223" s="416">
        <f t="shared" si="87"/>
        <v>0</v>
      </c>
      <c r="AQ223" s="416">
        <f t="shared" si="87"/>
        <v>0</v>
      </c>
      <c r="AR223" s="416">
        <f t="shared" si="87"/>
        <v>0</v>
      </c>
      <c r="AS223" s="416">
        <f t="shared" si="87"/>
        <v>0</v>
      </c>
      <c r="AT223" s="416">
        <f t="shared" si="87"/>
        <v>0</v>
      </c>
      <c r="AU223" s="416">
        <f t="shared" si="87"/>
        <v>0</v>
      </c>
      <c r="AV223" s="416">
        <f t="shared" si="87"/>
        <v>0</v>
      </c>
      <c r="AW223" s="416">
        <f t="shared" si="87"/>
        <v>0</v>
      </c>
      <c r="AX223" s="416">
        <f t="shared" si="87"/>
        <v>0</v>
      </c>
      <c r="AY223" s="416">
        <f t="shared" si="87"/>
        <v>0</v>
      </c>
      <c r="AZ223" s="416">
        <f t="shared" si="87"/>
        <v>0</v>
      </c>
      <c r="BA223" s="416">
        <f t="shared" si="87"/>
        <v>0</v>
      </c>
      <c r="BB223" s="416">
        <f t="shared" si="87"/>
        <v>0</v>
      </c>
      <c r="BC223" s="416">
        <f t="shared" si="87"/>
        <v>0</v>
      </c>
      <c r="BD223" s="416">
        <f t="shared" si="87"/>
        <v>0</v>
      </c>
      <c r="BE223" s="416">
        <f t="shared" si="87"/>
        <v>0</v>
      </c>
      <c r="BF223" s="416">
        <f t="shared" si="87"/>
        <v>0</v>
      </c>
      <c r="BG223" s="416">
        <f t="shared" si="87"/>
        <v>0</v>
      </c>
      <c r="BH223" s="416">
        <f t="shared" si="87"/>
        <v>0</v>
      </c>
      <c r="BI223" s="416">
        <f t="shared" si="87"/>
        <v>0</v>
      </c>
      <c r="BJ223" s="416">
        <f t="shared" si="87"/>
        <v>0</v>
      </c>
      <c r="BK223" s="416">
        <f t="shared" si="87"/>
        <v>1530000000</v>
      </c>
      <c r="BL223" s="416">
        <f t="shared" si="87"/>
        <v>1427404000</v>
      </c>
      <c r="BM223" s="416">
        <f t="shared" si="87"/>
        <v>638893388</v>
      </c>
      <c r="BN223" s="416">
        <f t="shared" si="87"/>
        <v>0</v>
      </c>
      <c r="BO223" s="416">
        <f t="shared" si="87"/>
        <v>0</v>
      </c>
      <c r="BP223" s="416">
        <f t="shared" si="87"/>
        <v>0</v>
      </c>
      <c r="BQ223" s="416">
        <f t="shared" si="87"/>
        <v>0</v>
      </c>
      <c r="BR223" s="416">
        <f t="shared" si="87"/>
        <v>0</v>
      </c>
      <c r="BS223" s="416">
        <f t="shared" si="87"/>
        <v>0</v>
      </c>
      <c r="BT223" s="416">
        <f t="shared" si="87"/>
        <v>0</v>
      </c>
      <c r="BU223" s="416">
        <f t="shared" si="87"/>
        <v>0</v>
      </c>
      <c r="BV223" s="416">
        <f t="shared" si="87"/>
        <v>0</v>
      </c>
      <c r="BW223" s="416">
        <f t="shared" si="87"/>
        <v>0</v>
      </c>
      <c r="BX223" s="416">
        <f t="shared" si="87"/>
        <v>0</v>
      </c>
      <c r="BY223" s="416">
        <f t="shared" si="87"/>
        <v>0</v>
      </c>
      <c r="BZ223" s="416">
        <f t="shared" si="87"/>
        <v>4493763815</v>
      </c>
      <c r="CA223" s="416">
        <f t="shared" si="87"/>
        <v>2564235860</v>
      </c>
      <c r="CB223" s="416">
        <f t="shared" si="87"/>
        <v>1178821677.3800001</v>
      </c>
    </row>
    <row r="224" spans="1:80" ht="30" customHeight="1" x14ac:dyDescent="0.2">
      <c r="A224" s="42"/>
      <c r="B224" s="72"/>
      <c r="C224" s="192"/>
      <c r="D224" s="193"/>
      <c r="E224" s="194"/>
      <c r="F224" s="194"/>
      <c r="G224" s="72"/>
      <c r="H224" s="150"/>
      <c r="I224" s="72"/>
      <c r="J224" s="73"/>
      <c r="K224" s="197"/>
      <c r="L224" s="197"/>
      <c r="M224" s="197"/>
      <c r="N224" s="73"/>
      <c r="O224" s="150"/>
      <c r="P224" s="72"/>
      <c r="Q224" s="150"/>
      <c r="R224" s="405"/>
      <c r="S224" s="405"/>
      <c r="T224" s="405"/>
      <c r="U224" s="406"/>
      <c r="V224" s="406"/>
      <c r="W224" s="406"/>
      <c r="X224" s="405"/>
      <c r="Y224" s="405"/>
      <c r="Z224" s="405"/>
      <c r="AA224" s="405"/>
      <c r="AB224" s="405"/>
      <c r="AC224" s="405"/>
      <c r="AD224" s="405"/>
      <c r="AE224" s="405"/>
      <c r="AF224" s="405"/>
      <c r="AG224" s="405"/>
      <c r="AH224" s="405"/>
      <c r="AI224" s="405"/>
      <c r="AJ224" s="405"/>
      <c r="AK224" s="405"/>
      <c r="AL224" s="405"/>
      <c r="AM224" s="405"/>
      <c r="AN224" s="405"/>
      <c r="AO224" s="405"/>
      <c r="AP224" s="405"/>
      <c r="AQ224" s="405"/>
      <c r="AR224" s="405"/>
      <c r="AS224" s="405"/>
      <c r="AT224" s="405"/>
      <c r="AU224" s="405"/>
      <c r="AV224" s="405"/>
      <c r="AW224" s="405"/>
      <c r="AX224" s="405"/>
      <c r="AY224" s="405"/>
      <c r="AZ224" s="405"/>
      <c r="BA224" s="405"/>
      <c r="BB224" s="405"/>
      <c r="BC224" s="405"/>
      <c r="BD224" s="405"/>
      <c r="BE224" s="405"/>
      <c r="BF224" s="405"/>
      <c r="BG224" s="405"/>
      <c r="BH224" s="405"/>
      <c r="BI224" s="405"/>
      <c r="BJ224" s="405"/>
      <c r="BK224" s="407"/>
      <c r="BL224" s="407"/>
      <c r="BM224" s="407"/>
      <c r="BN224" s="408"/>
      <c r="BO224" s="408"/>
      <c r="BP224" s="408"/>
      <c r="BQ224" s="405"/>
      <c r="BR224" s="405"/>
      <c r="BS224" s="405"/>
      <c r="BT224" s="405"/>
      <c r="BU224" s="405"/>
      <c r="BV224" s="405"/>
      <c r="BW224" s="406"/>
      <c r="BX224" s="406"/>
      <c r="BY224" s="406"/>
      <c r="BZ224" s="405"/>
      <c r="CA224" s="405"/>
      <c r="CB224" s="409"/>
    </row>
    <row r="225" spans="1:80" ht="30" customHeight="1" x14ac:dyDescent="0.2">
      <c r="A225" s="42"/>
      <c r="B225" s="125">
        <v>10</v>
      </c>
      <c r="C225" s="38" t="s">
        <v>304</v>
      </c>
      <c r="D225" s="39"/>
      <c r="E225" s="39"/>
      <c r="F225" s="39"/>
      <c r="G225" s="39"/>
      <c r="H225" s="40"/>
      <c r="I225" s="39"/>
      <c r="J225" s="39"/>
      <c r="K225" s="201"/>
      <c r="L225" s="201"/>
      <c r="M225" s="201"/>
      <c r="N225" s="40"/>
      <c r="O225" s="40"/>
      <c r="P225" s="39"/>
      <c r="Q225" s="39"/>
      <c r="R225" s="412"/>
      <c r="S225" s="412"/>
      <c r="T225" s="412"/>
      <c r="U225" s="412"/>
      <c r="V225" s="412"/>
      <c r="W225" s="412"/>
      <c r="X225" s="412"/>
      <c r="Y225" s="412"/>
      <c r="Z225" s="412"/>
      <c r="AA225" s="412"/>
      <c r="AB225" s="412"/>
      <c r="AC225" s="412"/>
      <c r="AD225" s="412"/>
      <c r="AE225" s="412"/>
      <c r="AF225" s="412"/>
      <c r="AG225" s="412"/>
      <c r="AH225" s="412"/>
      <c r="AI225" s="412"/>
      <c r="AJ225" s="412"/>
      <c r="AK225" s="412"/>
      <c r="AL225" s="412"/>
      <c r="AM225" s="412"/>
      <c r="AN225" s="412"/>
      <c r="AO225" s="412"/>
      <c r="AP225" s="412"/>
      <c r="AQ225" s="412"/>
      <c r="AR225" s="412"/>
      <c r="AS225" s="412"/>
      <c r="AT225" s="412"/>
      <c r="AU225" s="412"/>
      <c r="AV225" s="412"/>
      <c r="AW225" s="412"/>
      <c r="AX225" s="412"/>
      <c r="AY225" s="412"/>
      <c r="AZ225" s="412"/>
      <c r="BA225" s="412"/>
      <c r="BB225" s="412"/>
      <c r="BC225" s="412"/>
      <c r="BD225" s="412"/>
      <c r="BE225" s="412"/>
      <c r="BF225" s="412"/>
      <c r="BG225" s="412"/>
      <c r="BH225" s="412"/>
      <c r="BI225" s="412"/>
      <c r="BJ225" s="412"/>
      <c r="BK225" s="413"/>
      <c r="BL225" s="413"/>
      <c r="BM225" s="413"/>
      <c r="BN225" s="412"/>
      <c r="BO225" s="412"/>
      <c r="BP225" s="412"/>
      <c r="BQ225" s="412"/>
      <c r="BR225" s="412"/>
      <c r="BS225" s="412"/>
      <c r="BT225" s="412"/>
      <c r="BU225" s="412"/>
      <c r="BV225" s="412"/>
      <c r="BW225" s="412"/>
      <c r="BX225" s="412"/>
      <c r="BY225" s="412"/>
      <c r="BZ225" s="417"/>
      <c r="CA225" s="417"/>
      <c r="CB225" s="417"/>
    </row>
    <row r="226" spans="1:80" ht="30" customHeight="1" x14ac:dyDescent="0.2">
      <c r="A226" s="42"/>
      <c r="B226" s="159"/>
      <c r="C226" s="27"/>
      <c r="D226" s="536"/>
      <c r="E226" s="536"/>
      <c r="F226" s="536"/>
      <c r="G226" s="203">
        <v>32</v>
      </c>
      <c r="H226" s="105" t="s">
        <v>305</v>
      </c>
      <c r="I226" s="105"/>
      <c r="J226" s="105"/>
      <c r="K226" s="204"/>
      <c r="L226" s="204"/>
      <c r="M226" s="204"/>
      <c r="N226" s="391"/>
      <c r="O226" s="391"/>
      <c r="P226" s="105"/>
      <c r="Q226" s="105"/>
      <c r="R226" s="418"/>
      <c r="S226" s="418"/>
      <c r="T226" s="418"/>
      <c r="U226" s="418"/>
      <c r="V226" s="418"/>
      <c r="W226" s="418"/>
      <c r="X226" s="418"/>
      <c r="Y226" s="418"/>
      <c r="Z226" s="418"/>
      <c r="AA226" s="418"/>
      <c r="AB226" s="418"/>
      <c r="AC226" s="418"/>
      <c r="AD226" s="418"/>
      <c r="AE226" s="418"/>
      <c r="AF226" s="418"/>
      <c r="AG226" s="418"/>
      <c r="AH226" s="418"/>
      <c r="AI226" s="418"/>
      <c r="AJ226" s="418"/>
      <c r="AK226" s="418"/>
      <c r="AL226" s="418"/>
      <c r="AM226" s="418"/>
      <c r="AN226" s="418"/>
      <c r="AO226" s="418"/>
      <c r="AP226" s="418"/>
      <c r="AQ226" s="418"/>
      <c r="AR226" s="418"/>
      <c r="AS226" s="418"/>
      <c r="AT226" s="418"/>
      <c r="AU226" s="418"/>
      <c r="AV226" s="418"/>
      <c r="AW226" s="418"/>
      <c r="AX226" s="418"/>
      <c r="AY226" s="418"/>
      <c r="AZ226" s="418"/>
      <c r="BA226" s="418"/>
      <c r="BB226" s="418"/>
      <c r="BC226" s="418"/>
      <c r="BD226" s="418"/>
      <c r="BE226" s="418"/>
      <c r="BF226" s="418"/>
      <c r="BG226" s="418"/>
      <c r="BH226" s="418"/>
      <c r="BI226" s="418"/>
      <c r="BJ226" s="418"/>
      <c r="BK226" s="419"/>
      <c r="BL226" s="419"/>
      <c r="BM226" s="419"/>
      <c r="BN226" s="418"/>
      <c r="BO226" s="418"/>
      <c r="BP226" s="418"/>
      <c r="BQ226" s="418"/>
      <c r="BR226" s="418"/>
      <c r="BS226" s="418"/>
      <c r="BT226" s="418"/>
      <c r="BU226" s="418"/>
      <c r="BV226" s="418"/>
      <c r="BW226" s="418"/>
      <c r="BX226" s="418"/>
      <c r="BY226" s="418"/>
      <c r="BZ226" s="420"/>
      <c r="CA226" s="420"/>
      <c r="CB226" s="420"/>
    </row>
    <row r="227" spans="1:80" ht="90" x14ac:dyDescent="0.2">
      <c r="A227" s="42"/>
      <c r="B227" s="205"/>
      <c r="C227" s="702" t="s">
        <v>306</v>
      </c>
      <c r="D227" s="723" t="s">
        <v>307</v>
      </c>
      <c r="E227" s="730" t="s">
        <v>308</v>
      </c>
      <c r="F227" s="702" t="s">
        <v>309</v>
      </c>
      <c r="G227" s="729"/>
      <c r="H227" s="57">
        <v>119</v>
      </c>
      <c r="I227" s="729" t="s">
        <v>310</v>
      </c>
      <c r="J227" s="44">
        <v>10</v>
      </c>
      <c r="K227" s="190">
        <v>9</v>
      </c>
      <c r="L227" s="190">
        <v>4</v>
      </c>
      <c r="M227" s="46">
        <v>2017003630009</v>
      </c>
      <c r="N227" s="44" t="s">
        <v>278</v>
      </c>
      <c r="O227" s="57" t="s">
        <v>311</v>
      </c>
      <c r="P227" s="729" t="s">
        <v>312</v>
      </c>
      <c r="Q227" s="57" t="s">
        <v>67</v>
      </c>
      <c r="R227" s="401">
        <v>0</v>
      </c>
      <c r="S227" s="401"/>
      <c r="T227" s="401"/>
      <c r="U227" s="401">
        <v>0</v>
      </c>
      <c r="V227" s="401"/>
      <c r="W227" s="401"/>
      <c r="X227" s="401">
        <v>0</v>
      </c>
      <c r="Y227" s="401"/>
      <c r="Z227" s="401"/>
      <c r="AA227" s="401">
        <v>0</v>
      </c>
      <c r="AB227" s="401"/>
      <c r="AC227" s="401"/>
      <c r="AD227" s="401">
        <v>0</v>
      </c>
      <c r="AE227" s="401"/>
      <c r="AF227" s="401"/>
      <c r="AG227" s="401">
        <v>0</v>
      </c>
      <c r="AH227" s="401"/>
      <c r="AI227" s="401"/>
      <c r="AJ227" s="401">
        <v>0</v>
      </c>
      <c r="AK227" s="401"/>
      <c r="AL227" s="401"/>
      <c r="AM227" s="401"/>
      <c r="AN227" s="401"/>
      <c r="AO227" s="401"/>
      <c r="AP227" s="401"/>
      <c r="AQ227" s="401"/>
      <c r="AR227" s="401"/>
      <c r="AS227" s="401">
        <v>0</v>
      </c>
      <c r="AT227" s="401"/>
      <c r="AU227" s="401"/>
      <c r="AV227" s="401">
        <v>0</v>
      </c>
      <c r="AW227" s="401"/>
      <c r="AX227" s="401"/>
      <c r="AY227" s="401">
        <v>0</v>
      </c>
      <c r="AZ227" s="401"/>
      <c r="BA227" s="401"/>
      <c r="BB227" s="401">
        <v>0</v>
      </c>
      <c r="BC227" s="401"/>
      <c r="BD227" s="401"/>
      <c r="BE227" s="401">
        <v>0</v>
      </c>
      <c r="BF227" s="401"/>
      <c r="BG227" s="401"/>
      <c r="BH227" s="401">
        <v>0</v>
      </c>
      <c r="BI227" s="401"/>
      <c r="BJ227" s="401"/>
      <c r="BK227" s="402">
        <f>139000000+11000000</f>
        <v>150000000</v>
      </c>
      <c r="BL227" s="402">
        <v>146940000</v>
      </c>
      <c r="BM227" s="402">
        <v>44752000</v>
      </c>
      <c r="BN227" s="415"/>
      <c r="BO227" s="415"/>
      <c r="BP227" s="415"/>
      <c r="BQ227" s="680">
        <f>244500000+156456761-31955400</f>
        <v>369001361</v>
      </c>
      <c r="BR227" s="403"/>
      <c r="BS227" s="403"/>
      <c r="BT227" s="403"/>
      <c r="BU227" s="403"/>
      <c r="BV227" s="403"/>
      <c r="BW227" s="431">
        <v>0</v>
      </c>
      <c r="BX227" s="431"/>
      <c r="BY227" s="431"/>
      <c r="BZ227" s="401">
        <f>R227+U227+X227+AA227+AD227+AG227+AJ227+AM227+AP227+AS227+AV227+AY227+BB227+BE227+BH227+BK227+BN227+BQ227+BT227+BW227</f>
        <v>519001361</v>
      </c>
      <c r="CA227" s="401">
        <f t="shared" ref="CA227:CB227" si="88">S227+V227+Y227+AB227+AE227+AH227+AK227+AN227+AQ227+AT227+AW227+AZ227+BC227+BF227+BI227+BL227+BO227+BR227+BU227+BX227</f>
        <v>146940000</v>
      </c>
      <c r="CB227" s="401">
        <f t="shared" si="88"/>
        <v>44752000</v>
      </c>
    </row>
    <row r="228" spans="1:80" s="2" customFormat="1" ht="30" customHeight="1" x14ac:dyDescent="0.25">
      <c r="A228" s="42"/>
      <c r="B228" s="205"/>
      <c r="C228" s="714"/>
      <c r="D228" s="709"/>
      <c r="E228" s="714"/>
      <c r="F228" s="714"/>
      <c r="G228" s="58"/>
      <c r="H228" s="59"/>
      <c r="I228" s="58"/>
      <c r="J228" s="60"/>
      <c r="K228" s="196"/>
      <c r="L228" s="196"/>
      <c r="M228" s="196"/>
      <c r="N228" s="60"/>
      <c r="O228" s="59"/>
      <c r="P228" s="58"/>
      <c r="Q228" s="59"/>
      <c r="R228" s="410">
        <f t="shared" ref="R228:BY228" si="89">SUM(R227)</f>
        <v>0</v>
      </c>
      <c r="S228" s="410">
        <f t="shared" si="89"/>
        <v>0</v>
      </c>
      <c r="T228" s="410">
        <f t="shared" si="89"/>
        <v>0</v>
      </c>
      <c r="U228" s="410">
        <f t="shared" si="89"/>
        <v>0</v>
      </c>
      <c r="V228" s="410">
        <f t="shared" si="89"/>
        <v>0</v>
      </c>
      <c r="W228" s="410">
        <f t="shared" si="89"/>
        <v>0</v>
      </c>
      <c r="X228" s="410">
        <f t="shared" si="89"/>
        <v>0</v>
      </c>
      <c r="Y228" s="410">
        <f t="shared" si="89"/>
        <v>0</v>
      </c>
      <c r="Z228" s="410">
        <f t="shared" si="89"/>
        <v>0</v>
      </c>
      <c r="AA228" s="410">
        <f t="shared" si="89"/>
        <v>0</v>
      </c>
      <c r="AB228" s="410">
        <f t="shared" si="89"/>
        <v>0</v>
      </c>
      <c r="AC228" s="410">
        <f t="shared" si="89"/>
        <v>0</v>
      </c>
      <c r="AD228" s="410">
        <f t="shared" si="89"/>
        <v>0</v>
      </c>
      <c r="AE228" s="410">
        <f t="shared" si="89"/>
        <v>0</v>
      </c>
      <c r="AF228" s="410">
        <f t="shared" si="89"/>
        <v>0</v>
      </c>
      <c r="AG228" s="410">
        <f t="shared" si="89"/>
        <v>0</v>
      </c>
      <c r="AH228" s="410">
        <f t="shared" si="89"/>
        <v>0</v>
      </c>
      <c r="AI228" s="410">
        <f t="shared" si="89"/>
        <v>0</v>
      </c>
      <c r="AJ228" s="410">
        <f t="shared" si="89"/>
        <v>0</v>
      </c>
      <c r="AK228" s="410">
        <f t="shared" si="89"/>
        <v>0</v>
      </c>
      <c r="AL228" s="410">
        <f t="shared" si="89"/>
        <v>0</v>
      </c>
      <c r="AM228" s="410">
        <f t="shared" si="89"/>
        <v>0</v>
      </c>
      <c r="AN228" s="410">
        <f t="shared" si="89"/>
        <v>0</v>
      </c>
      <c r="AO228" s="410">
        <f t="shared" si="89"/>
        <v>0</v>
      </c>
      <c r="AP228" s="410">
        <f t="shared" si="89"/>
        <v>0</v>
      </c>
      <c r="AQ228" s="410">
        <f t="shared" si="89"/>
        <v>0</v>
      </c>
      <c r="AR228" s="410">
        <f t="shared" si="89"/>
        <v>0</v>
      </c>
      <c r="AS228" s="410">
        <f t="shared" si="89"/>
        <v>0</v>
      </c>
      <c r="AT228" s="410">
        <f t="shared" si="89"/>
        <v>0</v>
      </c>
      <c r="AU228" s="410">
        <f t="shared" si="89"/>
        <v>0</v>
      </c>
      <c r="AV228" s="410">
        <f t="shared" si="89"/>
        <v>0</v>
      </c>
      <c r="AW228" s="410">
        <f t="shared" si="89"/>
        <v>0</v>
      </c>
      <c r="AX228" s="410">
        <f t="shared" si="89"/>
        <v>0</v>
      </c>
      <c r="AY228" s="410">
        <f t="shared" si="89"/>
        <v>0</v>
      </c>
      <c r="AZ228" s="410">
        <f t="shared" si="89"/>
        <v>0</v>
      </c>
      <c r="BA228" s="410">
        <f t="shared" si="89"/>
        <v>0</v>
      </c>
      <c r="BB228" s="410">
        <f t="shared" si="89"/>
        <v>0</v>
      </c>
      <c r="BC228" s="410">
        <f t="shared" si="89"/>
        <v>0</v>
      </c>
      <c r="BD228" s="410">
        <f t="shared" si="89"/>
        <v>0</v>
      </c>
      <c r="BE228" s="410">
        <f t="shared" si="89"/>
        <v>0</v>
      </c>
      <c r="BF228" s="410">
        <f t="shared" si="89"/>
        <v>0</v>
      </c>
      <c r="BG228" s="410">
        <f t="shared" si="89"/>
        <v>0</v>
      </c>
      <c r="BH228" s="410">
        <f t="shared" si="89"/>
        <v>0</v>
      </c>
      <c r="BI228" s="410">
        <f t="shared" si="89"/>
        <v>0</v>
      </c>
      <c r="BJ228" s="410">
        <f t="shared" si="89"/>
        <v>0</v>
      </c>
      <c r="BK228" s="410">
        <f t="shared" si="89"/>
        <v>150000000</v>
      </c>
      <c r="BL228" s="410">
        <f t="shared" si="89"/>
        <v>146940000</v>
      </c>
      <c r="BM228" s="410">
        <f t="shared" si="89"/>
        <v>44752000</v>
      </c>
      <c r="BN228" s="410">
        <f t="shared" si="89"/>
        <v>0</v>
      </c>
      <c r="BO228" s="410">
        <f t="shared" si="89"/>
        <v>0</v>
      </c>
      <c r="BP228" s="410">
        <f t="shared" si="89"/>
        <v>0</v>
      </c>
      <c r="BQ228" s="410">
        <f t="shared" si="89"/>
        <v>369001361</v>
      </c>
      <c r="BR228" s="410">
        <f t="shared" si="89"/>
        <v>0</v>
      </c>
      <c r="BS228" s="410">
        <f t="shared" si="89"/>
        <v>0</v>
      </c>
      <c r="BT228" s="410">
        <f t="shared" si="89"/>
        <v>0</v>
      </c>
      <c r="BU228" s="410">
        <f t="shared" si="89"/>
        <v>0</v>
      </c>
      <c r="BV228" s="410">
        <f t="shared" si="89"/>
        <v>0</v>
      </c>
      <c r="BW228" s="410">
        <f t="shared" si="89"/>
        <v>0</v>
      </c>
      <c r="BX228" s="410">
        <f t="shared" si="89"/>
        <v>0</v>
      </c>
      <c r="BY228" s="410">
        <f t="shared" si="89"/>
        <v>0</v>
      </c>
      <c r="BZ228" s="410">
        <f>SUM(BZ227)</f>
        <v>519001361</v>
      </c>
      <c r="CA228" s="410">
        <f t="shared" ref="CA228:CB228" si="90">SUM(CA227)</f>
        <v>146940000</v>
      </c>
      <c r="CB228" s="410">
        <f t="shared" si="90"/>
        <v>44752000</v>
      </c>
    </row>
    <row r="229" spans="1:80" s="2" customFormat="1" ht="30" customHeight="1" x14ac:dyDescent="0.25">
      <c r="A229" s="42"/>
      <c r="B229" s="205"/>
      <c r="C229" s="192"/>
      <c r="D229" s="193"/>
      <c r="E229" s="194"/>
      <c r="F229" s="194"/>
      <c r="G229" s="72"/>
      <c r="H229" s="150"/>
      <c r="I229" s="72"/>
      <c r="J229" s="73"/>
      <c r="K229" s="197"/>
      <c r="L229" s="206"/>
      <c r="M229" s="206"/>
      <c r="N229" s="119"/>
      <c r="O229" s="400"/>
      <c r="P229" s="101"/>
      <c r="Q229" s="150"/>
      <c r="R229" s="405"/>
      <c r="S229" s="405"/>
      <c r="T229" s="405"/>
      <c r="U229" s="406"/>
      <c r="V229" s="406"/>
      <c r="W229" s="406"/>
      <c r="X229" s="405"/>
      <c r="Y229" s="405"/>
      <c r="Z229" s="405"/>
      <c r="AA229" s="405"/>
      <c r="AB229" s="405"/>
      <c r="AC229" s="405"/>
      <c r="AD229" s="405"/>
      <c r="AE229" s="405"/>
      <c r="AF229" s="405"/>
      <c r="AG229" s="405"/>
      <c r="AH229" s="405"/>
      <c r="AI229" s="405"/>
      <c r="AJ229" s="405"/>
      <c r="AK229" s="405"/>
      <c r="AL229" s="405"/>
      <c r="AM229" s="405"/>
      <c r="AN229" s="405"/>
      <c r="AO229" s="405"/>
      <c r="AP229" s="405"/>
      <c r="AQ229" s="405"/>
      <c r="AR229" s="405"/>
      <c r="AS229" s="405"/>
      <c r="AT229" s="405"/>
      <c r="AU229" s="405"/>
      <c r="AV229" s="405"/>
      <c r="AW229" s="405"/>
      <c r="AX229" s="405"/>
      <c r="AY229" s="405"/>
      <c r="AZ229" s="405"/>
      <c r="BA229" s="405"/>
      <c r="BB229" s="405"/>
      <c r="BC229" s="405"/>
      <c r="BD229" s="405"/>
      <c r="BE229" s="405"/>
      <c r="BF229" s="405"/>
      <c r="BG229" s="405"/>
      <c r="BH229" s="405"/>
      <c r="BI229" s="405"/>
      <c r="BJ229" s="405"/>
      <c r="BK229" s="407"/>
      <c r="BL229" s="407"/>
      <c r="BM229" s="407"/>
      <c r="BN229" s="408"/>
      <c r="BO229" s="408"/>
      <c r="BP229" s="408"/>
      <c r="BQ229" s="405"/>
      <c r="BR229" s="405"/>
      <c r="BS229" s="405"/>
      <c r="BT229" s="405"/>
      <c r="BU229" s="405"/>
      <c r="BV229" s="405"/>
      <c r="BW229" s="406"/>
      <c r="BX229" s="406"/>
      <c r="BY229" s="406"/>
      <c r="BZ229" s="405"/>
      <c r="CA229" s="405"/>
      <c r="CB229" s="409"/>
    </row>
    <row r="230" spans="1:80" s="2" customFormat="1" ht="30" customHeight="1" x14ac:dyDescent="0.25">
      <c r="A230" s="42"/>
      <c r="B230" s="205"/>
      <c r="C230" s="713"/>
      <c r="D230" s="707"/>
      <c r="E230" s="713"/>
      <c r="F230" s="713"/>
      <c r="G230" s="78">
        <v>33</v>
      </c>
      <c r="H230" s="80" t="s">
        <v>313</v>
      </c>
      <c r="I230" s="80"/>
      <c r="J230" s="80"/>
      <c r="K230" s="153"/>
      <c r="L230" s="153"/>
      <c r="M230" s="153"/>
      <c r="N230" s="173"/>
      <c r="O230" s="173"/>
      <c r="P230" s="80"/>
      <c r="Q230" s="80"/>
      <c r="R230" s="267"/>
      <c r="S230" s="267"/>
      <c r="T230" s="267"/>
      <c r="U230" s="267"/>
      <c r="V230" s="267"/>
      <c r="W230" s="267"/>
      <c r="X230" s="267"/>
      <c r="Y230" s="267"/>
      <c r="Z230" s="267"/>
      <c r="AA230" s="267"/>
      <c r="AB230" s="267"/>
      <c r="AC230" s="267"/>
      <c r="AD230" s="267"/>
      <c r="AE230" s="267"/>
      <c r="AF230" s="267"/>
      <c r="AG230" s="267"/>
      <c r="AH230" s="267"/>
      <c r="AI230" s="267"/>
      <c r="AJ230" s="267"/>
      <c r="AK230" s="267"/>
      <c r="AL230" s="267"/>
      <c r="AM230" s="267"/>
      <c r="AN230" s="267"/>
      <c r="AO230" s="267"/>
      <c r="AP230" s="267"/>
      <c r="AQ230" s="267"/>
      <c r="AR230" s="267"/>
      <c r="AS230" s="267"/>
      <c r="AT230" s="267"/>
      <c r="AU230" s="267"/>
      <c r="AV230" s="267"/>
      <c r="AW230" s="267"/>
      <c r="AX230" s="267"/>
      <c r="AY230" s="267"/>
      <c r="AZ230" s="267"/>
      <c r="BA230" s="267"/>
      <c r="BB230" s="267"/>
      <c r="BC230" s="267"/>
      <c r="BD230" s="267"/>
      <c r="BE230" s="267"/>
      <c r="BF230" s="267"/>
      <c r="BG230" s="267"/>
      <c r="BH230" s="267"/>
      <c r="BI230" s="267"/>
      <c r="BJ230" s="267"/>
      <c r="BK230" s="414"/>
      <c r="BL230" s="414"/>
      <c r="BM230" s="414"/>
      <c r="BN230" s="267"/>
      <c r="BO230" s="267"/>
      <c r="BP230" s="267"/>
      <c r="BQ230" s="267"/>
      <c r="BR230" s="267"/>
      <c r="BS230" s="267"/>
      <c r="BT230" s="267"/>
      <c r="BU230" s="267"/>
      <c r="BV230" s="267"/>
      <c r="BW230" s="267"/>
      <c r="BX230" s="267"/>
      <c r="BY230" s="267"/>
      <c r="BZ230" s="269"/>
      <c r="CA230" s="269"/>
      <c r="CB230" s="269"/>
    </row>
    <row r="231" spans="1:80" ht="57.75" customHeight="1" x14ac:dyDescent="0.2">
      <c r="A231" s="42"/>
      <c r="B231" s="205"/>
      <c r="C231" s="883" t="s">
        <v>314</v>
      </c>
      <c r="D231" s="933" t="s">
        <v>315</v>
      </c>
      <c r="E231" s="934" t="s">
        <v>316</v>
      </c>
      <c r="F231" s="883" t="s">
        <v>317</v>
      </c>
      <c r="G231" s="43"/>
      <c r="H231" s="57">
        <v>120</v>
      </c>
      <c r="I231" s="729" t="s">
        <v>318</v>
      </c>
      <c r="J231" s="44">
        <v>0</v>
      </c>
      <c r="K231" s="190">
        <v>3</v>
      </c>
      <c r="L231" s="190">
        <v>2</v>
      </c>
      <c r="M231" s="884">
        <v>2017003630008</v>
      </c>
      <c r="N231" s="895" t="s">
        <v>278</v>
      </c>
      <c r="O231" s="895" t="s">
        <v>319</v>
      </c>
      <c r="P231" s="890" t="s">
        <v>320</v>
      </c>
      <c r="Q231" s="57" t="s">
        <v>67</v>
      </c>
      <c r="R231" s="401">
        <v>0</v>
      </c>
      <c r="S231" s="401"/>
      <c r="T231" s="401"/>
      <c r="U231" s="401">
        <v>0</v>
      </c>
      <c r="V231" s="401"/>
      <c r="W231" s="401"/>
      <c r="X231" s="401">
        <v>0</v>
      </c>
      <c r="Y231" s="401"/>
      <c r="Z231" s="401"/>
      <c r="AA231" s="401">
        <v>0</v>
      </c>
      <c r="AB231" s="401"/>
      <c r="AC231" s="401"/>
      <c r="AD231" s="401">
        <v>0</v>
      </c>
      <c r="AE231" s="401"/>
      <c r="AF231" s="401"/>
      <c r="AG231" s="401">
        <v>0</v>
      </c>
      <c r="AH231" s="401"/>
      <c r="AI231" s="401"/>
      <c r="AJ231" s="401">
        <v>0</v>
      </c>
      <c r="AK231" s="401"/>
      <c r="AL231" s="401"/>
      <c r="AM231" s="401"/>
      <c r="AN231" s="401"/>
      <c r="AO231" s="401"/>
      <c r="AP231" s="401"/>
      <c r="AQ231" s="401"/>
      <c r="AR231" s="401"/>
      <c r="AS231" s="401">
        <v>0</v>
      </c>
      <c r="AT231" s="401"/>
      <c r="AU231" s="401"/>
      <c r="AV231" s="401">
        <v>0</v>
      </c>
      <c r="AW231" s="401"/>
      <c r="AX231" s="401"/>
      <c r="AY231" s="401"/>
      <c r="AZ231" s="401"/>
      <c r="BA231" s="401"/>
      <c r="BB231" s="401"/>
      <c r="BC231" s="401"/>
      <c r="BD231" s="401"/>
      <c r="BE231" s="401">
        <v>0</v>
      </c>
      <c r="BF231" s="401"/>
      <c r="BG231" s="401"/>
      <c r="BH231" s="401">
        <v>0</v>
      </c>
      <c r="BI231" s="401"/>
      <c r="BJ231" s="401"/>
      <c r="BK231" s="402">
        <f>40000000-15770000+450000000</f>
        <v>474230000</v>
      </c>
      <c r="BL231" s="402">
        <v>24229000</v>
      </c>
      <c r="BM231" s="402"/>
      <c r="BN231" s="402"/>
      <c r="BO231" s="402"/>
      <c r="BP231" s="402"/>
      <c r="BQ231" s="401">
        <v>0</v>
      </c>
      <c r="BR231" s="403"/>
      <c r="BS231" s="403"/>
      <c r="BT231" s="403"/>
      <c r="BU231" s="403"/>
      <c r="BV231" s="403"/>
      <c r="BW231" s="403">
        <v>0</v>
      </c>
      <c r="BX231" s="403"/>
      <c r="BY231" s="403"/>
      <c r="BZ231" s="401">
        <f t="shared" ref="BZ231:CB232" si="91">R231+U231+X231+AA231+AD231+AG231+AJ231+AM231+AP231+AS231+AV231+AY231+BB231+BE231+BH231+BK231+BN231+BQ231+BT231+BW231</f>
        <v>474230000</v>
      </c>
      <c r="CA231" s="401">
        <f t="shared" si="91"/>
        <v>24229000</v>
      </c>
      <c r="CB231" s="401">
        <f t="shared" si="91"/>
        <v>0</v>
      </c>
    </row>
    <row r="232" spans="1:80" ht="54" customHeight="1" x14ac:dyDescent="0.2">
      <c r="A232" s="42"/>
      <c r="B232" s="205"/>
      <c r="C232" s="883"/>
      <c r="D232" s="933"/>
      <c r="E232" s="934"/>
      <c r="F232" s="883"/>
      <c r="G232" s="92"/>
      <c r="H232" s="57">
        <v>121</v>
      </c>
      <c r="I232" s="729" t="s">
        <v>321</v>
      </c>
      <c r="J232" s="44">
        <v>9</v>
      </c>
      <c r="K232" s="190">
        <v>4</v>
      </c>
      <c r="L232" s="726">
        <v>3</v>
      </c>
      <c r="M232" s="886"/>
      <c r="N232" s="898"/>
      <c r="O232" s="898"/>
      <c r="P232" s="892"/>
      <c r="Q232" s="57" t="s">
        <v>67</v>
      </c>
      <c r="R232" s="401">
        <v>0</v>
      </c>
      <c r="S232" s="401"/>
      <c r="T232" s="401"/>
      <c r="U232" s="401">
        <v>0</v>
      </c>
      <c r="V232" s="401"/>
      <c r="W232" s="401"/>
      <c r="X232" s="401">
        <v>0</v>
      </c>
      <c r="Y232" s="401"/>
      <c r="Z232" s="401"/>
      <c r="AA232" s="401">
        <v>0</v>
      </c>
      <c r="AB232" s="401"/>
      <c r="AC232" s="401"/>
      <c r="AD232" s="401">
        <v>0</v>
      </c>
      <c r="AE232" s="401"/>
      <c r="AF232" s="401"/>
      <c r="AG232" s="401">
        <v>0</v>
      </c>
      <c r="AH232" s="401"/>
      <c r="AI232" s="401"/>
      <c r="AJ232" s="401">
        <v>0</v>
      </c>
      <c r="AK232" s="401"/>
      <c r="AL232" s="401"/>
      <c r="AM232" s="401"/>
      <c r="AN232" s="401"/>
      <c r="AO232" s="401"/>
      <c r="AP232" s="401"/>
      <c r="AQ232" s="401"/>
      <c r="AR232" s="401"/>
      <c r="AS232" s="401">
        <v>0</v>
      </c>
      <c r="AT232" s="401"/>
      <c r="AU232" s="401"/>
      <c r="AV232" s="401">
        <v>0</v>
      </c>
      <c r="AW232" s="401"/>
      <c r="AX232" s="401"/>
      <c r="AY232" s="401"/>
      <c r="AZ232" s="401"/>
      <c r="BA232" s="401"/>
      <c r="BB232" s="401"/>
      <c r="BC232" s="401"/>
      <c r="BD232" s="401"/>
      <c r="BE232" s="401">
        <v>0</v>
      </c>
      <c r="BF232" s="401"/>
      <c r="BG232" s="401"/>
      <c r="BH232" s="401">
        <v>0</v>
      </c>
      <c r="BI232" s="401"/>
      <c r="BJ232" s="401"/>
      <c r="BK232" s="402">
        <f>40000000+15770000+20000000</f>
        <v>75770000</v>
      </c>
      <c r="BL232" s="402">
        <v>68897000</v>
      </c>
      <c r="BM232" s="402">
        <v>37180000</v>
      </c>
      <c r="BN232" s="402"/>
      <c r="BO232" s="402"/>
      <c r="BP232" s="402"/>
      <c r="BQ232" s="401">
        <v>0</v>
      </c>
      <c r="BR232" s="403"/>
      <c r="BS232" s="403"/>
      <c r="BT232" s="403"/>
      <c r="BU232" s="403"/>
      <c r="BV232" s="403"/>
      <c r="BW232" s="403">
        <v>0</v>
      </c>
      <c r="BX232" s="403"/>
      <c r="BY232" s="403"/>
      <c r="BZ232" s="401">
        <f t="shared" si="91"/>
        <v>75770000</v>
      </c>
      <c r="CA232" s="401">
        <f t="shared" si="91"/>
        <v>68897000</v>
      </c>
      <c r="CB232" s="401">
        <f t="shared" si="91"/>
        <v>37180000</v>
      </c>
    </row>
    <row r="233" spans="1:80" ht="30" customHeight="1" x14ac:dyDescent="0.2">
      <c r="A233" s="42"/>
      <c r="B233" s="207"/>
      <c r="C233" s="714"/>
      <c r="D233" s="709"/>
      <c r="E233" s="714"/>
      <c r="F233" s="714"/>
      <c r="G233" s="58"/>
      <c r="H233" s="59"/>
      <c r="I233" s="58"/>
      <c r="J233" s="60"/>
      <c r="K233" s="191"/>
      <c r="L233" s="191"/>
      <c r="M233" s="191"/>
      <c r="N233" s="59"/>
      <c r="O233" s="59"/>
      <c r="P233" s="58"/>
      <c r="Q233" s="59"/>
      <c r="R233" s="410">
        <f t="shared" ref="R233:BY233" si="92">SUM(R231:R232)</f>
        <v>0</v>
      </c>
      <c r="S233" s="410">
        <f t="shared" si="92"/>
        <v>0</v>
      </c>
      <c r="T233" s="410">
        <f t="shared" si="92"/>
        <v>0</v>
      </c>
      <c r="U233" s="410">
        <f t="shared" si="92"/>
        <v>0</v>
      </c>
      <c r="V233" s="410">
        <f t="shared" si="92"/>
        <v>0</v>
      </c>
      <c r="W233" s="410">
        <f t="shared" si="92"/>
        <v>0</v>
      </c>
      <c r="X233" s="410">
        <f t="shared" si="92"/>
        <v>0</v>
      </c>
      <c r="Y233" s="410">
        <f t="shared" si="92"/>
        <v>0</v>
      </c>
      <c r="Z233" s="410">
        <f t="shared" si="92"/>
        <v>0</v>
      </c>
      <c r="AA233" s="410">
        <f t="shared" si="92"/>
        <v>0</v>
      </c>
      <c r="AB233" s="410">
        <f t="shared" si="92"/>
        <v>0</v>
      </c>
      <c r="AC233" s="410">
        <f t="shared" si="92"/>
        <v>0</v>
      </c>
      <c r="AD233" s="410">
        <f t="shared" si="92"/>
        <v>0</v>
      </c>
      <c r="AE233" s="410">
        <f t="shared" si="92"/>
        <v>0</v>
      </c>
      <c r="AF233" s="410">
        <f t="shared" si="92"/>
        <v>0</v>
      </c>
      <c r="AG233" s="410">
        <f t="shared" si="92"/>
        <v>0</v>
      </c>
      <c r="AH233" s="410">
        <f t="shared" si="92"/>
        <v>0</v>
      </c>
      <c r="AI233" s="410">
        <f t="shared" si="92"/>
        <v>0</v>
      </c>
      <c r="AJ233" s="410">
        <f t="shared" si="92"/>
        <v>0</v>
      </c>
      <c r="AK233" s="410">
        <f t="shared" si="92"/>
        <v>0</v>
      </c>
      <c r="AL233" s="410">
        <f t="shared" si="92"/>
        <v>0</v>
      </c>
      <c r="AM233" s="410">
        <f t="shared" si="92"/>
        <v>0</v>
      </c>
      <c r="AN233" s="410">
        <f t="shared" si="92"/>
        <v>0</v>
      </c>
      <c r="AO233" s="410">
        <f t="shared" si="92"/>
        <v>0</v>
      </c>
      <c r="AP233" s="410">
        <f t="shared" si="92"/>
        <v>0</v>
      </c>
      <c r="AQ233" s="410">
        <f t="shared" si="92"/>
        <v>0</v>
      </c>
      <c r="AR233" s="410">
        <f t="shared" si="92"/>
        <v>0</v>
      </c>
      <c r="AS233" s="410">
        <f t="shared" si="92"/>
        <v>0</v>
      </c>
      <c r="AT233" s="410">
        <f t="shared" si="92"/>
        <v>0</v>
      </c>
      <c r="AU233" s="410">
        <f t="shared" si="92"/>
        <v>0</v>
      </c>
      <c r="AV233" s="410">
        <f t="shared" si="92"/>
        <v>0</v>
      </c>
      <c r="AW233" s="410">
        <f t="shared" si="92"/>
        <v>0</v>
      </c>
      <c r="AX233" s="410">
        <f t="shared" si="92"/>
        <v>0</v>
      </c>
      <c r="AY233" s="410">
        <f t="shared" si="92"/>
        <v>0</v>
      </c>
      <c r="AZ233" s="410">
        <f t="shared" si="92"/>
        <v>0</v>
      </c>
      <c r="BA233" s="410">
        <f t="shared" si="92"/>
        <v>0</v>
      </c>
      <c r="BB233" s="410">
        <f t="shared" si="92"/>
        <v>0</v>
      </c>
      <c r="BC233" s="410">
        <f t="shared" si="92"/>
        <v>0</v>
      </c>
      <c r="BD233" s="410">
        <f t="shared" si="92"/>
        <v>0</v>
      </c>
      <c r="BE233" s="410">
        <f t="shared" si="92"/>
        <v>0</v>
      </c>
      <c r="BF233" s="410">
        <f t="shared" si="92"/>
        <v>0</v>
      </c>
      <c r="BG233" s="410">
        <f t="shared" si="92"/>
        <v>0</v>
      </c>
      <c r="BH233" s="410">
        <f t="shared" si="92"/>
        <v>0</v>
      </c>
      <c r="BI233" s="410">
        <f t="shared" si="92"/>
        <v>0</v>
      </c>
      <c r="BJ233" s="410">
        <f t="shared" si="92"/>
        <v>0</v>
      </c>
      <c r="BK233" s="410">
        <f t="shared" si="92"/>
        <v>550000000</v>
      </c>
      <c r="BL233" s="410">
        <f t="shared" si="92"/>
        <v>93126000</v>
      </c>
      <c r="BM233" s="410">
        <f t="shared" si="92"/>
        <v>37180000</v>
      </c>
      <c r="BN233" s="410">
        <f t="shared" si="92"/>
        <v>0</v>
      </c>
      <c r="BO233" s="410">
        <f t="shared" si="92"/>
        <v>0</v>
      </c>
      <c r="BP233" s="410">
        <f t="shared" si="92"/>
        <v>0</v>
      </c>
      <c r="BQ233" s="410">
        <f t="shared" si="92"/>
        <v>0</v>
      </c>
      <c r="BR233" s="410">
        <f t="shared" si="92"/>
        <v>0</v>
      </c>
      <c r="BS233" s="410">
        <f t="shared" si="92"/>
        <v>0</v>
      </c>
      <c r="BT233" s="410">
        <f t="shared" si="92"/>
        <v>0</v>
      </c>
      <c r="BU233" s="410">
        <f t="shared" si="92"/>
        <v>0</v>
      </c>
      <c r="BV233" s="410">
        <f t="shared" si="92"/>
        <v>0</v>
      </c>
      <c r="BW233" s="410">
        <f t="shared" si="92"/>
        <v>0</v>
      </c>
      <c r="BX233" s="410">
        <f t="shared" si="92"/>
        <v>0</v>
      </c>
      <c r="BY233" s="410">
        <f t="shared" si="92"/>
        <v>0</v>
      </c>
      <c r="BZ233" s="410">
        <f t="shared" ref="BZ233:CB233" si="93">SUM(BZ231:BZ232)</f>
        <v>550000000</v>
      </c>
      <c r="CA233" s="410">
        <f t="shared" si="93"/>
        <v>93126000</v>
      </c>
      <c r="CB233" s="410">
        <f t="shared" si="93"/>
        <v>37180000</v>
      </c>
    </row>
    <row r="234" spans="1:80" ht="30" customHeight="1" x14ac:dyDescent="0.2">
      <c r="A234" s="55"/>
      <c r="B234" s="95"/>
      <c r="C234" s="63"/>
      <c r="D234" s="198"/>
      <c r="E234" s="199"/>
      <c r="F234" s="199"/>
      <c r="G234" s="62"/>
      <c r="H234" s="63"/>
      <c r="I234" s="62"/>
      <c r="J234" s="64"/>
      <c r="K234" s="208"/>
      <c r="L234" s="208"/>
      <c r="M234" s="208"/>
      <c r="N234" s="63"/>
      <c r="O234" s="63"/>
      <c r="P234" s="62"/>
      <c r="Q234" s="63"/>
      <c r="R234" s="416">
        <f t="shared" ref="R234:CB234" si="94">R233+R228</f>
        <v>0</v>
      </c>
      <c r="S234" s="416">
        <f t="shared" si="94"/>
        <v>0</v>
      </c>
      <c r="T234" s="416">
        <f t="shared" si="94"/>
        <v>0</v>
      </c>
      <c r="U234" s="416">
        <f t="shared" si="94"/>
        <v>0</v>
      </c>
      <c r="V234" s="416">
        <f t="shared" si="94"/>
        <v>0</v>
      </c>
      <c r="W234" s="416">
        <f t="shared" si="94"/>
        <v>0</v>
      </c>
      <c r="X234" s="416">
        <f t="shared" si="94"/>
        <v>0</v>
      </c>
      <c r="Y234" s="416">
        <f t="shared" si="94"/>
        <v>0</v>
      </c>
      <c r="Z234" s="416">
        <f t="shared" si="94"/>
        <v>0</v>
      </c>
      <c r="AA234" s="416">
        <f t="shared" si="94"/>
        <v>0</v>
      </c>
      <c r="AB234" s="416">
        <f t="shared" si="94"/>
        <v>0</v>
      </c>
      <c r="AC234" s="416">
        <f t="shared" si="94"/>
        <v>0</v>
      </c>
      <c r="AD234" s="416">
        <f t="shared" si="94"/>
        <v>0</v>
      </c>
      <c r="AE234" s="416">
        <f t="shared" si="94"/>
        <v>0</v>
      </c>
      <c r="AF234" s="416">
        <f t="shared" si="94"/>
        <v>0</v>
      </c>
      <c r="AG234" s="416">
        <f t="shared" si="94"/>
        <v>0</v>
      </c>
      <c r="AH234" s="416">
        <f t="shared" si="94"/>
        <v>0</v>
      </c>
      <c r="AI234" s="416">
        <f t="shared" si="94"/>
        <v>0</v>
      </c>
      <c r="AJ234" s="416">
        <f t="shared" si="94"/>
        <v>0</v>
      </c>
      <c r="AK234" s="416">
        <f t="shared" si="94"/>
        <v>0</v>
      </c>
      <c r="AL234" s="416">
        <f t="shared" si="94"/>
        <v>0</v>
      </c>
      <c r="AM234" s="416">
        <f t="shared" si="94"/>
        <v>0</v>
      </c>
      <c r="AN234" s="416">
        <f t="shared" si="94"/>
        <v>0</v>
      </c>
      <c r="AO234" s="416">
        <f t="shared" si="94"/>
        <v>0</v>
      </c>
      <c r="AP234" s="416">
        <f t="shared" si="94"/>
        <v>0</v>
      </c>
      <c r="AQ234" s="416">
        <f t="shared" si="94"/>
        <v>0</v>
      </c>
      <c r="AR234" s="416">
        <f t="shared" si="94"/>
        <v>0</v>
      </c>
      <c r="AS234" s="416">
        <f t="shared" si="94"/>
        <v>0</v>
      </c>
      <c r="AT234" s="416">
        <f t="shared" si="94"/>
        <v>0</v>
      </c>
      <c r="AU234" s="416">
        <f t="shared" si="94"/>
        <v>0</v>
      </c>
      <c r="AV234" s="416">
        <f t="shared" si="94"/>
        <v>0</v>
      </c>
      <c r="AW234" s="416">
        <f t="shared" si="94"/>
        <v>0</v>
      </c>
      <c r="AX234" s="416">
        <f t="shared" si="94"/>
        <v>0</v>
      </c>
      <c r="AY234" s="416">
        <f t="shared" si="94"/>
        <v>0</v>
      </c>
      <c r="AZ234" s="416">
        <f t="shared" si="94"/>
        <v>0</v>
      </c>
      <c r="BA234" s="416">
        <f t="shared" si="94"/>
        <v>0</v>
      </c>
      <c r="BB234" s="416">
        <f t="shared" si="94"/>
        <v>0</v>
      </c>
      <c r="BC234" s="416">
        <f t="shared" si="94"/>
        <v>0</v>
      </c>
      <c r="BD234" s="416">
        <f t="shared" si="94"/>
        <v>0</v>
      </c>
      <c r="BE234" s="416">
        <f t="shared" si="94"/>
        <v>0</v>
      </c>
      <c r="BF234" s="416">
        <f t="shared" si="94"/>
        <v>0</v>
      </c>
      <c r="BG234" s="416">
        <f t="shared" si="94"/>
        <v>0</v>
      </c>
      <c r="BH234" s="416">
        <f t="shared" si="94"/>
        <v>0</v>
      </c>
      <c r="BI234" s="416">
        <f t="shared" si="94"/>
        <v>0</v>
      </c>
      <c r="BJ234" s="416">
        <f t="shared" si="94"/>
        <v>0</v>
      </c>
      <c r="BK234" s="416">
        <f t="shared" si="94"/>
        <v>700000000</v>
      </c>
      <c r="BL234" s="416">
        <f t="shared" si="94"/>
        <v>240066000</v>
      </c>
      <c r="BM234" s="416">
        <f t="shared" si="94"/>
        <v>81932000</v>
      </c>
      <c r="BN234" s="416">
        <f t="shared" si="94"/>
        <v>0</v>
      </c>
      <c r="BO234" s="416">
        <f t="shared" si="94"/>
        <v>0</v>
      </c>
      <c r="BP234" s="416">
        <f t="shared" si="94"/>
        <v>0</v>
      </c>
      <c r="BQ234" s="416">
        <f t="shared" si="94"/>
        <v>369001361</v>
      </c>
      <c r="BR234" s="416">
        <f t="shared" si="94"/>
        <v>0</v>
      </c>
      <c r="BS234" s="416">
        <f t="shared" si="94"/>
        <v>0</v>
      </c>
      <c r="BT234" s="416">
        <f t="shared" si="94"/>
        <v>0</v>
      </c>
      <c r="BU234" s="416">
        <f t="shared" si="94"/>
        <v>0</v>
      </c>
      <c r="BV234" s="416">
        <f t="shared" si="94"/>
        <v>0</v>
      </c>
      <c r="BW234" s="416">
        <f t="shared" si="94"/>
        <v>0</v>
      </c>
      <c r="BX234" s="416">
        <f t="shared" si="94"/>
        <v>0</v>
      </c>
      <c r="BY234" s="416">
        <f t="shared" si="94"/>
        <v>0</v>
      </c>
      <c r="BZ234" s="416">
        <f t="shared" si="94"/>
        <v>1069001361</v>
      </c>
      <c r="CA234" s="416">
        <f t="shared" si="94"/>
        <v>240066000</v>
      </c>
      <c r="CB234" s="416">
        <f t="shared" si="94"/>
        <v>81932000</v>
      </c>
    </row>
    <row r="235" spans="1:80" ht="30" customHeight="1" x14ac:dyDescent="0.2">
      <c r="A235" s="65"/>
      <c r="B235" s="65"/>
      <c r="C235" s="66"/>
      <c r="D235" s="209"/>
      <c r="E235" s="210"/>
      <c r="F235" s="210"/>
      <c r="G235" s="65"/>
      <c r="H235" s="66"/>
      <c r="I235" s="65"/>
      <c r="J235" s="67"/>
      <c r="K235" s="211"/>
      <c r="L235" s="211"/>
      <c r="M235" s="211"/>
      <c r="N235" s="66"/>
      <c r="O235" s="66"/>
      <c r="P235" s="65"/>
      <c r="Q235" s="66"/>
      <c r="R235" s="422">
        <f t="shared" ref="R235:CB235" si="95">R234+R223</f>
        <v>2963763815</v>
      </c>
      <c r="S235" s="422">
        <f t="shared" si="95"/>
        <v>1136831860</v>
      </c>
      <c r="T235" s="422">
        <f t="shared" si="95"/>
        <v>539928289.38</v>
      </c>
      <c r="U235" s="422">
        <f t="shared" si="95"/>
        <v>0</v>
      </c>
      <c r="V235" s="422">
        <f t="shared" si="95"/>
        <v>0</v>
      </c>
      <c r="W235" s="422">
        <f t="shared" si="95"/>
        <v>0</v>
      </c>
      <c r="X235" s="422">
        <f t="shared" si="95"/>
        <v>0</v>
      </c>
      <c r="Y235" s="422">
        <f t="shared" si="95"/>
        <v>0</v>
      </c>
      <c r="Z235" s="422">
        <f t="shared" si="95"/>
        <v>0</v>
      </c>
      <c r="AA235" s="422">
        <f t="shared" si="95"/>
        <v>0</v>
      </c>
      <c r="AB235" s="422">
        <f t="shared" si="95"/>
        <v>0</v>
      </c>
      <c r="AC235" s="422">
        <f t="shared" si="95"/>
        <v>0</v>
      </c>
      <c r="AD235" s="422">
        <f t="shared" si="95"/>
        <v>0</v>
      </c>
      <c r="AE235" s="422">
        <f t="shared" si="95"/>
        <v>0</v>
      </c>
      <c r="AF235" s="422">
        <f t="shared" si="95"/>
        <v>0</v>
      </c>
      <c r="AG235" s="422">
        <f t="shared" si="95"/>
        <v>0</v>
      </c>
      <c r="AH235" s="422">
        <f t="shared" si="95"/>
        <v>0</v>
      </c>
      <c r="AI235" s="422">
        <f t="shared" si="95"/>
        <v>0</v>
      </c>
      <c r="AJ235" s="422">
        <f t="shared" si="95"/>
        <v>0</v>
      </c>
      <c r="AK235" s="422">
        <f t="shared" si="95"/>
        <v>0</v>
      </c>
      <c r="AL235" s="422">
        <f t="shared" si="95"/>
        <v>0</v>
      </c>
      <c r="AM235" s="422">
        <f t="shared" si="95"/>
        <v>0</v>
      </c>
      <c r="AN235" s="422">
        <f t="shared" si="95"/>
        <v>0</v>
      </c>
      <c r="AO235" s="422">
        <f t="shared" si="95"/>
        <v>0</v>
      </c>
      <c r="AP235" s="422">
        <f t="shared" si="95"/>
        <v>0</v>
      </c>
      <c r="AQ235" s="422">
        <f t="shared" si="95"/>
        <v>0</v>
      </c>
      <c r="AR235" s="422">
        <f t="shared" si="95"/>
        <v>0</v>
      </c>
      <c r="AS235" s="422">
        <f t="shared" si="95"/>
        <v>0</v>
      </c>
      <c r="AT235" s="422">
        <f t="shared" si="95"/>
        <v>0</v>
      </c>
      <c r="AU235" s="422">
        <f t="shared" si="95"/>
        <v>0</v>
      </c>
      <c r="AV235" s="422">
        <f t="shared" si="95"/>
        <v>0</v>
      </c>
      <c r="AW235" s="422">
        <f t="shared" si="95"/>
        <v>0</v>
      </c>
      <c r="AX235" s="422">
        <f t="shared" si="95"/>
        <v>0</v>
      </c>
      <c r="AY235" s="422">
        <f t="shared" si="95"/>
        <v>0</v>
      </c>
      <c r="AZ235" s="422">
        <f t="shared" si="95"/>
        <v>0</v>
      </c>
      <c r="BA235" s="422">
        <f t="shared" si="95"/>
        <v>0</v>
      </c>
      <c r="BB235" s="422">
        <f t="shared" si="95"/>
        <v>0</v>
      </c>
      <c r="BC235" s="422">
        <f t="shared" si="95"/>
        <v>0</v>
      </c>
      <c r="BD235" s="422">
        <f t="shared" si="95"/>
        <v>0</v>
      </c>
      <c r="BE235" s="422">
        <f t="shared" si="95"/>
        <v>0</v>
      </c>
      <c r="BF235" s="422">
        <f t="shared" si="95"/>
        <v>0</v>
      </c>
      <c r="BG235" s="422">
        <f t="shared" si="95"/>
        <v>0</v>
      </c>
      <c r="BH235" s="422">
        <f t="shared" si="95"/>
        <v>0</v>
      </c>
      <c r="BI235" s="422">
        <f t="shared" si="95"/>
        <v>0</v>
      </c>
      <c r="BJ235" s="422">
        <f t="shared" si="95"/>
        <v>0</v>
      </c>
      <c r="BK235" s="422">
        <f t="shared" si="95"/>
        <v>2230000000</v>
      </c>
      <c r="BL235" s="422">
        <f t="shared" si="95"/>
        <v>1667470000</v>
      </c>
      <c r="BM235" s="422">
        <f t="shared" si="95"/>
        <v>720825388</v>
      </c>
      <c r="BN235" s="422">
        <f t="shared" si="95"/>
        <v>0</v>
      </c>
      <c r="BO235" s="422">
        <f t="shared" si="95"/>
        <v>0</v>
      </c>
      <c r="BP235" s="422">
        <f t="shared" si="95"/>
        <v>0</v>
      </c>
      <c r="BQ235" s="422">
        <f t="shared" si="95"/>
        <v>369001361</v>
      </c>
      <c r="BR235" s="422">
        <f t="shared" si="95"/>
        <v>0</v>
      </c>
      <c r="BS235" s="422">
        <f t="shared" si="95"/>
        <v>0</v>
      </c>
      <c r="BT235" s="422">
        <f t="shared" si="95"/>
        <v>0</v>
      </c>
      <c r="BU235" s="422">
        <f t="shared" si="95"/>
        <v>0</v>
      </c>
      <c r="BV235" s="422">
        <f t="shared" si="95"/>
        <v>0</v>
      </c>
      <c r="BW235" s="422">
        <f t="shared" si="95"/>
        <v>0</v>
      </c>
      <c r="BX235" s="422">
        <f t="shared" si="95"/>
        <v>0</v>
      </c>
      <c r="BY235" s="422">
        <f t="shared" si="95"/>
        <v>0</v>
      </c>
      <c r="BZ235" s="422">
        <f t="shared" si="95"/>
        <v>5562765176</v>
      </c>
      <c r="CA235" s="422">
        <f t="shared" si="95"/>
        <v>2804301860</v>
      </c>
      <c r="CB235" s="422">
        <f t="shared" si="95"/>
        <v>1260753677.3800001</v>
      </c>
    </row>
    <row r="236" spans="1:80" ht="30" customHeight="1" x14ac:dyDescent="0.2">
      <c r="A236" s="68"/>
      <c r="B236" s="68"/>
      <c r="C236" s="69"/>
      <c r="D236" s="212"/>
      <c r="E236" s="213"/>
      <c r="F236" s="213"/>
      <c r="G236" s="68"/>
      <c r="H236" s="69"/>
      <c r="I236" s="68"/>
      <c r="J236" s="70"/>
      <c r="K236" s="214"/>
      <c r="L236" s="214"/>
      <c r="M236" s="214"/>
      <c r="N236" s="69"/>
      <c r="O236" s="69"/>
      <c r="P236" s="68"/>
      <c r="Q236" s="69"/>
      <c r="R236" s="423">
        <f t="shared" ref="R236:CB236" si="96">R235</f>
        <v>2963763815</v>
      </c>
      <c r="S236" s="423">
        <f t="shared" si="96"/>
        <v>1136831860</v>
      </c>
      <c r="T236" s="423">
        <f t="shared" si="96"/>
        <v>539928289.38</v>
      </c>
      <c r="U236" s="423">
        <f t="shared" si="96"/>
        <v>0</v>
      </c>
      <c r="V236" s="423">
        <f t="shared" si="96"/>
        <v>0</v>
      </c>
      <c r="W236" s="423">
        <f t="shared" si="96"/>
        <v>0</v>
      </c>
      <c r="X236" s="423">
        <f t="shared" si="96"/>
        <v>0</v>
      </c>
      <c r="Y236" s="423">
        <f t="shared" si="96"/>
        <v>0</v>
      </c>
      <c r="Z236" s="423">
        <f t="shared" si="96"/>
        <v>0</v>
      </c>
      <c r="AA236" s="423">
        <f t="shared" si="96"/>
        <v>0</v>
      </c>
      <c r="AB236" s="423">
        <f t="shared" si="96"/>
        <v>0</v>
      </c>
      <c r="AC236" s="423">
        <f t="shared" si="96"/>
        <v>0</v>
      </c>
      <c r="AD236" s="423">
        <f t="shared" si="96"/>
        <v>0</v>
      </c>
      <c r="AE236" s="423">
        <f t="shared" si="96"/>
        <v>0</v>
      </c>
      <c r="AF236" s="423">
        <f t="shared" si="96"/>
        <v>0</v>
      </c>
      <c r="AG236" s="423">
        <f t="shared" si="96"/>
        <v>0</v>
      </c>
      <c r="AH236" s="423">
        <f t="shared" si="96"/>
        <v>0</v>
      </c>
      <c r="AI236" s="423">
        <f t="shared" si="96"/>
        <v>0</v>
      </c>
      <c r="AJ236" s="423">
        <f t="shared" si="96"/>
        <v>0</v>
      </c>
      <c r="AK236" s="423">
        <f t="shared" si="96"/>
        <v>0</v>
      </c>
      <c r="AL236" s="423">
        <f t="shared" si="96"/>
        <v>0</v>
      </c>
      <c r="AM236" s="423">
        <f t="shared" si="96"/>
        <v>0</v>
      </c>
      <c r="AN236" s="423">
        <f t="shared" si="96"/>
        <v>0</v>
      </c>
      <c r="AO236" s="423">
        <f t="shared" si="96"/>
        <v>0</v>
      </c>
      <c r="AP236" s="423">
        <f t="shared" si="96"/>
        <v>0</v>
      </c>
      <c r="AQ236" s="423">
        <f t="shared" si="96"/>
        <v>0</v>
      </c>
      <c r="AR236" s="423">
        <f t="shared" si="96"/>
        <v>0</v>
      </c>
      <c r="AS236" s="423">
        <f t="shared" si="96"/>
        <v>0</v>
      </c>
      <c r="AT236" s="423">
        <f t="shared" si="96"/>
        <v>0</v>
      </c>
      <c r="AU236" s="423">
        <f t="shared" si="96"/>
        <v>0</v>
      </c>
      <c r="AV236" s="423">
        <f t="shared" si="96"/>
        <v>0</v>
      </c>
      <c r="AW236" s="423">
        <f t="shared" si="96"/>
        <v>0</v>
      </c>
      <c r="AX236" s="423">
        <f t="shared" si="96"/>
        <v>0</v>
      </c>
      <c r="AY236" s="423">
        <f t="shared" si="96"/>
        <v>0</v>
      </c>
      <c r="AZ236" s="423">
        <f t="shared" si="96"/>
        <v>0</v>
      </c>
      <c r="BA236" s="423">
        <f t="shared" si="96"/>
        <v>0</v>
      </c>
      <c r="BB236" s="423">
        <f t="shared" si="96"/>
        <v>0</v>
      </c>
      <c r="BC236" s="423">
        <f t="shared" si="96"/>
        <v>0</v>
      </c>
      <c r="BD236" s="423">
        <f t="shared" si="96"/>
        <v>0</v>
      </c>
      <c r="BE236" s="423">
        <f t="shared" si="96"/>
        <v>0</v>
      </c>
      <c r="BF236" s="423">
        <f t="shared" si="96"/>
        <v>0</v>
      </c>
      <c r="BG236" s="423">
        <f t="shared" si="96"/>
        <v>0</v>
      </c>
      <c r="BH236" s="423">
        <f t="shared" si="96"/>
        <v>0</v>
      </c>
      <c r="BI236" s="423">
        <f t="shared" si="96"/>
        <v>0</v>
      </c>
      <c r="BJ236" s="423">
        <f t="shared" si="96"/>
        <v>0</v>
      </c>
      <c r="BK236" s="423">
        <f t="shared" si="96"/>
        <v>2230000000</v>
      </c>
      <c r="BL236" s="423">
        <f t="shared" si="96"/>
        <v>1667470000</v>
      </c>
      <c r="BM236" s="423">
        <f t="shared" si="96"/>
        <v>720825388</v>
      </c>
      <c r="BN236" s="423">
        <f t="shared" si="96"/>
        <v>0</v>
      </c>
      <c r="BO236" s="423">
        <f t="shared" si="96"/>
        <v>0</v>
      </c>
      <c r="BP236" s="423">
        <f t="shared" si="96"/>
        <v>0</v>
      </c>
      <c r="BQ236" s="423">
        <f t="shared" si="96"/>
        <v>369001361</v>
      </c>
      <c r="BR236" s="423">
        <f t="shared" si="96"/>
        <v>0</v>
      </c>
      <c r="BS236" s="423">
        <f t="shared" si="96"/>
        <v>0</v>
      </c>
      <c r="BT236" s="423">
        <f t="shared" si="96"/>
        <v>0</v>
      </c>
      <c r="BU236" s="423">
        <f t="shared" si="96"/>
        <v>0</v>
      </c>
      <c r="BV236" s="423">
        <f t="shared" si="96"/>
        <v>0</v>
      </c>
      <c r="BW236" s="423">
        <f t="shared" si="96"/>
        <v>0</v>
      </c>
      <c r="BX236" s="423">
        <f t="shared" si="96"/>
        <v>0</v>
      </c>
      <c r="BY236" s="423">
        <f t="shared" si="96"/>
        <v>0</v>
      </c>
      <c r="BZ236" s="423">
        <f t="shared" si="96"/>
        <v>5562765176</v>
      </c>
      <c r="CA236" s="423">
        <f t="shared" si="96"/>
        <v>2804301860</v>
      </c>
      <c r="CB236" s="423">
        <f t="shared" si="96"/>
        <v>1260753677.3800001</v>
      </c>
    </row>
    <row r="237" spans="1:80" ht="30" customHeight="1" x14ac:dyDescent="0.2">
      <c r="A237" s="71"/>
      <c r="B237" s="72"/>
      <c r="C237" s="150"/>
      <c r="D237" s="215"/>
      <c r="E237" s="216"/>
      <c r="F237" s="216"/>
      <c r="G237" s="72"/>
      <c r="H237" s="150"/>
      <c r="I237" s="72"/>
      <c r="J237" s="73"/>
      <c r="K237" s="195"/>
      <c r="L237" s="195"/>
      <c r="M237" s="195"/>
      <c r="N237" s="150"/>
      <c r="O237" s="150"/>
      <c r="P237" s="72"/>
      <c r="Q237" s="150"/>
      <c r="R237" s="405"/>
      <c r="S237" s="405"/>
      <c r="T237" s="405"/>
      <c r="U237" s="406"/>
      <c r="V237" s="406"/>
      <c r="W237" s="406"/>
      <c r="X237" s="405"/>
      <c r="Y237" s="405"/>
      <c r="Z237" s="405"/>
      <c r="AA237" s="405"/>
      <c r="AB237" s="405"/>
      <c r="AC237" s="405"/>
      <c r="AD237" s="405"/>
      <c r="AE237" s="405"/>
      <c r="AF237" s="405"/>
      <c r="AG237" s="405"/>
      <c r="AH237" s="405"/>
      <c r="AI237" s="405"/>
      <c r="AJ237" s="405"/>
      <c r="AK237" s="405"/>
      <c r="AL237" s="405"/>
      <c r="AM237" s="405"/>
      <c r="AN237" s="405"/>
      <c r="AO237" s="405"/>
      <c r="AP237" s="405"/>
      <c r="AQ237" s="405"/>
      <c r="AR237" s="405"/>
      <c r="AS237" s="405"/>
      <c r="AT237" s="405"/>
      <c r="AU237" s="405"/>
      <c r="AV237" s="405"/>
      <c r="AW237" s="405"/>
      <c r="AX237" s="405"/>
      <c r="AY237" s="406"/>
      <c r="AZ237" s="406"/>
      <c r="BA237" s="406"/>
      <c r="BB237" s="406"/>
      <c r="BC237" s="406"/>
      <c r="BD237" s="406"/>
      <c r="BE237" s="405"/>
      <c r="BF237" s="405"/>
      <c r="BG237" s="405"/>
      <c r="BH237" s="405"/>
      <c r="BI237" s="405"/>
      <c r="BJ237" s="405"/>
      <c r="BK237" s="407"/>
      <c r="BL237" s="407"/>
      <c r="BM237" s="407"/>
      <c r="BN237" s="408"/>
      <c r="BO237" s="408"/>
      <c r="BP237" s="408"/>
      <c r="BQ237" s="405"/>
      <c r="BR237" s="405"/>
      <c r="BS237" s="405"/>
      <c r="BT237" s="405"/>
      <c r="BU237" s="405"/>
      <c r="BV237" s="405"/>
      <c r="BW237" s="406"/>
      <c r="BX237" s="406"/>
      <c r="BY237" s="406"/>
      <c r="BZ237" s="405"/>
      <c r="CA237" s="405"/>
      <c r="CB237" s="409"/>
    </row>
    <row r="238" spans="1:80" ht="30" customHeight="1" x14ac:dyDescent="0.2">
      <c r="A238" s="31" t="s">
        <v>322</v>
      </c>
      <c r="B238" s="32"/>
      <c r="C238" s="33"/>
      <c r="D238" s="32"/>
      <c r="E238" s="32"/>
      <c r="F238" s="32"/>
      <c r="G238" s="32"/>
      <c r="H238" s="33"/>
      <c r="I238" s="32"/>
      <c r="J238" s="32"/>
      <c r="K238" s="217"/>
      <c r="L238" s="217"/>
      <c r="M238" s="217"/>
      <c r="N238" s="33"/>
      <c r="O238" s="33"/>
      <c r="P238" s="32"/>
      <c r="Q238" s="33"/>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2"/>
      <c r="AY238" s="472"/>
      <c r="AZ238" s="472"/>
      <c r="BA238" s="472"/>
      <c r="BB238" s="472"/>
      <c r="BC238" s="472"/>
      <c r="BD238" s="472"/>
      <c r="BE238" s="472"/>
      <c r="BF238" s="472"/>
      <c r="BG238" s="472"/>
      <c r="BH238" s="472"/>
      <c r="BI238" s="472"/>
      <c r="BJ238" s="472"/>
      <c r="BK238" s="473"/>
      <c r="BL238" s="473"/>
      <c r="BM238" s="473"/>
      <c r="BN238" s="474"/>
      <c r="BO238" s="474"/>
      <c r="BP238" s="474"/>
      <c r="BQ238" s="472"/>
      <c r="BR238" s="472"/>
      <c r="BS238" s="472"/>
      <c r="BT238" s="472"/>
      <c r="BU238" s="472"/>
      <c r="BV238" s="472"/>
      <c r="BW238" s="472"/>
      <c r="BX238" s="472"/>
      <c r="BY238" s="472"/>
      <c r="BZ238" s="475" t="s">
        <v>69</v>
      </c>
      <c r="CA238" s="475" t="s">
        <v>69</v>
      </c>
      <c r="CB238" s="475" t="s">
        <v>69</v>
      </c>
    </row>
    <row r="239" spans="1:80" ht="30" customHeight="1" x14ac:dyDescent="0.2">
      <c r="A239" s="787">
        <v>2</v>
      </c>
      <c r="B239" s="34" t="s">
        <v>129</v>
      </c>
      <c r="C239" s="35"/>
      <c r="D239" s="34"/>
      <c r="E239" s="34"/>
      <c r="F239" s="34"/>
      <c r="G239" s="34"/>
      <c r="H239" s="35"/>
      <c r="I239" s="34"/>
      <c r="J239" s="34"/>
      <c r="K239" s="218"/>
      <c r="L239" s="218"/>
      <c r="M239" s="218"/>
      <c r="N239" s="35"/>
      <c r="O239" s="35"/>
      <c r="P239" s="34"/>
      <c r="Q239" s="34"/>
      <c r="R239" s="432"/>
      <c r="S239" s="432"/>
      <c r="T239" s="432"/>
      <c r="U239" s="432"/>
      <c r="V239" s="432"/>
      <c r="W239" s="432"/>
      <c r="X239" s="432"/>
      <c r="Y239" s="432"/>
      <c r="Z239" s="432"/>
      <c r="AA239" s="432"/>
      <c r="AB239" s="432"/>
      <c r="AC239" s="432"/>
      <c r="AD239" s="432"/>
      <c r="AE239" s="432"/>
      <c r="AF239" s="432"/>
      <c r="AG239" s="432"/>
      <c r="AH239" s="432"/>
      <c r="AI239" s="432"/>
      <c r="AJ239" s="432"/>
      <c r="AK239" s="432"/>
      <c r="AL239" s="432"/>
      <c r="AM239" s="432"/>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3"/>
      <c r="BL239" s="433"/>
      <c r="BM239" s="433"/>
      <c r="BN239" s="432"/>
      <c r="BO239" s="432"/>
      <c r="BP239" s="432"/>
      <c r="BQ239" s="432"/>
      <c r="BR239" s="432"/>
      <c r="BS239" s="432"/>
      <c r="BT239" s="432"/>
      <c r="BU239" s="432"/>
      <c r="BV239" s="432"/>
      <c r="BW239" s="432"/>
      <c r="BX239" s="432"/>
      <c r="BY239" s="432"/>
      <c r="BZ239" s="434"/>
      <c r="CA239" s="434"/>
      <c r="CB239" s="434"/>
    </row>
    <row r="240" spans="1:80" ht="30" customHeight="1" x14ac:dyDescent="0.2">
      <c r="A240" s="76"/>
      <c r="B240" s="125">
        <v>2</v>
      </c>
      <c r="C240" s="40" t="s">
        <v>323</v>
      </c>
      <c r="D240" s="39"/>
      <c r="E240" s="39"/>
      <c r="F240" s="39"/>
      <c r="G240" s="39"/>
      <c r="H240" s="40"/>
      <c r="I240" s="39"/>
      <c r="J240" s="39"/>
      <c r="K240" s="201"/>
      <c r="L240" s="201"/>
      <c r="M240" s="201"/>
      <c r="N240" s="40"/>
      <c r="O240" s="40"/>
      <c r="P240" s="39"/>
      <c r="Q240" s="39"/>
      <c r="R240" s="412"/>
      <c r="S240" s="412"/>
      <c r="T240" s="412"/>
      <c r="U240" s="412"/>
      <c r="V240" s="412"/>
      <c r="W240" s="412"/>
      <c r="X240" s="412"/>
      <c r="Y240" s="412"/>
      <c r="Z240" s="412"/>
      <c r="AA240" s="412"/>
      <c r="AB240" s="412"/>
      <c r="AC240" s="412"/>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2"/>
      <c r="AY240" s="412"/>
      <c r="AZ240" s="412"/>
      <c r="BA240" s="412"/>
      <c r="BB240" s="412"/>
      <c r="BC240" s="412"/>
      <c r="BD240" s="412"/>
      <c r="BE240" s="412"/>
      <c r="BF240" s="412"/>
      <c r="BG240" s="412"/>
      <c r="BH240" s="412"/>
      <c r="BI240" s="412"/>
      <c r="BJ240" s="412"/>
      <c r="BK240" s="413"/>
      <c r="BL240" s="413"/>
      <c r="BM240" s="413"/>
      <c r="BN240" s="412"/>
      <c r="BO240" s="412"/>
      <c r="BP240" s="412"/>
      <c r="BQ240" s="412"/>
      <c r="BR240" s="412"/>
      <c r="BS240" s="412"/>
      <c r="BT240" s="412"/>
      <c r="BU240" s="412"/>
      <c r="BV240" s="412"/>
      <c r="BW240" s="412"/>
      <c r="BX240" s="412"/>
      <c r="BY240" s="412"/>
      <c r="BZ240" s="417"/>
      <c r="CA240" s="417"/>
      <c r="CB240" s="417"/>
    </row>
    <row r="241" spans="1:80" ht="30" customHeight="1" x14ac:dyDescent="0.2">
      <c r="A241" s="42"/>
      <c r="B241" s="76"/>
      <c r="C241" s="713"/>
      <c r="D241" s="707"/>
      <c r="E241" s="713"/>
      <c r="F241" s="713"/>
      <c r="G241" s="219">
        <v>8</v>
      </c>
      <c r="H241" s="80" t="s">
        <v>324</v>
      </c>
      <c r="I241" s="80"/>
      <c r="J241" s="80"/>
      <c r="K241" s="153"/>
      <c r="L241" s="153"/>
      <c r="M241" s="153"/>
      <c r="N241" s="173"/>
      <c r="O241" s="173"/>
      <c r="P241" s="80"/>
      <c r="Q241" s="80"/>
      <c r="R241" s="267"/>
      <c r="S241" s="267"/>
      <c r="T241" s="267"/>
      <c r="U241" s="267"/>
      <c r="V241" s="267"/>
      <c r="W241" s="267"/>
      <c r="X241" s="267"/>
      <c r="Y241" s="267"/>
      <c r="Z241" s="267"/>
      <c r="AA241" s="267"/>
      <c r="AB241" s="267"/>
      <c r="AC241" s="267"/>
      <c r="AD241" s="267"/>
      <c r="AE241" s="267"/>
      <c r="AF241" s="267"/>
      <c r="AG241" s="267"/>
      <c r="AH241" s="267"/>
      <c r="AI241" s="267"/>
      <c r="AJ241" s="267"/>
      <c r="AK241" s="267"/>
      <c r="AL241" s="267"/>
      <c r="AM241" s="267"/>
      <c r="AN241" s="267"/>
      <c r="AO241" s="267"/>
      <c r="AP241" s="267"/>
      <c r="AQ241" s="267"/>
      <c r="AR241" s="267"/>
      <c r="AS241" s="267"/>
      <c r="AT241" s="267"/>
      <c r="AU241" s="267"/>
      <c r="AV241" s="267"/>
      <c r="AW241" s="267"/>
      <c r="AX241" s="267"/>
      <c r="AY241" s="267"/>
      <c r="AZ241" s="267"/>
      <c r="BA241" s="267"/>
      <c r="BB241" s="267"/>
      <c r="BC241" s="267"/>
      <c r="BD241" s="267"/>
      <c r="BE241" s="267"/>
      <c r="BF241" s="267"/>
      <c r="BG241" s="267"/>
      <c r="BH241" s="267"/>
      <c r="BI241" s="267"/>
      <c r="BJ241" s="267"/>
      <c r="BK241" s="414"/>
      <c r="BL241" s="414"/>
      <c r="BM241" s="414"/>
      <c r="BN241" s="267"/>
      <c r="BO241" s="267"/>
      <c r="BP241" s="267"/>
      <c r="BQ241" s="267"/>
      <c r="BR241" s="267"/>
      <c r="BS241" s="267"/>
      <c r="BT241" s="267"/>
      <c r="BU241" s="267"/>
      <c r="BV241" s="267"/>
      <c r="BW241" s="267"/>
      <c r="BX241" s="267"/>
      <c r="BY241" s="267"/>
      <c r="BZ241" s="269"/>
      <c r="CA241" s="269"/>
      <c r="CB241" s="269"/>
    </row>
    <row r="242" spans="1:80" ht="50.25" customHeight="1" x14ac:dyDescent="0.2">
      <c r="A242" s="42"/>
      <c r="B242" s="42"/>
      <c r="C242" s="714">
        <v>5</v>
      </c>
      <c r="D242" s="709" t="s">
        <v>325</v>
      </c>
      <c r="E242" s="714">
        <v>12.9</v>
      </c>
      <c r="F242" s="714">
        <v>8.9</v>
      </c>
      <c r="G242" s="43"/>
      <c r="H242" s="57">
        <v>38</v>
      </c>
      <c r="I242" s="729" t="s">
        <v>326</v>
      </c>
      <c r="J242" s="57">
        <v>3</v>
      </c>
      <c r="K242" s="169">
        <v>4</v>
      </c>
      <c r="L242" s="169">
        <v>3</v>
      </c>
      <c r="M242" s="884">
        <v>2017003630086</v>
      </c>
      <c r="N242" s="895" t="s">
        <v>327</v>
      </c>
      <c r="O242" s="895" t="s">
        <v>328</v>
      </c>
      <c r="P242" s="890" t="s">
        <v>973</v>
      </c>
      <c r="Q242" s="169" t="s">
        <v>52</v>
      </c>
      <c r="R242" s="401">
        <v>0</v>
      </c>
      <c r="S242" s="401"/>
      <c r="T242" s="401"/>
      <c r="U242" s="401">
        <v>0</v>
      </c>
      <c r="V242" s="401"/>
      <c r="W242" s="401"/>
      <c r="X242" s="401">
        <v>0</v>
      </c>
      <c r="Y242" s="401"/>
      <c r="Z242" s="401"/>
      <c r="AA242" s="401">
        <v>0</v>
      </c>
      <c r="AB242" s="401"/>
      <c r="AC242" s="401"/>
      <c r="AD242" s="401">
        <v>0</v>
      </c>
      <c r="AE242" s="401"/>
      <c r="AF242" s="401"/>
      <c r="AG242" s="401">
        <v>0</v>
      </c>
      <c r="AH242" s="401"/>
      <c r="AI242" s="401"/>
      <c r="AJ242" s="401">
        <v>0</v>
      </c>
      <c r="AK242" s="401"/>
      <c r="AL242" s="401"/>
      <c r="AM242" s="401"/>
      <c r="AN242" s="401"/>
      <c r="AO242" s="401"/>
      <c r="AP242" s="401"/>
      <c r="AQ242" s="401"/>
      <c r="AR242" s="401"/>
      <c r="AS242" s="401">
        <v>0</v>
      </c>
      <c r="AT242" s="401"/>
      <c r="AU242" s="401"/>
      <c r="AV242" s="401">
        <v>0</v>
      </c>
      <c r="AW242" s="401"/>
      <c r="AX242" s="401"/>
      <c r="AY242" s="401"/>
      <c r="AZ242" s="401"/>
      <c r="BA242" s="401"/>
      <c r="BB242" s="401"/>
      <c r="BC242" s="401"/>
      <c r="BD242" s="401"/>
      <c r="BE242" s="401">
        <v>0</v>
      </c>
      <c r="BF242" s="401"/>
      <c r="BG242" s="401"/>
      <c r="BH242" s="401">
        <v>0</v>
      </c>
      <c r="BI242" s="401"/>
      <c r="BJ242" s="401"/>
      <c r="BK242" s="402">
        <f>20000000</f>
        <v>20000000</v>
      </c>
      <c r="BL242" s="402">
        <v>15840000</v>
      </c>
      <c r="BM242" s="402">
        <v>15840000</v>
      </c>
      <c r="BN242" s="402"/>
      <c r="BO242" s="402"/>
      <c r="BP242" s="402"/>
      <c r="BQ242" s="401">
        <v>0</v>
      </c>
      <c r="BR242" s="403"/>
      <c r="BS242" s="403"/>
      <c r="BT242" s="403"/>
      <c r="BU242" s="403"/>
      <c r="BV242" s="403"/>
      <c r="BW242" s="403">
        <v>0</v>
      </c>
      <c r="BX242" s="403"/>
      <c r="BY242" s="403"/>
      <c r="BZ242" s="401">
        <f t="shared" ref="BZ242:CB246" si="97">R242+U242+X242+AA242+AD242+AG242+AJ242+AM242+AP242+AS242+AV242+AY242+BB242+BE242+BH242+BK242+BN242+BQ242+BT242+BW242</f>
        <v>20000000</v>
      </c>
      <c r="CA242" s="401">
        <f t="shared" si="97"/>
        <v>15840000</v>
      </c>
      <c r="CB242" s="401">
        <f t="shared" si="97"/>
        <v>15840000</v>
      </c>
    </row>
    <row r="243" spans="1:80" ht="50.25" customHeight="1" x14ac:dyDescent="0.2">
      <c r="A243" s="42"/>
      <c r="B243" s="42"/>
      <c r="C243" s="727">
        <v>6</v>
      </c>
      <c r="D243" s="729" t="s">
        <v>330</v>
      </c>
      <c r="E243" s="714" t="s">
        <v>331</v>
      </c>
      <c r="F243" s="714" t="s">
        <v>332</v>
      </c>
      <c r="G243" s="49"/>
      <c r="H243" s="57">
        <v>39</v>
      </c>
      <c r="I243" s="43" t="s">
        <v>333</v>
      </c>
      <c r="J243" s="57">
        <v>0</v>
      </c>
      <c r="K243" s="169">
        <v>3</v>
      </c>
      <c r="L243" s="386">
        <v>2.5</v>
      </c>
      <c r="M243" s="886"/>
      <c r="N243" s="898"/>
      <c r="O243" s="898"/>
      <c r="P243" s="892"/>
      <c r="Q243" s="169" t="s">
        <v>52</v>
      </c>
      <c r="R243" s="401"/>
      <c r="S243" s="401"/>
      <c r="T243" s="401"/>
      <c r="U243" s="401"/>
      <c r="V243" s="401"/>
      <c r="W243" s="401"/>
      <c r="X243" s="401"/>
      <c r="Y243" s="401"/>
      <c r="Z243" s="401"/>
      <c r="AA243" s="401"/>
      <c r="AB243" s="401"/>
      <c r="AC243" s="401"/>
      <c r="AD243" s="401"/>
      <c r="AE243" s="401"/>
      <c r="AF243" s="401"/>
      <c r="AG243" s="401"/>
      <c r="AH243" s="401"/>
      <c r="AI243" s="401"/>
      <c r="AJ243" s="401"/>
      <c r="AK243" s="401"/>
      <c r="AL243" s="401"/>
      <c r="AM243" s="401"/>
      <c r="AN243" s="401"/>
      <c r="AO243" s="401"/>
      <c r="AP243" s="401"/>
      <c r="AQ243" s="401"/>
      <c r="AR243" s="401"/>
      <c r="AS243" s="401"/>
      <c r="AT243" s="401"/>
      <c r="AU243" s="401"/>
      <c r="AV243" s="401"/>
      <c r="AW243" s="401"/>
      <c r="AX243" s="401"/>
      <c r="AY243" s="401"/>
      <c r="AZ243" s="401"/>
      <c r="BA243" s="401"/>
      <c r="BB243" s="401"/>
      <c r="BC243" s="401"/>
      <c r="BD243" s="401"/>
      <c r="BE243" s="401"/>
      <c r="BF243" s="401"/>
      <c r="BG243" s="401"/>
      <c r="BH243" s="401"/>
      <c r="BI243" s="401"/>
      <c r="BJ243" s="401"/>
      <c r="BK243" s="402">
        <f>40000000+50000000</f>
        <v>90000000</v>
      </c>
      <c r="BL243" s="402">
        <v>70700000</v>
      </c>
      <c r="BM243" s="402">
        <v>10560000</v>
      </c>
      <c r="BN243" s="402"/>
      <c r="BO243" s="402"/>
      <c r="BP243" s="402"/>
      <c r="BQ243" s="401"/>
      <c r="BR243" s="403"/>
      <c r="BS243" s="403"/>
      <c r="BT243" s="403"/>
      <c r="BU243" s="403"/>
      <c r="BV243" s="403"/>
      <c r="BW243" s="403"/>
      <c r="BX243" s="403"/>
      <c r="BY243" s="403"/>
      <c r="BZ243" s="401">
        <f t="shared" si="97"/>
        <v>90000000</v>
      </c>
      <c r="CA243" s="401">
        <f t="shared" si="97"/>
        <v>70700000</v>
      </c>
      <c r="CB243" s="401">
        <f t="shared" si="97"/>
        <v>10560000</v>
      </c>
    </row>
    <row r="244" spans="1:80" ht="63.75" customHeight="1" x14ac:dyDescent="0.2">
      <c r="A244" s="42"/>
      <c r="B244" s="42"/>
      <c r="C244" s="910">
        <v>5</v>
      </c>
      <c r="D244" s="932" t="s">
        <v>325</v>
      </c>
      <c r="E244" s="895">
        <v>12.9</v>
      </c>
      <c r="F244" s="910">
        <v>8.9</v>
      </c>
      <c r="G244" s="49"/>
      <c r="H244" s="57">
        <v>40</v>
      </c>
      <c r="I244" s="729" t="s">
        <v>334</v>
      </c>
      <c r="J244" s="57">
        <v>0</v>
      </c>
      <c r="K244" s="220">
        <v>0.4</v>
      </c>
      <c r="L244" s="386">
        <v>0.2</v>
      </c>
      <c r="M244" s="884">
        <v>2017003630045</v>
      </c>
      <c r="N244" s="895" t="s">
        <v>327</v>
      </c>
      <c r="O244" s="895" t="s">
        <v>335</v>
      </c>
      <c r="P244" s="890" t="s">
        <v>974</v>
      </c>
      <c r="Q244" s="169" t="s">
        <v>67</v>
      </c>
      <c r="R244" s="401">
        <v>0</v>
      </c>
      <c r="S244" s="401"/>
      <c r="T244" s="401"/>
      <c r="U244" s="401">
        <v>0</v>
      </c>
      <c r="V244" s="401"/>
      <c r="W244" s="401"/>
      <c r="X244" s="401">
        <v>0</v>
      </c>
      <c r="Y244" s="401"/>
      <c r="Z244" s="401"/>
      <c r="AA244" s="401">
        <v>0</v>
      </c>
      <c r="AB244" s="401"/>
      <c r="AC244" s="401"/>
      <c r="AD244" s="401">
        <v>0</v>
      </c>
      <c r="AE244" s="401"/>
      <c r="AF244" s="401"/>
      <c r="AG244" s="401">
        <v>0</v>
      </c>
      <c r="AH244" s="401"/>
      <c r="AI244" s="401"/>
      <c r="AJ244" s="401">
        <v>0</v>
      </c>
      <c r="AK244" s="401"/>
      <c r="AL244" s="401"/>
      <c r="AM244" s="401"/>
      <c r="AN244" s="401"/>
      <c r="AO244" s="401"/>
      <c r="AP244" s="401"/>
      <c r="AQ244" s="401"/>
      <c r="AR244" s="401"/>
      <c r="AS244" s="401">
        <v>0</v>
      </c>
      <c r="AT244" s="401"/>
      <c r="AU244" s="401"/>
      <c r="AV244" s="401">
        <v>0</v>
      </c>
      <c r="AW244" s="401"/>
      <c r="AX244" s="401"/>
      <c r="AY244" s="401"/>
      <c r="AZ244" s="401"/>
      <c r="BA244" s="401"/>
      <c r="BB244" s="401"/>
      <c r="BC244" s="401"/>
      <c r="BD244" s="401"/>
      <c r="BE244" s="401">
        <v>0</v>
      </c>
      <c r="BF244" s="401"/>
      <c r="BG244" s="401"/>
      <c r="BH244" s="401">
        <v>0</v>
      </c>
      <c r="BI244" s="401"/>
      <c r="BJ244" s="401"/>
      <c r="BK244" s="402">
        <f>20000000+33000000</f>
        <v>53000000</v>
      </c>
      <c r="BL244" s="402">
        <v>3200000</v>
      </c>
      <c r="BM244" s="402">
        <v>3200000</v>
      </c>
      <c r="BN244" s="402"/>
      <c r="BO244" s="402"/>
      <c r="BP244" s="402"/>
      <c r="BQ244" s="401">
        <v>0</v>
      </c>
      <c r="BR244" s="403"/>
      <c r="BS244" s="403"/>
      <c r="BT244" s="403"/>
      <c r="BU244" s="403"/>
      <c r="BV244" s="403"/>
      <c r="BW244" s="403">
        <v>0</v>
      </c>
      <c r="BX244" s="403"/>
      <c r="BY244" s="403"/>
      <c r="BZ244" s="401">
        <f t="shared" si="97"/>
        <v>53000000</v>
      </c>
      <c r="CA244" s="401">
        <f t="shared" si="97"/>
        <v>3200000</v>
      </c>
      <c r="CB244" s="401">
        <f t="shared" si="97"/>
        <v>3200000</v>
      </c>
    </row>
    <row r="245" spans="1:80" ht="50.25" customHeight="1" x14ac:dyDescent="0.2">
      <c r="A245" s="42"/>
      <c r="B245" s="42"/>
      <c r="C245" s="911"/>
      <c r="D245" s="890"/>
      <c r="E245" s="883"/>
      <c r="F245" s="911"/>
      <c r="G245" s="49"/>
      <c r="H245" s="57">
        <v>41</v>
      </c>
      <c r="I245" s="729" t="s">
        <v>337</v>
      </c>
      <c r="J245" s="57">
        <v>0</v>
      </c>
      <c r="K245" s="169">
        <v>1</v>
      </c>
      <c r="L245" s="386">
        <v>0.9</v>
      </c>
      <c r="M245" s="885"/>
      <c r="N245" s="883"/>
      <c r="O245" s="883"/>
      <c r="P245" s="891"/>
      <c r="Q245" s="169" t="s">
        <v>52</v>
      </c>
      <c r="R245" s="401">
        <v>0</v>
      </c>
      <c r="S245" s="401"/>
      <c r="T245" s="401"/>
      <c r="U245" s="401">
        <v>0</v>
      </c>
      <c r="V245" s="401"/>
      <c r="W245" s="401"/>
      <c r="X245" s="401">
        <v>0</v>
      </c>
      <c r="Y245" s="401"/>
      <c r="Z245" s="401"/>
      <c r="AA245" s="401">
        <v>0</v>
      </c>
      <c r="AB245" s="401"/>
      <c r="AC245" s="401"/>
      <c r="AD245" s="401">
        <v>0</v>
      </c>
      <c r="AE245" s="401"/>
      <c r="AF245" s="401"/>
      <c r="AG245" s="401">
        <v>0</v>
      </c>
      <c r="AH245" s="401"/>
      <c r="AI245" s="401"/>
      <c r="AJ245" s="401">
        <v>0</v>
      </c>
      <c r="AK245" s="401"/>
      <c r="AL245" s="401"/>
      <c r="AM245" s="401"/>
      <c r="AN245" s="401"/>
      <c r="AO245" s="401"/>
      <c r="AP245" s="401"/>
      <c r="AQ245" s="401"/>
      <c r="AR245" s="401"/>
      <c r="AS245" s="401">
        <v>0</v>
      </c>
      <c r="AT245" s="401"/>
      <c r="AU245" s="401"/>
      <c r="AV245" s="401">
        <v>0</v>
      </c>
      <c r="AW245" s="401"/>
      <c r="AX245" s="401"/>
      <c r="AY245" s="401"/>
      <c r="AZ245" s="401"/>
      <c r="BA245" s="401"/>
      <c r="BB245" s="401"/>
      <c r="BC245" s="401"/>
      <c r="BD245" s="401"/>
      <c r="BE245" s="401">
        <v>0</v>
      </c>
      <c r="BF245" s="401"/>
      <c r="BG245" s="401"/>
      <c r="BH245" s="401">
        <v>0</v>
      </c>
      <c r="BI245" s="401"/>
      <c r="BJ245" s="401"/>
      <c r="BK245" s="402">
        <v>25000000</v>
      </c>
      <c r="BL245" s="402">
        <v>23760000</v>
      </c>
      <c r="BM245" s="402">
        <v>23760000</v>
      </c>
      <c r="BN245" s="402"/>
      <c r="BO245" s="402"/>
      <c r="BP245" s="402"/>
      <c r="BQ245" s="401">
        <v>0</v>
      </c>
      <c r="BR245" s="403"/>
      <c r="BS245" s="403"/>
      <c r="BT245" s="403"/>
      <c r="BU245" s="403"/>
      <c r="BV245" s="403"/>
      <c r="BW245" s="403">
        <v>0</v>
      </c>
      <c r="BX245" s="403"/>
      <c r="BY245" s="403"/>
      <c r="BZ245" s="401">
        <f t="shared" si="97"/>
        <v>25000000</v>
      </c>
      <c r="CA245" s="401">
        <f t="shared" si="97"/>
        <v>23760000</v>
      </c>
      <c r="CB245" s="401">
        <f t="shared" si="97"/>
        <v>23760000</v>
      </c>
    </row>
    <row r="246" spans="1:80" ht="50.25" customHeight="1" x14ac:dyDescent="0.2">
      <c r="A246" s="42"/>
      <c r="B246" s="42"/>
      <c r="C246" s="539">
        <v>6</v>
      </c>
      <c r="D246" s="540" t="s">
        <v>330</v>
      </c>
      <c r="E246" s="539" t="s">
        <v>331</v>
      </c>
      <c r="F246" s="539" t="s">
        <v>332</v>
      </c>
      <c r="G246" s="92"/>
      <c r="H246" s="57">
        <v>42</v>
      </c>
      <c r="I246" s="729" t="s">
        <v>338</v>
      </c>
      <c r="J246" s="57">
        <v>1</v>
      </c>
      <c r="K246" s="169">
        <v>1</v>
      </c>
      <c r="L246" s="386">
        <v>0.5</v>
      </c>
      <c r="M246" s="886"/>
      <c r="N246" s="898"/>
      <c r="O246" s="898"/>
      <c r="P246" s="892"/>
      <c r="Q246" s="169" t="s">
        <v>52</v>
      </c>
      <c r="R246" s="401">
        <v>0</v>
      </c>
      <c r="S246" s="401"/>
      <c r="T246" s="401"/>
      <c r="U246" s="401">
        <v>0</v>
      </c>
      <c r="V246" s="401"/>
      <c r="W246" s="401"/>
      <c r="X246" s="401">
        <v>0</v>
      </c>
      <c r="Y246" s="401"/>
      <c r="Z246" s="401"/>
      <c r="AA246" s="401">
        <v>0</v>
      </c>
      <c r="AB246" s="401"/>
      <c r="AC246" s="401"/>
      <c r="AD246" s="401">
        <v>0</v>
      </c>
      <c r="AE246" s="401"/>
      <c r="AF246" s="401"/>
      <c r="AG246" s="401">
        <v>0</v>
      </c>
      <c r="AH246" s="401"/>
      <c r="AI246" s="401"/>
      <c r="AJ246" s="401">
        <v>0</v>
      </c>
      <c r="AK246" s="401"/>
      <c r="AL246" s="401"/>
      <c r="AM246" s="401"/>
      <c r="AN246" s="401"/>
      <c r="AO246" s="401"/>
      <c r="AP246" s="401"/>
      <c r="AQ246" s="401"/>
      <c r="AR246" s="401"/>
      <c r="AS246" s="401">
        <v>0</v>
      </c>
      <c r="AT246" s="401"/>
      <c r="AU246" s="401"/>
      <c r="AV246" s="401">
        <v>0</v>
      </c>
      <c r="AW246" s="401"/>
      <c r="AX246" s="401"/>
      <c r="AY246" s="401"/>
      <c r="AZ246" s="401"/>
      <c r="BA246" s="401"/>
      <c r="BB246" s="401"/>
      <c r="BC246" s="401"/>
      <c r="BD246" s="401"/>
      <c r="BE246" s="401">
        <v>0</v>
      </c>
      <c r="BF246" s="401"/>
      <c r="BG246" s="401"/>
      <c r="BH246" s="401">
        <v>0</v>
      </c>
      <c r="BI246" s="401"/>
      <c r="BJ246" s="401"/>
      <c r="BK246" s="402">
        <f>35000000+70000000</f>
        <v>105000000</v>
      </c>
      <c r="BL246" s="402">
        <v>21120000</v>
      </c>
      <c r="BM246" s="402">
        <v>15840000</v>
      </c>
      <c r="BN246" s="402"/>
      <c r="BO246" s="402"/>
      <c r="BP246" s="402"/>
      <c r="BQ246" s="401">
        <v>0</v>
      </c>
      <c r="BR246" s="401"/>
      <c r="BS246" s="401"/>
      <c r="BT246" s="401"/>
      <c r="BU246" s="401"/>
      <c r="BV246" s="401"/>
      <c r="BW246" s="401">
        <v>0</v>
      </c>
      <c r="BX246" s="401"/>
      <c r="BY246" s="401"/>
      <c r="BZ246" s="401">
        <f t="shared" si="97"/>
        <v>105000000</v>
      </c>
      <c r="CA246" s="401">
        <f t="shared" si="97"/>
        <v>21120000</v>
      </c>
      <c r="CB246" s="401">
        <f t="shared" si="97"/>
        <v>15840000</v>
      </c>
    </row>
    <row r="247" spans="1:80" ht="30" customHeight="1" x14ac:dyDescent="0.2">
      <c r="A247" s="42"/>
      <c r="B247" s="42"/>
      <c r="C247" s="714"/>
      <c r="D247" s="709"/>
      <c r="E247" s="714"/>
      <c r="F247" s="714"/>
      <c r="G247" s="58"/>
      <c r="H247" s="59"/>
      <c r="I247" s="58"/>
      <c r="J247" s="59"/>
      <c r="K247" s="191"/>
      <c r="L247" s="222"/>
      <c r="M247" s="191"/>
      <c r="N247" s="59"/>
      <c r="O247" s="59"/>
      <c r="P247" s="58"/>
      <c r="Q247" s="59"/>
      <c r="R247" s="410">
        <f t="shared" ref="R247:BY247" si="98">SUM(R242:R246)</f>
        <v>0</v>
      </c>
      <c r="S247" s="410">
        <f t="shared" si="98"/>
        <v>0</v>
      </c>
      <c r="T247" s="410">
        <f t="shared" si="98"/>
        <v>0</v>
      </c>
      <c r="U247" s="410">
        <f t="shared" si="98"/>
        <v>0</v>
      </c>
      <c r="V247" s="410">
        <f t="shared" si="98"/>
        <v>0</v>
      </c>
      <c r="W247" s="410">
        <f t="shared" si="98"/>
        <v>0</v>
      </c>
      <c r="X247" s="410">
        <f t="shared" si="98"/>
        <v>0</v>
      </c>
      <c r="Y247" s="410">
        <f t="shared" si="98"/>
        <v>0</v>
      </c>
      <c r="Z247" s="410">
        <f t="shared" si="98"/>
        <v>0</v>
      </c>
      <c r="AA247" s="410">
        <f t="shared" si="98"/>
        <v>0</v>
      </c>
      <c r="AB247" s="410">
        <f t="shared" si="98"/>
        <v>0</v>
      </c>
      <c r="AC247" s="410">
        <f t="shared" si="98"/>
        <v>0</v>
      </c>
      <c r="AD247" s="410">
        <f t="shared" si="98"/>
        <v>0</v>
      </c>
      <c r="AE247" s="410">
        <f t="shared" si="98"/>
        <v>0</v>
      </c>
      <c r="AF247" s="410">
        <f t="shared" si="98"/>
        <v>0</v>
      </c>
      <c r="AG247" s="410">
        <f t="shared" si="98"/>
        <v>0</v>
      </c>
      <c r="AH247" s="410">
        <f t="shared" si="98"/>
        <v>0</v>
      </c>
      <c r="AI247" s="410">
        <f t="shared" si="98"/>
        <v>0</v>
      </c>
      <c r="AJ247" s="410">
        <f t="shared" si="98"/>
        <v>0</v>
      </c>
      <c r="AK247" s="410">
        <f t="shared" si="98"/>
        <v>0</v>
      </c>
      <c r="AL247" s="410">
        <f t="shared" si="98"/>
        <v>0</v>
      </c>
      <c r="AM247" s="410">
        <f t="shared" si="98"/>
        <v>0</v>
      </c>
      <c r="AN247" s="410">
        <f t="shared" si="98"/>
        <v>0</v>
      </c>
      <c r="AO247" s="410">
        <f t="shared" si="98"/>
        <v>0</v>
      </c>
      <c r="AP247" s="410">
        <f t="shared" si="98"/>
        <v>0</v>
      </c>
      <c r="AQ247" s="410">
        <f t="shared" si="98"/>
        <v>0</v>
      </c>
      <c r="AR247" s="410">
        <f t="shared" si="98"/>
        <v>0</v>
      </c>
      <c r="AS247" s="410">
        <f t="shared" si="98"/>
        <v>0</v>
      </c>
      <c r="AT247" s="410">
        <f t="shared" si="98"/>
        <v>0</v>
      </c>
      <c r="AU247" s="410">
        <f t="shared" si="98"/>
        <v>0</v>
      </c>
      <c r="AV247" s="410">
        <f t="shared" si="98"/>
        <v>0</v>
      </c>
      <c r="AW247" s="410">
        <f t="shared" si="98"/>
        <v>0</v>
      </c>
      <c r="AX247" s="410">
        <f t="shared" si="98"/>
        <v>0</v>
      </c>
      <c r="AY247" s="410">
        <f t="shared" si="98"/>
        <v>0</v>
      </c>
      <c r="AZ247" s="410">
        <f t="shared" si="98"/>
        <v>0</v>
      </c>
      <c r="BA247" s="410">
        <f t="shared" si="98"/>
        <v>0</v>
      </c>
      <c r="BB247" s="410">
        <f t="shared" si="98"/>
        <v>0</v>
      </c>
      <c r="BC247" s="410">
        <f t="shared" si="98"/>
        <v>0</v>
      </c>
      <c r="BD247" s="410">
        <f t="shared" si="98"/>
        <v>0</v>
      </c>
      <c r="BE247" s="410">
        <f t="shared" si="98"/>
        <v>0</v>
      </c>
      <c r="BF247" s="410">
        <f t="shared" si="98"/>
        <v>0</v>
      </c>
      <c r="BG247" s="410">
        <f t="shared" si="98"/>
        <v>0</v>
      </c>
      <c r="BH247" s="410">
        <f t="shared" si="98"/>
        <v>0</v>
      </c>
      <c r="BI247" s="410">
        <f t="shared" si="98"/>
        <v>0</v>
      </c>
      <c r="BJ247" s="410">
        <f t="shared" si="98"/>
        <v>0</v>
      </c>
      <c r="BK247" s="410">
        <f t="shared" si="98"/>
        <v>293000000</v>
      </c>
      <c r="BL247" s="410">
        <f t="shared" si="98"/>
        <v>134620000</v>
      </c>
      <c r="BM247" s="410">
        <f t="shared" si="98"/>
        <v>69200000</v>
      </c>
      <c r="BN247" s="410">
        <f t="shared" si="98"/>
        <v>0</v>
      </c>
      <c r="BO247" s="410">
        <f t="shared" si="98"/>
        <v>0</v>
      </c>
      <c r="BP247" s="410">
        <f t="shared" si="98"/>
        <v>0</v>
      </c>
      <c r="BQ247" s="410">
        <f t="shared" si="98"/>
        <v>0</v>
      </c>
      <c r="BR247" s="410">
        <f t="shared" si="98"/>
        <v>0</v>
      </c>
      <c r="BS247" s="410">
        <f t="shared" si="98"/>
        <v>0</v>
      </c>
      <c r="BT247" s="410">
        <f t="shared" si="98"/>
        <v>0</v>
      </c>
      <c r="BU247" s="410">
        <f t="shared" si="98"/>
        <v>0</v>
      </c>
      <c r="BV247" s="410">
        <f t="shared" si="98"/>
        <v>0</v>
      </c>
      <c r="BW247" s="410">
        <f t="shared" si="98"/>
        <v>0</v>
      </c>
      <c r="BX247" s="410">
        <f t="shared" si="98"/>
        <v>0</v>
      </c>
      <c r="BY247" s="410">
        <f t="shared" si="98"/>
        <v>0</v>
      </c>
      <c r="BZ247" s="410">
        <f>SUM(BZ242:BZ246)</f>
        <v>293000000</v>
      </c>
      <c r="CA247" s="410">
        <f t="shared" ref="CA247:CB247" si="99">SUM(CA242:CA246)</f>
        <v>134620000</v>
      </c>
      <c r="CB247" s="410">
        <f t="shared" si="99"/>
        <v>69200000</v>
      </c>
    </row>
    <row r="248" spans="1:80" ht="30" customHeight="1" x14ac:dyDescent="0.2">
      <c r="A248" s="42"/>
      <c r="B248" s="42"/>
      <c r="C248" s="137"/>
      <c r="D248" s="72"/>
      <c r="E248" s="150"/>
      <c r="F248" s="150"/>
      <c r="G248" s="72"/>
      <c r="H248" s="150"/>
      <c r="I248" s="72"/>
      <c r="J248" s="150"/>
      <c r="K248" s="223"/>
      <c r="L248" s="223"/>
      <c r="M248" s="223"/>
      <c r="N248" s="150"/>
      <c r="O248" s="150"/>
      <c r="P248" s="72"/>
      <c r="Q248" s="150"/>
      <c r="R248" s="405"/>
      <c r="S248" s="405"/>
      <c r="T248" s="405"/>
      <c r="U248" s="406"/>
      <c r="V248" s="406"/>
      <c r="W248" s="406"/>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05"/>
      <c r="AY248" s="405"/>
      <c r="AZ248" s="405"/>
      <c r="BA248" s="405"/>
      <c r="BB248" s="405"/>
      <c r="BC248" s="405"/>
      <c r="BD248" s="405"/>
      <c r="BE248" s="405"/>
      <c r="BF248" s="405"/>
      <c r="BG248" s="405"/>
      <c r="BH248" s="405"/>
      <c r="BI248" s="405"/>
      <c r="BJ248" s="405"/>
      <c r="BK248" s="407"/>
      <c r="BL248" s="407"/>
      <c r="BM248" s="407"/>
      <c r="BN248" s="408"/>
      <c r="BO248" s="408"/>
      <c r="BP248" s="408"/>
      <c r="BQ248" s="405"/>
      <c r="BR248" s="405"/>
      <c r="BS248" s="405"/>
      <c r="BT248" s="405"/>
      <c r="BU248" s="405"/>
      <c r="BV248" s="405"/>
      <c r="BW248" s="405"/>
      <c r="BX248" s="405"/>
      <c r="BY248" s="405"/>
      <c r="BZ248" s="405"/>
      <c r="CA248" s="405"/>
      <c r="CB248" s="409"/>
    </row>
    <row r="249" spans="1:80" ht="30" customHeight="1" x14ac:dyDescent="0.2">
      <c r="A249" s="42"/>
      <c r="B249" s="42"/>
      <c r="C249" s="713"/>
      <c r="D249" s="707"/>
      <c r="E249" s="713"/>
      <c r="F249" s="713"/>
      <c r="G249" s="140">
        <v>9</v>
      </c>
      <c r="H249" s="172" t="s">
        <v>339</v>
      </c>
      <c r="I249" s="80"/>
      <c r="J249" s="80"/>
      <c r="K249" s="221"/>
      <c r="L249" s="221"/>
      <c r="M249" s="221"/>
      <c r="N249" s="173"/>
      <c r="O249" s="173"/>
      <c r="P249" s="80"/>
      <c r="Q249" s="80"/>
      <c r="R249" s="267"/>
      <c r="S249" s="267"/>
      <c r="T249" s="267"/>
      <c r="U249" s="267"/>
      <c r="V249" s="267"/>
      <c r="W249" s="267"/>
      <c r="X249" s="267"/>
      <c r="Y249" s="267"/>
      <c r="Z249" s="267"/>
      <c r="AA249" s="267"/>
      <c r="AB249" s="267"/>
      <c r="AC249" s="267"/>
      <c r="AD249" s="267"/>
      <c r="AE249" s="267"/>
      <c r="AF249" s="267"/>
      <c r="AG249" s="267"/>
      <c r="AH249" s="267"/>
      <c r="AI249" s="267"/>
      <c r="AJ249" s="267"/>
      <c r="AK249" s="267"/>
      <c r="AL249" s="267"/>
      <c r="AM249" s="267"/>
      <c r="AN249" s="267"/>
      <c r="AO249" s="267"/>
      <c r="AP249" s="267"/>
      <c r="AQ249" s="267"/>
      <c r="AR249" s="267"/>
      <c r="AS249" s="267"/>
      <c r="AT249" s="267"/>
      <c r="AU249" s="267"/>
      <c r="AV249" s="267"/>
      <c r="AW249" s="267"/>
      <c r="AX249" s="267"/>
      <c r="AY249" s="267"/>
      <c r="AZ249" s="267"/>
      <c r="BA249" s="267"/>
      <c r="BB249" s="267"/>
      <c r="BC249" s="267"/>
      <c r="BD249" s="267"/>
      <c r="BE249" s="267"/>
      <c r="BF249" s="267"/>
      <c r="BG249" s="267"/>
      <c r="BH249" s="267"/>
      <c r="BI249" s="267"/>
      <c r="BJ249" s="267"/>
      <c r="BK249" s="414"/>
      <c r="BL249" s="414"/>
      <c r="BM249" s="414"/>
      <c r="BN249" s="267"/>
      <c r="BO249" s="267"/>
      <c r="BP249" s="267"/>
      <c r="BQ249" s="267"/>
      <c r="BR249" s="267"/>
      <c r="BS249" s="267"/>
      <c r="BT249" s="267"/>
      <c r="BU249" s="267"/>
      <c r="BV249" s="267"/>
      <c r="BW249" s="267"/>
      <c r="BX249" s="267"/>
      <c r="BY249" s="267"/>
      <c r="BZ249" s="269"/>
      <c r="CA249" s="269"/>
      <c r="CB249" s="269"/>
    </row>
    <row r="250" spans="1:80" ht="56.25" customHeight="1" x14ac:dyDescent="0.2">
      <c r="A250" s="42"/>
      <c r="B250" s="42"/>
      <c r="C250" s="714">
        <v>5</v>
      </c>
      <c r="D250" s="709" t="s">
        <v>325</v>
      </c>
      <c r="E250" s="714">
        <v>12.9</v>
      </c>
      <c r="F250" s="714">
        <v>8.9</v>
      </c>
      <c r="G250" s="895">
        <v>0</v>
      </c>
      <c r="H250" s="57">
        <v>43</v>
      </c>
      <c r="I250" s="729" t="s">
        <v>340</v>
      </c>
      <c r="J250" s="57" t="s">
        <v>43</v>
      </c>
      <c r="K250" s="169">
        <v>3</v>
      </c>
      <c r="L250" s="386">
        <v>2.5</v>
      </c>
      <c r="M250" s="884">
        <v>2017003630089</v>
      </c>
      <c r="N250" s="895" t="s">
        <v>327</v>
      </c>
      <c r="O250" s="895" t="s">
        <v>341</v>
      </c>
      <c r="P250" s="890" t="s">
        <v>975</v>
      </c>
      <c r="Q250" s="57" t="s">
        <v>67</v>
      </c>
      <c r="R250" s="401">
        <v>0</v>
      </c>
      <c r="S250" s="401"/>
      <c r="T250" s="401"/>
      <c r="U250" s="401">
        <v>0</v>
      </c>
      <c r="V250" s="401"/>
      <c r="W250" s="401"/>
      <c r="X250" s="401">
        <v>0</v>
      </c>
      <c r="Y250" s="401"/>
      <c r="Z250" s="401"/>
      <c r="AA250" s="401">
        <v>0</v>
      </c>
      <c r="AB250" s="401"/>
      <c r="AC250" s="401"/>
      <c r="AD250" s="401">
        <v>0</v>
      </c>
      <c r="AE250" s="401"/>
      <c r="AF250" s="401"/>
      <c r="AG250" s="401">
        <v>0</v>
      </c>
      <c r="AH250" s="401"/>
      <c r="AI250" s="401"/>
      <c r="AJ250" s="401">
        <v>0</v>
      </c>
      <c r="AK250" s="401"/>
      <c r="AL250" s="401"/>
      <c r="AM250" s="401"/>
      <c r="AN250" s="401"/>
      <c r="AO250" s="401"/>
      <c r="AP250" s="401"/>
      <c r="AQ250" s="401"/>
      <c r="AR250" s="401"/>
      <c r="AS250" s="401">
        <v>0</v>
      </c>
      <c r="AT250" s="401"/>
      <c r="AU250" s="401"/>
      <c r="AV250" s="401">
        <v>0</v>
      </c>
      <c r="AW250" s="401"/>
      <c r="AX250" s="401"/>
      <c r="AY250" s="401"/>
      <c r="AZ250" s="401"/>
      <c r="BA250" s="401"/>
      <c r="BB250" s="401"/>
      <c r="BC250" s="401"/>
      <c r="BD250" s="401"/>
      <c r="BE250" s="401">
        <v>0</v>
      </c>
      <c r="BF250" s="401"/>
      <c r="BG250" s="401"/>
      <c r="BH250" s="401">
        <v>0</v>
      </c>
      <c r="BI250" s="401"/>
      <c r="BJ250" s="401"/>
      <c r="BK250" s="402">
        <f>29000000</f>
        <v>29000000</v>
      </c>
      <c r="BL250" s="402">
        <v>27480000</v>
      </c>
      <c r="BM250" s="402">
        <v>18840000</v>
      </c>
      <c r="BN250" s="402"/>
      <c r="BO250" s="402"/>
      <c r="BP250" s="402"/>
      <c r="BQ250" s="401">
        <v>0</v>
      </c>
      <c r="BR250" s="403"/>
      <c r="BS250" s="403"/>
      <c r="BT250" s="403"/>
      <c r="BU250" s="403"/>
      <c r="BV250" s="403"/>
      <c r="BW250" s="403">
        <v>0</v>
      </c>
      <c r="BX250" s="403"/>
      <c r="BY250" s="403"/>
      <c r="BZ250" s="665">
        <f t="shared" ref="BZ250:CB253" si="100">R250+U250+X250+AA250+AD250+AG250+AJ250+AM250+AP250+AS250+AV250+AY250+BB250+BE250+BH250+BK250+BN250+BQ250+BT250+BW250</f>
        <v>29000000</v>
      </c>
      <c r="CA250" s="401">
        <f t="shared" si="100"/>
        <v>27480000</v>
      </c>
      <c r="CB250" s="401">
        <f t="shared" si="100"/>
        <v>18840000</v>
      </c>
    </row>
    <row r="251" spans="1:80" ht="78.75" customHeight="1" x14ac:dyDescent="0.2">
      <c r="A251" s="42"/>
      <c r="B251" s="42"/>
      <c r="C251" s="720">
        <v>6</v>
      </c>
      <c r="D251" s="708" t="s">
        <v>343</v>
      </c>
      <c r="E251" s="702" t="s">
        <v>331</v>
      </c>
      <c r="F251" s="702" t="s">
        <v>332</v>
      </c>
      <c r="G251" s="883"/>
      <c r="H251" s="57">
        <v>44</v>
      </c>
      <c r="I251" s="729" t="s">
        <v>344</v>
      </c>
      <c r="J251" s="57">
        <v>0</v>
      </c>
      <c r="K251" s="169">
        <v>1</v>
      </c>
      <c r="L251" s="386">
        <v>0.8</v>
      </c>
      <c r="M251" s="885"/>
      <c r="N251" s="883"/>
      <c r="O251" s="883"/>
      <c r="P251" s="891"/>
      <c r="Q251" s="57" t="s">
        <v>52</v>
      </c>
      <c r="R251" s="401">
        <v>0</v>
      </c>
      <c r="S251" s="401"/>
      <c r="T251" s="401"/>
      <c r="U251" s="401">
        <v>0</v>
      </c>
      <c r="V251" s="401"/>
      <c r="W251" s="401"/>
      <c r="X251" s="401">
        <v>0</v>
      </c>
      <c r="Y251" s="401"/>
      <c r="Z251" s="401"/>
      <c r="AA251" s="401">
        <v>0</v>
      </c>
      <c r="AB251" s="401"/>
      <c r="AC251" s="401"/>
      <c r="AD251" s="401">
        <v>0</v>
      </c>
      <c r="AE251" s="401"/>
      <c r="AF251" s="401"/>
      <c r="AG251" s="401">
        <v>0</v>
      </c>
      <c r="AH251" s="401"/>
      <c r="AI251" s="401"/>
      <c r="AJ251" s="401">
        <v>0</v>
      </c>
      <c r="AK251" s="401"/>
      <c r="AL251" s="401"/>
      <c r="AM251" s="401"/>
      <c r="AN251" s="401"/>
      <c r="AO251" s="401"/>
      <c r="AP251" s="401"/>
      <c r="AQ251" s="401"/>
      <c r="AR251" s="401"/>
      <c r="AS251" s="401">
        <v>0</v>
      </c>
      <c r="AT251" s="401"/>
      <c r="AU251" s="401"/>
      <c r="AV251" s="401">
        <v>0</v>
      </c>
      <c r="AW251" s="401"/>
      <c r="AX251" s="401"/>
      <c r="AY251" s="401"/>
      <c r="AZ251" s="401"/>
      <c r="BA251" s="401"/>
      <c r="BB251" s="401"/>
      <c r="BC251" s="401"/>
      <c r="BD251" s="401"/>
      <c r="BE251" s="401">
        <v>0</v>
      </c>
      <c r="BF251" s="401"/>
      <c r="BG251" s="401"/>
      <c r="BH251" s="401">
        <v>0</v>
      </c>
      <c r="BI251" s="401"/>
      <c r="BJ251" s="401"/>
      <c r="BK251" s="402">
        <f>31680000+31680000</f>
        <v>63360000</v>
      </c>
      <c r="BL251" s="402">
        <v>48360000</v>
      </c>
      <c r="BM251" s="402">
        <v>36960000</v>
      </c>
      <c r="BN251" s="402"/>
      <c r="BO251" s="402"/>
      <c r="BP251" s="402"/>
      <c r="BQ251" s="401">
        <v>0</v>
      </c>
      <c r="BR251" s="403"/>
      <c r="BS251" s="403"/>
      <c r="BT251" s="403"/>
      <c r="BU251" s="403"/>
      <c r="BV251" s="403"/>
      <c r="BW251" s="403">
        <v>0</v>
      </c>
      <c r="BX251" s="403"/>
      <c r="BY251" s="403"/>
      <c r="BZ251" s="665">
        <f t="shared" si="100"/>
        <v>63360000</v>
      </c>
      <c r="CA251" s="401">
        <f t="shared" si="100"/>
        <v>48360000</v>
      </c>
      <c r="CB251" s="401">
        <f t="shared" si="100"/>
        <v>36960000</v>
      </c>
    </row>
    <row r="252" spans="1:80" ht="56.25" customHeight="1" x14ac:dyDescent="0.2">
      <c r="A252" s="42"/>
      <c r="B252" s="42"/>
      <c r="C252" s="895">
        <v>7</v>
      </c>
      <c r="D252" s="890" t="s">
        <v>345</v>
      </c>
      <c r="E252" s="895" t="s">
        <v>346</v>
      </c>
      <c r="F252" s="895">
        <v>27</v>
      </c>
      <c r="G252" s="883"/>
      <c r="H252" s="57">
        <v>45</v>
      </c>
      <c r="I252" s="729" t="s">
        <v>347</v>
      </c>
      <c r="J252" s="57" t="s">
        <v>43</v>
      </c>
      <c r="K252" s="169">
        <v>3</v>
      </c>
      <c r="L252" s="386">
        <v>2.5</v>
      </c>
      <c r="M252" s="885"/>
      <c r="N252" s="883"/>
      <c r="O252" s="883"/>
      <c r="P252" s="891"/>
      <c r="Q252" s="57" t="s">
        <v>67</v>
      </c>
      <c r="R252" s="401"/>
      <c r="S252" s="401"/>
      <c r="T252" s="401"/>
      <c r="U252" s="401"/>
      <c r="V252" s="401"/>
      <c r="W252" s="401"/>
      <c r="X252" s="401"/>
      <c r="Y252" s="401"/>
      <c r="Z252" s="401"/>
      <c r="AA252" s="401"/>
      <c r="AB252" s="401"/>
      <c r="AC252" s="401"/>
      <c r="AD252" s="401"/>
      <c r="AE252" s="401"/>
      <c r="AF252" s="401"/>
      <c r="AG252" s="401"/>
      <c r="AH252" s="401"/>
      <c r="AI252" s="401"/>
      <c r="AJ252" s="401"/>
      <c r="AK252" s="401"/>
      <c r="AL252" s="401"/>
      <c r="AM252" s="401"/>
      <c r="AN252" s="401"/>
      <c r="AO252" s="401"/>
      <c r="AP252" s="401"/>
      <c r="AQ252" s="401"/>
      <c r="AR252" s="401"/>
      <c r="AS252" s="401"/>
      <c r="AT252" s="401"/>
      <c r="AU252" s="401"/>
      <c r="AV252" s="401"/>
      <c r="AW252" s="401"/>
      <c r="AX252" s="401"/>
      <c r="AY252" s="401"/>
      <c r="AZ252" s="401"/>
      <c r="BA252" s="401"/>
      <c r="BB252" s="401"/>
      <c r="BC252" s="401"/>
      <c r="BD252" s="401"/>
      <c r="BE252" s="401"/>
      <c r="BF252" s="401"/>
      <c r="BG252" s="401"/>
      <c r="BH252" s="401"/>
      <c r="BI252" s="401"/>
      <c r="BJ252" s="401"/>
      <c r="BK252" s="402">
        <f>99320000+15840000</f>
        <v>115160000</v>
      </c>
      <c r="BL252" s="402">
        <v>110090000</v>
      </c>
      <c r="BM252" s="402">
        <v>88260000</v>
      </c>
      <c r="BN252" s="402"/>
      <c r="BO252" s="402"/>
      <c r="BP252" s="402"/>
      <c r="BQ252" s="401"/>
      <c r="BR252" s="403"/>
      <c r="BS252" s="403"/>
      <c r="BT252" s="403"/>
      <c r="BU252" s="403"/>
      <c r="BV252" s="403"/>
      <c r="BW252" s="403"/>
      <c r="BX252" s="403"/>
      <c r="BY252" s="403"/>
      <c r="BZ252" s="665">
        <f t="shared" si="100"/>
        <v>115160000</v>
      </c>
      <c r="CA252" s="401">
        <f t="shared" si="100"/>
        <v>110090000</v>
      </c>
      <c r="CB252" s="401">
        <f t="shared" si="100"/>
        <v>88260000</v>
      </c>
    </row>
    <row r="253" spans="1:80" ht="71.25" customHeight="1" x14ac:dyDescent="0.2">
      <c r="A253" s="42"/>
      <c r="B253" s="42"/>
      <c r="C253" s="883"/>
      <c r="D253" s="891"/>
      <c r="E253" s="883"/>
      <c r="F253" s="883"/>
      <c r="G253" s="898"/>
      <c r="H253" s="57">
        <v>46</v>
      </c>
      <c r="I253" s="729" t="s">
        <v>348</v>
      </c>
      <c r="J253" s="57">
        <v>0</v>
      </c>
      <c r="K253" s="169">
        <v>1</v>
      </c>
      <c r="L253" s="169">
        <v>1</v>
      </c>
      <c r="M253" s="886"/>
      <c r="N253" s="898"/>
      <c r="O253" s="898"/>
      <c r="P253" s="892"/>
      <c r="Q253" s="57" t="s">
        <v>52</v>
      </c>
      <c r="R253" s="401">
        <v>0</v>
      </c>
      <c r="S253" s="401"/>
      <c r="T253" s="401"/>
      <c r="U253" s="401">
        <v>0</v>
      </c>
      <c r="V253" s="401"/>
      <c r="W253" s="401"/>
      <c r="X253" s="401">
        <v>0</v>
      </c>
      <c r="Y253" s="401"/>
      <c r="Z253" s="401"/>
      <c r="AA253" s="401">
        <v>0</v>
      </c>
      <c r="AB253" s="401"/>
      <c r="AC253" s="401"/>
      <c r="AD253" s="401">
        <v>0</v>
      </c>
      <c r="AE253" s="401"/>
      <c r="AF253" s="401"/>
      <c r="AG253" s="401">
        <v>0</v>
      </c>
      <c r="AH253" s="401"/>
      <c r="AI253" s="401"/>
      <c r="AJ253" s="401">
        <v>0</v>
      </c>
      <c r="AK253" s="401"/>
      <c r="AL253" s="401"/>
      <c r="AM253" s="401"/>
      <c r="AN253" s="401"/>
      <c r="AO253" s="401"/>
      <c r="AP253" s="401"/>
      <c r="AQ253" s="401"/>
      <c r="AR253" s="401"/>
      <c r="AS253" s="401">
        <v>0</v>
      </c>
      <c r="AT253" s="401"/>
      <c r="AU253" s="401"/>
      <c r="AV253" s="401">
        <v>0</v>
      </c>
      <c r="AW253" s="401"/>
      <c r="AX253" s="401"/>
      <c r="AY253" s="401"/>
      <c r="AZ253" s="401"/>
      <c r="BA253" s="401"/>
      <c r="BB253" s="401"/>
      <c r="BC253" s="401"/>
      <c r="BD253" s="401"/>
      <c r="BE253" s="401">
        <v>0</v>
      </c>
      <c r="BF253" s="401"/>
      <c r="BG253" s="401"/>
      <c r="BH253" s="401">
        <v>0</v>
      </c>
      <c r="BI253" s="401"/>
      <c r="BJ253" s="401"/>
      <c r="BK253" s="672">
        <f>100000000+50000000</f>
        <v>150000000</v>
      </c>
      <c r="BL253" s="402">
        <v>100000000</v>
      </c>
      <c r="BM253" s="402">
        <v>100000000</v>
      </c>
      <c r="BN253" s="402"/>
      <c r="BO253" s="402"/>
      <c r="BP253" s="402"/>
      <c r="BQ253" s="401">
        <v>0</v>
      </c>
      <c r="BR253" s="403"/>
      <c r="BS253" s="403"/>
      <c r="BT253" s="403"/>
      <c r="BU253" s="403"/>
      <c r="BV253" s="403"/>
      <c r="BW253" s="403">
        <v>0</v>
      </c>
      <c r="BX253" s="403"/>
      <c r="BY253" s="403"/>
      <c r="BZ253" s="665">
        <f t="shared" si="100"/>
        <v>150000000</v>
      </c>
      <c r="CA253" s="401">
        <f t="shared" si="100"/>
        <v>100000000</v>
      </c>
      <c r="CB253" s="401">
        <f t="shared" si="100"/>
        <v>100000000</v>
      </c>
    </row>
    <row r="254" spans="1:80" ht="30" customHeight="1" x14ac:dyDescent="0.2">
      <c r="A254" s="42"/>
      <c r="B254" s="42"/>
      <c r="C254" s="714"/>
      <c r="D254" s="709"/>
      <c r="E254" s="714"/>
      <c r="F254" s="714"/>
      <c r="G254" s="58"/>
      <c r="H254" s="59"/>
      <c r="I254" s="58"/>
      <c r="J254" s="59"/>
      <c r="K254" s="222"/>
      <c r="L254" s="222"/>
      <c r="M254" s="222"/>
      <c r="N254" s="59"/>
      <c r="O254" s="59"/>
      <c r="P254" s="58"/>
      <c r="Q254" s="59"/>
      <c r="R254" s="410">
        <f t="shared" ref="R254:BY254" si="101">SUM(R250:R253)</f>
        <v>0</v>
      </c>
      <c r="S254" s="410">
        <f t="shared" si="101"/>
        <v>0</v>
      </c>
      <c r="T254" s="410">
        <f t="shared" si="101"/>
        <v>0</v>
      </c>
      <c r="U254" s="410">
        <f t="shared" si="101"/>
        <v>0</v>
      </c>
      <c r="V254" s="410">
        <f t="shared" si="101"/>
        <v>0</v>
      </c>
      <c r="W254" s="410">
        <f t="shared" si="101"/>
        <v>0</v>
      </c>
      <c r="X254" s="410">
        <f t="shared" si="101"/>
        <v>0</v>
      </c>
      <c r="Y254" s="410">
        <f t="shared" si="101"/>
        <v>0</v>
      </c>
      <c r="Z254" s="410">
        <f t="shared" si="101"/>
        <v>0</v>
      </c>
      <c r="AA254" s="410">
        <f t="shared" si="101"/>
        <v>0</v>
      </c>
      <c r="AB254" s="410">
        <f t="shared" si="101"/>
        <v>0</v>
      </c>
      <c r="AC254" s="410">
        <f t="shared" si="101"/>
        <v>0</v>
      </c>
      <c r="AD254" s="410">
        <f t="shared" si="101"/>
        <v>0</v>
      </c>
      <c r="AE254" s="410">
        <f t="shared" si="101"/>
        <v>0</v>
      </c>
      <c r="AF254" s="410">
        <f t="shared" si="101"/>
        <v>0</v>
      </c>
      <c r="AG254" s="410">
        <f t="shared" si="101"/>
        <v>0</v>
      </c>
      <c r="AH254" s="410">
        <f t="shared" si="101"/>
        <v>0</v>
      </c>
      <c r="AI254" s="410">
        <f t="shared" si="101"/>
        <v>0</v>
      </c>
      <c r="AJ254" s="410">
        <f t="shared" si="101"/>
        <v>0</v>
      </c>
      <c r="AK254" s="410">
        <f t="shared" si="101"/>
        <v>0</v>
      </c>
      <c r="AL254" s="410">
        <f t="shared" si="101"/>
        <v>0</v>
      </c>
      <c r="AM254" s="410">
        <f t="shared" si="101"/>
        <v>0</v>
      </c>
      <c r="AN254" s="410">
        <f t="shared" si="101"/>
        <v>0</v>
      </c>
      <c r="AO254" s="410">
        <f t="shared" si="101"/>
        <v>0</v>
      </c>
      <c r="AP254" s="410">
        <f t="shared" si="101"/>
        <v>0</v>
      </c>
      <c r="AQ254" s="410">
        <f t="shared" si="101"/>
        <v>0</v>
      </c>
      <c r="AR254" s="410">
        <f t="shared" si="101"/>
        <v>0</v>
      </c>
      <c r="AS254" s="410">
        <f t="shared" si="101"/>
        <v>0</v>
      </c>
      <c r="AT254" s="410">
        <f t="shared" si="101"/>
        <v>0</v>
      </c>
      <c r="AU254" s="410">
        <f t="shared" si="101"/>
        <v>0</v>
      </c>
      <c r="AV254" s="410">
        <f t="shared" si="101"/>
        <v>0</v>
      </c>
      <c r="AW254" s="410">
        <f t="shared" si="101"/>
        <v>0</v>
      </c>
      <c r="AX254" s="410">
        <f t="shared" si="101"/>
        <v>0</v>
      </c>
      <c r="AY254" s="410">
        <f t="shared" si="101"/>
        <v>0</v>
      </c>
      <c r="AZ254" s="410">
        <f t="shared" si="101"/>
        <v>0</v>
      </c>
      <c r="BA254" s="410">
        <f t="shared" si="101"/>
        <v>0</v>
      </c>
      <c r="BB254" s="410">
        <f t="shared" si="101"/>
        <v>0</v>
      </c>
      <c r="BC254" s="410">
        <f t="shared" si="101"/>
        <v>0</v>
      </c>
      <c r="BD254" s="410">
        <f t="shared" si="101"/>
        <v>0</v>
      </c>
      <c r="BE254" s="410">
        <f t="shared" si="101"/>
        <v>0</v>
      </c>
      <c r="BF254" s="410">
        <f t="shared" si="101"/>
        <v>0</v>
      </c>
      <c r="BG254" s="410">
        <f t="shared" si="101"/>
        <v>0</v>
      </c>
      <c r="BH254" s="410">
        <f t="shared" si="101"/>
        <v>0</v>
      </c>
      <c r="BI254" s="410">
        <f t="shared" si="101"/>
        <v>0</v>
      </c>
      <c r="BJ254" s="410">
        <f t="shared" si="101"/>
        <v>0</v>
      </c>
      <c r="BK254" s="410">
        <f t="shared" si="101"/>
        <v>357520000</v>
      </c>
      <c r="BL254" s="410">
        <f t="shared" si="101"/>
        <v>285930000</v>
      </c>
      <c r="BM254" s="410">
        <f t="shared" si="101"/>
        <v>244060000</v>
      </c>
      <c r="BN254" s="410">
        <f t="shared" si="101"/>
        <v>0</v>
      </c>
      <c r="BO254" s="410">
        <f t="shared" si="101"/>
        <v>0</v>
      </c>
      <c r="BP254" s="410">
        <f t="shared" si="101"/>
        <v>0</v>
      </c>
      <c r="BQ254" s="410">
        <f t="shared" si="101"/>
        <v>0</v>
      </c>
      <c r="BR254" s="410">
        <f t="shared" si="101"/>
        <v>0</v>
      </c>
      <c r="BS254" s="410">
        <f t="shared" si="101"/>
        <v>0</v>
      </c>
      <c r="BT254" s="410">
        <f t="shared" si="101"/>
        <v>0</v>
      </c>
      <c r="BU254" s="410">
        <f t="shared" si="101"/>
        <v>0</v>
      </c>
      <c r="BV254" s="410">
        <f t="shared" si="101"/>
        <v>0</v>
      </c>
      <c r="BW254" s="410">
        <f t="shared" si="101"/>
        <v>0</v>
      </c>
      <c r="BX254" s="410">
        <f t="shared" si="101"/>
        <v>0</v>
      </c>
      <c r="BY254" s="410">
        <f t="shared" si="101"/>
        <v>0</v>
      </c>
      <c r="BZ254" s="666">
        <f>SUM(BZ250:BZ253)</f>
        <v>357520000</v>
      </c>
      <c r="CA254" s="410">
        <f t="shared" ref="CA254:CB254" si="102">SUM(CA250:CA253)</f>
        <v>285930000</v>
      </c>
      <c r="CB254" s="410">
        <f t="shared" si="102"/>
        <v>244060000</v>
      </c>
    </row>
    <row r="255" spans="1:80" s="750" customFormat="1" ht="30" customHeight="1" x14ac:dyDescent="0.2">
      <c r="A255" s="42"/>
      <c r="B255" s="42"/>
      <c r="C255" s="400"/>
      <c r="D255" s="101"/>
      <c r="E255" s="400"/>
      <c r="F255" s="400"/>
      <c r="G255" s="101"/>
      <c r="H255" s="400"/>
      <c r="I255" s="101"/>
      <c r="J255" s="400"/>
      <c r="K255" s="271"/>
      <c r="L255" s="271"/>
      <c r="M255" s="271"/>
      <c r="N255" s="400"/>
      <c r="O255" s="400"/>
      <c r="P255" s="101"/>
      <c r="Q255" s="400"/>
      <c r="R255" s="620"/>
      <c r="S255" s="620"/>
      <c r="T255" s="620"/>
      <c r="U255" s="621"/>
      <c r="V255" s="621"/>
      <c r="W255" s="621"/>
      <c r="X255" s="620"/>
      <c r="Y255" s="620"/>
      <c r="Z255" s="620"/>
      <c r="AA255" s="620"/>
      <c r="AB255" s="620"/>
      <c r="AC255" s="620"/>
      <c r="AD255" s="620"/>
      <c r="AE255" s="620"/>
      <c r="AF255" s="620"/>
      <c r="AG255" s="620"/>
      <c r="AH255" s="620"/>
      <c r="AI255" s="620"/>
      <c r="AJ255" s="620"/>
      <c r="AK255" s="620"/>
      <c r="AL255" s="620"/>
      <c r="AM255" s="620"/>
      <c r="AN255" s="620"/>
      <c r="AO255" s="620"/>
      <c r="AP255" s="620"/>
      <c r="AQ255" s="620"/>
      <c r="AR255" s="620"/>
      <c r="AS255" s="620"/>
      <c r="AT255" s="620"/>
      <c r="AU255" s="620"/>
      <c r="AV255" s="620"/>
      <c r="AW255" s="620"/>
      <c r="AX255" s="620"/>
      <c r="AY255" s="620"/>
      <c r="AZ255" s="620"/>
      <c r="BA255" s="620"/>
      <c r="BB255" s="620"/>
      <c r="BC255" s="620"/>
      <c r="BD255" s="620"/>
      <c r="BE255" s="620"/>
      <c r="BF255" s="620"/>
      <c r="BG255" s="620"/>
      <c r="BH255" s="620"/>
      <c r="BI255" s="620"/>
      <c r="BJ255" s="620"/>
      <c r="BK255" s="622" t="s">
        <v>69</v>
      </c>
      <c r="BL255" s="622"/>
      <c r="BM255" s="622"/>
      <c r="BN255" s="623"/>
      <c r="BO255" s="623"/>
      <c r="BP255" s="623"/>
      <c r="BQ255" s="620"/>
      <c r="BR255" s="620"/>
      <c r="BS255" s="620"/>
      <c r="BT255" s="620"/>
      <c r="BU255" s="620"/>
      <c r="BV255" s="620"/>
      <c r="BW255" s="620"/>
      <c r="BX255" s="620"/>
      <c r="BY255" s="620"/>
      <c r="BZ255" s="772"/>
      <c r="CA255" s="620"/>
      <c r="CB255" s="797"/>
    </row>
    <row r="256" spans="1:80" s="750" customFormat="1" ht="30" customHeight="1" x14ac:dyDescent="0.2">
      <c r="A256" s="205"/>
      <c r="B256" s="746"/>
      <c r="C256" s="137"/>
      <c r="D256" s="72"/>
      <c r="E256" s="150"/>
      <c r="F256" s="150"/>
      <c r="G256" s="219">
        <v>10</v>
      </c>
      <c r="H256" s="80" t="s">
        <v>349</v>
      </c>
      <c r="I256" s="80"/>
      <c r="J256" s="80"/>
      <c r="K256" s="221"/>
      <c r="L256" s="221"/>
      <c r="M256" s="221"/>
      <c r="N256" s="173"/>
      <c r="O256" s="173"/>
      <c r="P256" s="80"/>
      <c r="Q256" s="80"/>
      <c r="R256" s="267"/>
      <c r="S256" s="267"/>
      <c r="T256" s="267"/>
      <c r="U256" s="267"/>
      <c r="V256" s="267"/>
      <c r="W256" s="267"/>
      <c r="X256" s="267"/>
      <c r="Y256" s="267"/>
      <c r="Z256" s="267"/>
      <c r="AA256" s="267"/>
      <c r="AB256" s="267"/>
      <c r="AC256" s="267"/>
      <c r="AD256" s="267"/>
      <c r="AE256" s="267"/>
      <c r="AF256" s="267"/>
      <c r="AG256" s="267"/>
      <c r="AH256" s="267"/>
      <c r="AI256" s="267"/>
      <c r="AJ256" s="267"/>
      <c r="AK256" s="267"/>
      <c r="AL256" s="267"/>
      <c r="AM256" s="267"/>
      <c r="AN256" s="267"/>
      <c r="AO256" s="267"/>
      <c r="AP256" s="267"/>
      <c r="AQ256" s="267"/>
      <c r="AR256" s="267"/>
      <c r="AS256" s="267"/>
      <c r="AT256" s="267"/>
      <c r="AU256" s="267"/>
      <c r="AV256" s="267"/>
      <c r="AW256" s="267"/>
      <c r="AX256" s="267"/>
      <c r="AY256" s="267"/>
      <c r="AZ256" s="267"/>
      <c r="BA256" s="267"/>
      <c r="BB256" s="267"/>
      <c r="BC256" s="267"/>
      <c r="BD256" s="267"/>
      <c r="BE256" s="267"/>
      <c r="BF256" s="267"/>
      <c r="BG256" s="267"/>
      <c r="BH256" s="267"/>
      <c r="BI256" s="267"/>
      <c r="BJ256" s="267"/>
      <c r="BK256" s="414"/>
      <c r="BL256" s="414"/>
      <c r="BM256" s="414"/>
      <c r="BN256" s="267"/>
      <c r="BO256" s="267"/>
      <c r="BP256" s="267"/>
      <c r="BQ256" s="267"/>
      <c r="BR256" s="267"/>
      <c r="BS256" s="267"/>
      <c r="BT256" s="267"/>
      <c r="BU256" s="267"/>
      <c r="BV256" s="267"/>
      <c r="BW256" s="267"/>
      <c r="BX256" s="267"/>
      <c r="BY256" s="267"/>
      <c r="BZ256" s="267"/>
      <c r="CA256" s="267"/>
      <c r="CB256" s="269"/>
    </row>
    <row r="257" spans="1:80" ht="60" customHeight="1" x14ac:dyDescent="0.2">
      <c r="A257" s="42"/>
      <c r="B257" s="42"/>
      <c r="C257" s="714">
        <v>5</v>
      </c>
      <c r="D257" s="709" t="s">
        <v>350</v>
      </c>
      <c r="E257" s="714" t="s">
        <v>351</v>
      </c>
      <c r="F257" s="714" t="s">
        <v>352</v>
      </c>
      <c r="G257" s="49"/>
      <c r="H257" s="714">
        <v>47</v>
      </c>
      <c r="I257" s="709" t="s">
        <v>353</v>
      </c>
      <c r="J257" s="714">
        <v>0</v>
      </c>
      <c r="K257" s="615">
        <v>36</v>
      </c>
      <c r="L257" s="615">
        <v>30</v>
      </c>
      <c r="M257" s="885">
        <v>2017003630046</v>
      </c>
      <c r="N257" s="883" t="s">
        <v>327</v>
      </c>
      <c r="O257" s="883" t="s">
        <v>354</v>
      </c>
      <c r="P257" s="891" t="s">
        <v>976</v>
      </c>
      <c r="Q257" s="714" t="s">
        <v>67</v>
      </c>
      <c r="R257" s="426"/>
      <c r="S257" s="426"/>
      <c r="T257" s="426"/>
      <c r="U257" s="426"/>
      <c r="V257" s="426"/>
      <c r="W257" s="426"/>
      <c r="X257" s="426"/>
      <c r="Y257" s="426"/>
      <c r="Z257" s="426"/>
      <c r="AA257" s="426"/>
      <c r="AB257" s="426"/>
      <c r="AC257" s="426"/>
      <c r="AD257" s="426"/>
      <c r="AE257" s="426"/>
      <c r="AF257" s="426"/>
      <c r="AG257" s="426"/>
      <c r="AH257" s="426"/>
      <c r="AI257" s="426"/>
      <c r="AJ257" s="426"/>
      <c r="AK257" s="426"/>
      <c r="AL257" s="426"/>
      <c r="AM257" s="426"/>
      <c r="AN257" s="426"/>
      <c r="AO257" s="426"/>
      <c r="AP257" s="426"/>
      <c r="AQ257" s="426"/>
      <c r="AR257" s="426"/>
      <c r="AS257" s="426"/>
      <c r="AT257" s="426"/>
      <c r="AU257" s="426"/>
      <c r="AV257" s="426"/>
      <c r="AW257" s="426"/>
      <c r="AX257" s="426"/>
      <c r="AY257" s="426"/>
      <c r="AZ257" s="426"/>
      <c r="BA257" s="426"/>
      <c r="BB257" s="426"/>
      <c r="BC257" s="426"/>
      <c r="BD257" s="426"/>
      <c r="BE257" s="426"/>
      <c r="BF257" s="426"/>
      <c r="BG257" s="426"/>
      <c r="BH257" s="426"/>
      <c r="BI257" s="426"/>
      <c r="BJ257" s="426"/>
      <c r="BK257" s="453">
        <f>55000000+75840000</f>
        <v>130840000</v>
      </c>
      <c r="BL257" s="453">
        <f>'[4]MP TURISMO'!$P$30+'[4]MP TURISMO'!$P$31</f>
        <v>125544000</v>
      </c>
      <c r="BM257" s="453">
        <f>'[4]MP TURISMO'!$Q$30+'[4]MP TURISMO'!$Q$31</f>
        <v>89696000</v>
      </c>
      <c r="BN257" s="453"/>
      <c r="BO257" s="453"/>
      <c r="BP257" s="453"/>
      <c r="BQ257" s="426"/>
      <c r="BR257" s="457"/>
      <c r="BS257" s="457"/>
      <c r="BT257" s="457"/>
      <c r="BU257" s="457"/>
      <c r="BV257" s="457"/>
      <c r="BW257" s="457"/>
      <c r="BX257" s="457"/>
      <c r="BY257" s="457"/>
      <c r="BZ257" s="426">
        <f t="shared" ref="BZ257:CB259" si="103">R257+U257+X257+AA257+AD257+AG257+AJ257+AM257+AP257+AS257+AV257+AY257+BB257+BE257+BH257+BK257+BN257+BQ257+BT257+BW257</f>
        <v>130840000</v>
      </c>
      <c r="CA257" s="426">
        <f t="shared" si="103"/>
        <v>125544000</v>
      </c>
      <c r="CB257" s="426">
        <f t="shared" si="103"/>
        <v>89696000</v>
      </c>
    </row>
    <row r="258" spans="1:80" ht="57" customHeight="1" x14ac:dyDescent="0.2">
      <c r="A258" s="42"/>
      <c r="B258" s="42"/>
      <c r="C258" s="720">
        <v>6</v>
      </c>
      <c r="D258" s="49" t="s">
        <v>343</v>
      </c>
      <c r="E258" s="702" t="s">
        <v>331</v>
      </c>
      <c r="F258" s="702" t="s">
        <v>332</v>
      </c>
      <c r="G258" s="49"/>
      <c r="H258" s="57">
        <v>48</v>
      </c>
      <c r="I258" s="729" t="s">
        <v>356</v>
      </c>
      <c r="J258" s="57">
        <v>0</v>
      </c>
      <c r="K258" s="169">
        <v>1</v>
      </c>
      <c r="L258" s="169">
        <v>1</v>
      </c>
      <c r="M258" s="885"/>
      <c r="N258" s="883"/>
      <c r="O258" s="883"/>
      <c r="P258" s="891"/>
      <c r="Q258" s="57" t="s">
        <v>52</v>
      </c>
      <c r="R258" s="401">
        <v>0</v>
      </c>
      <c r="S258" s="401"/>
      <c r="T258" s="401"/>
      <c r="U258" s="401">
        <v>0</v>
      </c>
      <c r="V258" s="401"/>
      <c r="W258" s="401"/>
      <c r="X258" s="401">
        <v>0</v>
      </c>
      <c r="Y258" s="401"/>
      <c r="Z258" s="401"/>
      <c r="AA258" s="401">
        <v>0</v>
      </c>
      <c r="AB258" s="401"/>
      <c r="AC258" s="401"/>
      <c r="AD258" s="401">
        <v>0</v>
      </c>
      <c r="AE258" s="401"/>
      <c r="AF258" s="401"/>
      <c r="AG258" s="401">
        <v>0</v>
      </c>
      <c r="AH258" s="401"/>
      <c r="AI258" s="401"/>
      <c r="AJ258" s="401">
        <v>0</v>
      </c>
      <c r="AK258" s="401"/>
      <c r="AL258" s="401"/>
      <c r="AM258" s="401"/>
      <c r="AN258" s="401"/>
      <c r="AO258" s="401"/>
      <c r="AP258" s="401"/>
      <c r="AQ258" s="401"/>
      <c r="AR258" s="401"/>
      <c r="AS258" s="401">
        <v>0</v>
      </c>
      <c r="AT258" s="401"/>
      <c r="AU258" s="401"/>
      <c r="AV258" s="401">
        <v>0</v>
      </c>
      <c r="AW258" s="401"/>
      <c r="AX258" s="401"/>
      <c r="AY258" s="401"/>
      <c r="AZ258" s="401"/>
      <c r="BA258" s="401"/>
      <c r="BB258" s="401"/>
      <c r="BC258" s="401"/>
      <c r="BD258" s="401"/>
      <c r="BE258" s="401">
        <v>0</v>
      </c>
      <c r="BF258" s="401"/>
      <c r="BG258" s="401"/>
      <c r="BH258" s="401">
        <v>0</v>
      </c>
      <c r="BI258" s="401"/>
      <c r="BJ258" s="401"/>
      <c r="BK258" s="402">
        <v>200000000</v>
      </c>
      <c r="BL258" s="402"/>
      <c r="BM258" s="402"/>
      <c r="BN258" s="402"/>
      <c r="BO258" s="402"/>
      <c r="BP258" s="402"/>
      <c r="BQ258" s="401">
        <v>0</v>
      </c>
      <c r="BR258" s="403"/>
      <c r="BS258" s="403"/>
      <c r="BT258" s="403"/>
      <c r="BU258" s="403"/>
      <c r="BV258" s="403"/>
      <c r="BW258" s="403">
        <v>0</v>
      </c>
      <c r="BX258" s="403"/>
      <c r="BY258" s="403"/>
      <c r="BZ258" s="401">
        <f t="shared" si="103"/>
        <v>200000000</v>
      </c>
      <c r="CA258" s="401">
        <f t="shared" si="103"/>
        <v>0</v>
      </c>
      <c r="CB258" s="401">
        <f t="shared" si="103"/>
        <v>0</v>
      </c>
    </row>
    <row r="259" spans="1:80" ht="81" customHeight="1" thickBot="1" x14ac:dyDescent="0.25">
      <c r="A259" s="42"/>
      <c r="B259" s="42"/>
      <c r="C259" s="713">
        <v>7</v>
      </c>
      <c r="D259" s="707" t="s">
        <v>345</v>
      </c>
      <c r="E259" s="541">
        <v>31.7</v>
      </c>
      <c r="F259" s="713" t="s">
        <v>357</v>
      </c>
      <c r="G259" s="92"/>
      <c r="H259" s="57">
        <v>49</v>
      </c>
      <c r="I259" s="729" t="s">
        <v>358</v>
      </c>
      <c r="J259" s="57">
        <v>0</v>
      </c>
      <c r="K259" s="169">
        <v>1</v>
      </c>
      <c r="L259" s="386">
        <v>0.8</v>
      </c>
      <c r="M259" s="886"/>
      <c r="N259" s="898"/>
      <c r="O259" s="898"/>
      <c r="P259" s="931"/>
      <c r="Q259" s="57" t="s">
        <v>52</v>
      </c>
      <c r="R259" s="401">
        <v>0</v>
      </c>
      <c r="S259" s="401"/>
      <c r="T259" s="401"/>
      <c r="U259" s="401">
        <v>0</v>
      </c>
      <c r="V259" s="401"/>
      <c r="W259" s="401"/>
      <c r="X259" s="401">
        <v>0</v>
      </c>
      <c r="Y259" s="401"/>
      <c r="Z259" s="401"/>
      <c r="AA259" s="401">
        <v>0</v>
      </c>
      <c r="AB259" s="401"/>
      <c r="AC259" s="401"/>
      <c r="AD259" s="401">
        <v>0</v>
      </c>
      <c r="AE259" s="401"/>
      <c r="AF259" s="401"/>
      <c r="AG259" s="401">
        <v>0</v>
      </c>
      <c r="AH259" s="401"/>
      <c r="AI259" s="401"/>
      <c r="AJ259" s="401">
        <v>0</v>
      </c>
      <c r="AK259" s="401"/>
      <c r="AL259" s="401"/>
      <c r="AM259" s="401"/>
      <c r="AN259" s="401"/>
      <c r="AO259" s="401"/>
      <c r="AP259" s="401"/>
      <c r="AQ259" s="401"/>
      <c r="AR259" s="401"/>
      <c r="AS259" s="401">
        <v>0</v>
      </c>
      <c r="AT259" s="401"/>
      <c r="AU259" s="401"/>
      <c r="AV259" s="401">
        <v>0</v>
      </c>
      <c r="AW259" s="401"/>
      <c r="AX259" s="401"/>
      <c r="AY259" s="401"/>
      <c r="AZ259" s="401"/>
      <c r="BA259" s="401"/>
      <c r="BB259" s="401"/>
      <c r="BC259" s="401"/>
      <c r="BD259" s="401"/>
      <c r="BE259" s="401">
        <v>0</v>
      </c>
      <c r="BF259" s="401"/>
      <c r="BG259" s="401"/>
      <c r="BH259" s="401">
        <v>0</v>
      </c>
      <c r="BI259" s="401"/>
      <c r="BJ259" s="401"/>
      <c r="BK259" s="402">
        <v>5000000</v>
      </c>
      <c r="BL259" s="402">
        <v>2640000</v>
      </c>
      <c r="BM259" s="402"/>
      <c r="BN259" s="402"/>
      <c r="BO259" s="402"/>
      <c r="BP259" s="402"/>
      <c r="BQ259" s="401">
        <v>0</v>
      </c>
      <c r="BR259" s="403"/>
      <c r="BS259" s="403"/>
      <c r="BT259" s="403"/>
      <c r="BU259" s="403"/>
      <c r="BV259" s="403"/>
      <c r="BW259" s="403">
        <v>0</v>
      </c>
      <c r="BX259" s="403"/>
      <c r="BY259" s="403"/>
      <c r="BZ259" s="401">
        <f t="shared" si="103"/>
        <v>5000000</v>
      </c>
      <c r="CA259" s="401">
        <f t="shared" si="103"/>
        <v>2640000</v>
      </c>
      <c r="CB259" s="401">
        <f t="shared" si="103"/>
        <v>0</v>
      </c>
    </row>
    <row r="260" spans="1:80" ht="30" customHeight="1" thickTop="1" x14ac:dyDescent="0.2">
      <c r="A260" s="42"/>
      <c r="B260" s="55"/>
      <c r="C260" s="714"/>
      <c r="D260" s="709"/>
      <c r="E260" s="714"/>
      <c r="F260" s="714"/>
      <c r="G260" s="58"/>
      <c r="H260" s="59"/>
      <c r="I260" s="58"/>
      <c r="J260" s="59"/>
      <c r="K260" s="222"/>
      <c r="L260" s="222"/>
      <c r="M260" s="222"/>
      <c r="N260" s="59"/>
      <c r="O260" s="59"/>
      <c r="P260" s="58"/>
      <c r="Q260" s="59"/>
      <c r="R260" s="410">
        <f t="shared" ref="R260:BY260" si="104">SUM(R257:R259)</f>
        <v>0</v>
      </c>
      <c r="S260" s="410">
        <f t="shared" si="104"/>
        <v>0</v>
      </c>
      <c r="T260" s="410">
        <f t="shared" si="104"/>
        <v>0</v>
      </c>
      <c r="U260" s="410">
        <f t="shared" si="104"/>
        <v>0</v>
      </c>
      <c r="V260" s="410">
        <f t="shared" si="104"/>
        <v>0</v>
      </c>
      <c r="W260" s="410">
        <f t="shared" si="104"/>
        <v>0</v>
      </c>
      <c r="X260" s="410">
        <f t="shared" si="104"/>
        <v>0</v>
      </c>
      <c r="Y260" s="410">
        <f t="shared" si="104"/>
        <v>0</v>
      </c>
      <c r="Z260" s="410">
        <f t="shared" si="104"/>
        <v>0</v>
      </c>
      <c r="AA260" s="410">
        <f t="shared" si="104"/>
        <v>0</v>
      </c>
      <c r="AB260" s="410">
        <f t="shared" si="104"/>
        <v>0</v>
      </c>
      <c r="AC260" s="410">
        <f t="shared" si="104"/>
        <v>0</v>
      </c>
      <c r="AD260" s="410">
        <f t="shared" si="104"/>
        <v>0</v>
      </c>
      <c r="AE260" s="410">
        <f t="shared" si="104"/>
        <v>0</v>
      </c>
      <c r="AF260" s="410">
        <f t="shared" si="104"/>
        <v>0</v>
      </c>
      <c r="AG260" s="410">
        <f t="shared" si="104"/>
        <v>0</v>
      </c>
      <c r="AH260" s="410">
        <f t="shared" si="104"/>
        <v>0</v>
      </c>
      <c r="AI260" s="410">
        <f t="shared" si="104"/>
        <v>0</v>
      </c>
      <c r="AJ260" s="410">
        <f t="shared" si="104"/>
        <v>0</v>
      </c>
      <c r="AK260" s="410">
        <f t="shared" si="104"/>
        <v>0</v>
      </c>
      <c r="AL260" s="410">
        <f t="shared" si="104"/>
        <v>0</v>
      </c>
      <c r="AM260" s="410">
        <f t="shared" si="104"/>
        <v>0</v>
      </c>
      <c r="AN260" s="410">
        <f t="shared" si="104"/>
        <v>0</v>
      </c>
      <c r="AO260" s="410">
        <f t="shared" si="104"/>
        <v>0</v>
      </c>
      <c r="AP260" s="410">
        <f t="shared" si="104"/>
        <v>0</v>
      </c>
      <c r="AQ260" s="410">
        <f t="shared" si="104"/>
        <v>0</v>
      </c>
      <c r="AR260" s="410">
        <f t="shared" si="104"/>
        <v>0</v>
      </c>
      <c r="AS260" s="410">
        <f t="shared" si="104"/>
        <v>0</v>
      </c>
      <c r="AT260" s="410">
        <f t="shared" si="104"/>
        <v>0</v>
      </c>
      <c r="AU260" s="410">
        <f t="shared" si="104"/>
        <v>0</v>
      </c>
      <c r="AV260" s="410">
        <f t="shared" si="104"/>
        <v>0</v>
      </c>
      <c r="AW260" s="410">
        <f t="shared" si="104"/>
        <v>0</v>
      </c>
      <c r="AX260" s="410">
        <f t="shared" si="104"/>
        <v>0</v>
      </c>
      <c r="AY260" s="410">
        <f t="shared" si="104"/>
        <v>0</v>
      </c>
      <c r="AZ260" s="410">
        <f t="shared" si="104"/>
        <v>0</v>
      </c>
      <c r="BA260" s="410">
        <f t="shared" si="104"/>
        <v>0</v>
      </c>
      <c r="BB260" s="410">
        <f t="shared" si="104"/>
        <v>0</v>
      </c>
      <c r="BC260" s="410">
        <f t="shared" si="104"/>
        <v>0</v>
      </c>
      <c r="BD260" s="410">
        <f t="shared" si="104"/>
        <v>0</v>
      </c>
      <c r="BE260" s="410">
        <f t="shared" si="104"/>
        <v>0</v>
      </c>
      <c r="BF260" s="410">
        <f t="shared" si="104"/>
        <v>0</v>
      </c>
      <c r="BG260" s="410">
        <f t="shared" si="104"/>
        <v>0</v>
      </c>
      <c r="BH260" s="410">
        <f t="shared" si="104"/>
        <v>0</v>
      </c>
      <c r="BI260" s="410">
        <f t="shared" si="104"/>
        <v>0</v>
      </c>
      <c r="BJ260" s="410">
        <f t="shared" si="104"/>
        <v>0</v>
      </c>
      <c r="BK260" s="410">
        <f t="shared" si="104"/>
        <v>335840000</v>
      </c>
      <c r="BL260" s="410">
        <f t="shared" si="104"/>
        <v>128184000</v>
      </c>
      <c r="BM260" s="410">
        <f t="shared" si="104"/>
        <v>89696000</v>
      </c>
      <c r="BN260" s="410">
        <f t="shared" si="104"/>
        <v>0</v>
      </c>
      <c r="BO260" s="410">
        <f t="shared" si="104"/>
        <v>0</v>
      </c>
      <c r="BP260" s="410">
        <f t="shared" si="104"/>
        <v>0</v>
      </c>
      <c r="BQ260" s="410">
        <f t="shared" si="104"/>
        <v>0</v>
      </c>
      <c r="BR260" s="410">
        <f t="shared" si="104"/>
        <v>0</v>
      </c>
      <c r="BS260" s="410">
        <f t="shared" si="104"/>
        <v>0</v>
      </c>
      <c r="BT260" s="410">
        <f t="shared" si="104"/>
        <v>0</v>
      </c>
      <c r="BU260" s="410">
        <f t="shared" si="104"/>
        <v>0</v>
      </c>
      <c r="BV260" s="410">
        <f t="shared" si="104"/>
        <v>0</v>
      </c>
      <c r="BW260" s="410">
        <f t="shared" si="104"/>
        <v>0</v>
      </c>
      <c r="BX260" s="410">
        <f t="shared" si="104"/>
        <v>0</v>
      </c>
      <c r="BY260" s="410">
        <f t="shared" si="104"/>
        <v>0</v>
      </c>
      <c r="BZ260" s="410">
        <f>SUM(BZ257:BZ259)</f>
        <v>335840000</v>
      </c>
      <c r="CA260" s="410">
        <f t="shared" ref="CA260:CB260" si="105">SUM(CA257:CA259)</f>
        <v>128184000</v>
      </c>
      <c r="CB260" s="410">
        <f t="shared" si="105"/>
        <v>89696000</v>
      </c>
    </row>
    <row r="261" spans="1:80" ht="30" customHeight="1" x14ac:dyDescent="0.2">
      <c r="A261" s="42"/>
      <c r="B261" s="95"/>
      <c r="C261" s="63"/>
      <c r="D261" s="62"/>
      <c r="E261" s="63"/>
      <c r="F261" s="63"/>
      <c r="G261" s="62"/>
      <c r="H261" s="63"/>
      <c r="I261" s="62"/>
      <c r="J261" s="63"/>
      <c r="K261" s="224"/>
      <c r="L261" s="224"/>
      <c r="M261" s="224"/>
      <c r="N261" s="63"/>
      <c r="O261" s="63"/>
      <c r="P261" s="62"/>
      <c r="Q261" s="63"/>
      <c r="R261" s="416">
        <f t="shared" ref="R261:BY261" si="106">R260+R254+R247</f>
        <v>0</v>
      </c>
      <c r="S261" s="416">
        <f t="shared" si="106"/>
        <v>0</v>
      </c>
      <c r="T261" s="416">
        <f t="shared" si="106"/>
        <v>0</v>
      </c>
      <c r="U261" s="416">
        <f t="shared" si="106"/>
        <v>0</v>
      </c>
      <c r="V261" s="416">
        <f t="shared" si="106"/>
        <v>0</v>
      </c>
      <c r="W261" s="416">
        <f t="shared" si="106"/>
        <v>0</v>
      </c>
      <c r="X261" s="416">
        <f t="shared" si="106"/>
        <v>0</v>
      </c>
      <c r="Y261" s="416">
        <f t="shared" si="106"/>
        <v>0</v>
      </c>
      <c r="Z261" s="416">
        <f t="shared" si="106"/>
        <v>0</v>
      </c>
      <c r="AA261" s="416">
        <f t="shared" si="106"/>
        <v>0</v>
      </c>
      <c r="AB261" s="416">
        <f t="shared" si="106"/>
        <v>0</v>
      </c>
      <c r="AC261" s="416">
        <f t="shared" si="106"/>
        <v>0</v>
      </c>
      <c r="AD261" s="416">
        <f t="shared" si="106"/>
        <v>0</v>
      </c>
      <c r="AE261" s="416">
        <f t="shared" si="106"/>
        <v>0</v>
      </c>
      <c r="AF261" s="416">
        <f t="shared" si="106"/>
        <v>0</v>
      </c>
      <c r="AG261" s="416">
        <f t="shared" si="106"/>
        <v>0</v>
      </c>
      <c r="AH261" s="416">
        <f t="shared" si="106"/>
        <v>0</v>
      </c>
      <c r="AI261" s="416">
        <f t="shared" si="106"/>
        <v>0</v>
      </c>
      <c r="AJ261" s="416">
        <f t="shared" si="106"/>
        <v>0</v>
      </c>
      <c r="AK261" s="416">
        <f t="shared" si="106"/>
        <v>0</v>
      </c>
      <c r="AL261" s="416">
        <f t="shared" si="106"/>
        <v>0</v>
      </c>
      <c r="AM261" s="416">
        <f t="shared" si="106"/>
        <v>0</v>
      </c>
      <c r="AN261" s="416">
        <f t="shared" si="106"/>
        <v>0</v>
      </c>
      <c r="AO261" s="416">
        <f t="shared" si="106"/>
        <v>0</v>
      </c>
      <c r="AP261" s="416">
        <f t="shared" si="106"/>
        <v>0</v>
      </c>
      <c r="AQ261" s="416">
        <f t="shared" si="106"/>
        <v>0</v>
      </c>
      <c r="AR261" s="416">
        <f t="shared" si="106"/>
        <v>0</v>
      </c>
      <c r="AS261" s="416">
        <f t="shared" si="106"/>
        <v>0</v>
      </c>
      <c r="AT261" s="416">
        <f t="shared" si="106"/>
        <v>0</v>
      </c>
      <c r="AU261" s="416">
        <f t="shared" si="106"/>
        <v>0</v>
      </c>
      <c r="AV261" s="416">
        <f t="shared" si="106"/>
        <v>0</v>
      </c>
      <c r="AW261" s="416">
        <f t="shared" si="106"/>
        <v>0</v>
      </c>
      <c r="AX261" s="416">
        <f t="shared" si="106"/>
        <v>0</v>
      </c>
      <c r="AY261" s="416">
        <f t="shared" si="106"/>
        <v>0</v>
      </c>
      <c r="AZ261" s="416">
        <f t="shared" si="106"/>
        <v>0</v>
      </c>
      <c r="BA261" s="416">
        <f t="shared" si="106"/>
        <v>0</v>
      </c>
      <c r="BB261" s="416">
        <f t="shared" si="106"/>
        <v>0</v>
      </c>
      <c r="BC261" s="416">
        <f t="shared" si="106"/>
        <v>0</v>
      </c>
      <c r="BD261" s="416">
        <f t="shared" si="106"/>
        <v>0</v>
      </c>
      <c r="BE261" s="416">
        <f t="shared" si="106"/>
        <v>0</v>
      </c>
      <c r="BF261" s="416">
        <f t="shared" si="106"/>
        <v>0</v>
      </c>
      <c r="BG261" s="416">
        <f t="shared" si="106"/>
        <v>0</v>
      </c>
      <c r="BH261" s="416">
        <f t="shared" si="106"/>
        <v>0</v>
      </c>
      <c r="BI261" s="416">
        <f t="shared" si="106"/>
        <v>0</v>
      </c>
      <c r="BJ261" s="416">
        <f t="shared" si="106"/>
        <v>0</v>
      </c>
      <c r="BK261" s="416">
        <f t="shared" si="106"/>
        <v>986360000</v>
      </c>
      <c r="BL261" s="416">
        <f t="shared" si="106"/>
        <v>548734000</v>
      </c>
      <c r="BM261" s="416">
        <f t="shared" si="106"/>
        <v>402956000</v>
      </c>
      <c r="BN261" s="416">
        <f t="shared" si="106"/>
        <v>0</v>
      </c>
      <c r="BO261" s="416">
        <f t="shared" si="106"/>
        <v>0</v>
      </c>
      <c r="BP261" s="416">
        <f t="shared" si="106"/>
        <v>0</v>
      </c>
      <c r="BQ261" s="416">
        <f t="shared" si="106"/>
        <v>0</v>
      </c>
      <c r="BR261" s="416">
        <f t="shared" si="106"/>
        <v>0</v>
      </c>
      <c r="BS261" s="416">
        <f t="shared" si="106"/>
        <v>0</v>
      </c>
      <c r="BT261" s="416">
        <f t="shared" si="106"/>
        <v>0</v>
      </c>
      <c r="BU261" s="416">
        <f t="shared" si="106"/>
        <v>0</v>
      </c>
      <c r="BV261" s="416">
        <f t="shared" si="106"/>
        <v>0</v>
      </c>
      <c r="BW261" s="416">
        <f t="shared" si="106"/>
        <v>0</v>
      </c>
      <c r="BX261" s="416">
        <f t="shared" si="106"/>
        <v>0</v>
      </c>
      <c r="BY261" s="416">
        <f t="shared" si="106"/>
        <v>0</v>
      </c>
      <c r="BZ261" s="416">
        <f>BZ260+BZ254+BZ247</f>
        <v>986360000</v>
      </c>
      <c r="CA261" s="416">
        <f t="shared" ref="CA261:CB261" si="107">CA260+CA254+CA247</f>
        <v>548734000</v>
      </c>
      <c r="CB261" s="416">
        <f t="shared" si="107"/>
        <v>402956000</v>
      </c>
    </row>
    <row r="262" spans="1:80" ht="30" customHeight="1" x14ac:dyDescent="0.2">
      <c r="A262" s="42"/>
      <c r="B262" s="82"/>
      <c r="C262" s="137"/>
      <c r="D262" s="72"/>
      <c r="E262" s="150"/>
      <c r="F262" s="727"/>
      <c r="G262" s="729"/>
      <c r="H262" s="57"/>
      <c r="I262" s="729"/>
      <c r="J262" s="57"/>
      <c r="K262" s="220"/>
      <c r="L262" s="220"/>
      <c r="M262" s="220"/>
      <c r="N262" s="57"/>
      <c r="O262" s="57"/>
      <c r="P262" s="729"/>
      <c r="Q262" s="57"/>
      <c r="R262" s="401"/>
      <c r="S262" s="401"/>
      <c r="T262" s="401"/>
      <c r="U262" s="401"/>
      <c r="V262" s="401"/>
      <c r="W262" s="401"/>
      <c r="X262" s="401"/>
      <c r="Y262" s="401"/>
      <c r="Z262" s="401"/>
      <c r="AA262" s="401"/>
      <c r="AB262" s="401"/>
      <c r="AC262" s="401"/>
      <c r="AD262" s="401"/>
      <c r="AE262" s="401"/>
      <c r="AF262" s="401"/>
      <c r="AG262" s="401"/>
      <c r="AH262" s="401"/>
      <c r="AI262" s="401"/>
      <c r="AJ262" s="401"/>
      <c r="AK262" s="401"/>
      <c r="AL262" s="401"/>
      <c r="AM262" s="401"/>
      <c r="AN262" s="401"/>
      <c r="AO262" s="401"/>
      <c r="AP262" s="401"/>
      <c r="AQ262" s="401"/>
      <c r="AR262" s="401"/>
      <c r="AS262" s="401"/>
      <c r="AT262" s="401"/>
      <c r="AU262" s="401"/>
      <c r="AV262" s="401"/>
      <c r="AW262" s="401"/>
      <c r="AX262" s="401"/>
      <c r="AY262" s="401"/>
      <c r="AZ262" s="401"/>
      <c r="BA262" s="401"/>
      <c r="BB262" s="401"/>
      <c r="BC262" s="401"/>
      <c r="BD262" s="401"/>
      <c r="BE262" s="401"/>
      <c r="BF262" s="401"/>
      <c r="BG262" s="401"/>
      <c r="BH262" s="401"/>
      <c r="BI262" s="401"/>
      <c r="BJ262" s="401"/>
      <c r="BK262" s="402"/>
      <c r="BL262" s="402"/>
      <c r="BM262" s="402"/>
      <c r="BN262" s="401"/>
      <c r="BO262" s="401"/>
      <c r="BP262" s="401"/>
      <c r="BQ262" s="401"/>
      <c r="BR262" s="403"/>
      <c r="BS262" s="403"/>
      <c r="BT262" s="403"/>
      <c r="BU262" s="403"/>
      <c r="BV262" s="403"/>
      <c r="BW262" s="403"/>
      <c r="BX262" s="403"/>
      <c r="BY262" s="403"/>
      <c r="BZ262" s="403"/>
      <c r="CA262" s="403"/>
      <c r="CB262" s="401"/>
    </row>
    <row r="263" spans="1:80" ht="30" customHeight="1" x14ac:dyDescent="0.2">
      <c r="A263" s="42"/>
      <c r="B263" s="125">
        <v>3</v>
      </c>
      <c r="C263" s="38" t="s">
        <v>359</v>
      </c>
      <c r="D263" s="39"/>
      <c r="E263" s="39"/>
      <c r="F263" s="39"/>
      <c r="G263" s="39"/>
      <c r="H263" s="40"/>
      <c r="I263" s="39"/>
      <c r="J263" s="39"/>
      <c r="K263" s="225"/>
      <c r="L263" s="225"/>
      <c r="M263" s="225"/>
      <c r="N263" s="40"/>
      <c r="O263" s="40"/>
      <c r="P263" s="39"/>
      <c r="Q263" s="39"/>
      <c r="R263" s="412"/>
      <c r="S263" s="412"/>
      <c r="T263" s="412"/>
      <c r="U263" s="412"/>
      <c r="V263" s="412"/>
      <c r="W263" s="412"/>
      <c r="X263" s="412"/>
      <c r="Y263" s="412"/>
      <c r="Z263" s="412"/>
      <c r="AA263" s="412"/>
      <c r="AB263" s="412"/>
      <c r="AC263" s="412"/>
      <c r="AD263" s="412"/>
      <c r="AE263" s="412"/>
      <c r="AF263" s="412"/>
      <c r="AG263" s="412"/>
      <c r="AH263" s="412"/>
      <c r="AI263" s="412"/>
      <c r="AJ263" s="412"/>
      <c r="AK263" s="412"/>
      <c r="AL263" s="412"/>
      <c r="AM263" s="412"/>
      <c r="AN263" s="412"/>
      <c r="AO263" s="412"/>
      <c r="AP263" s="412"/>
      <c r="AQ263" s="412"/>
      <c r="AR263" s="412"/>
      <c r="AS263" s="412"/>
      <c r="AT263" s="412"/>
      <c r="AU263" s="412"/>
      <c r="AV263" s="412"/>
      <c r="AW263" s="412"/>
      <c r="AX263" s="412"/>
      <c r="AY263" s="412"/>
      <c r="AZ263" s="412"/>
      <c r="BA263" s="412"/>
      <c r="BB263" s="412"/>
      <c r="BC263" s="412"/>
      <c r="BD263" s="412"/>
      <c r="BE263" s="412"/>
      <c r="BF263" s="412"/>
      <c r="BG263" s="412"/>
      <c r="BH263" s="412"/>
      <c r="BI263" s="412"/>
      <c r="BJ263" s="412"/>
      <c r="BK263" s="413"/>
      <c r="BL263" s="413"/>
      <c r="BM263" s="413"/>
      <c r="BN263" s="412"/>
      <c r="BO263" s="412"/>
      <c r="BP263" s="412"/>
      <c r="BQ263" s="412"/>
      <c r="BR263" s="412"/>
      <c r="BS263" s="412"/>
      <c r="BT263" s="412"/>
      <c r="BU263" s="412"/>
      <c r="BV263" s="412"/>
      <c r="BW263" s="412"/>
      <c r="BX263" s="412"/>
      <c r="BY263" s="412"/>
      <c r="BZ263" s="417"/>
      <c r="CA263" s="417"/>
      <c r="CB263" s="417"/>
    </row>
    <row r="264" spans="1:80" ht="30" customHeight="1" x14ac:dyDescent="0.2">
      <c r="A264" s="42"/>
      <c r="B264" s="43" t="s">
        <v>69</v>
      </c>
      <c r="C264" s="27"/>
      <c r="D264" s="536"/>
      <c r="E264" s="536"/>
      <c r="F264" s="536"/>
      <c r="G264" s="203">
        <v>11</v>
      </c>
      <c r="H264" s="105" t="s">
        <v>360</v>
      </c>
      <c r="I264" s="105"/>
      <c r="J264" s="105"/>
      <c r="K264" s="226"/>
      <c r="L264" s="226"/>
      <c r="M264" s="226"/>
      <c r="N264" s="391"/>
      <c r="O264" s="391"/>
      <c r="P264" s="105"/>
      <c r="Q264" s="105"/>
      <c r="R264" s="418"/>
      <c r="S264" s="418"/>
      <c r="T264" s="418"/>
      <c r="U264" s="418"/>
      <c r="V264" s="418"/>
      <c r="W264" s="418"/>
      <c r="X264" s="418"/>
      <c r="Y264" s="418"/>
      <c r="Z264" s="418"/>
      <c r="AA264" s="418"/>
      <c r="AB264" s="418"/>
      <c r="AC264" s="418"/>
      <c r="AD264" s="418"/>
      <c r="AE264" s="418"/>
      <c r="AF264" s="418"/>
      <c r="AG264" s="418"/>
      <c r="AH264" s="418"/>
      <c r="AI264" s="418"/>
      <c r="AJ264" s="418"/>
      <c r="AK264" s="418"/>
      <c r="AL264" s="418"/>
      <c r="AM264" s="418"/>
      <c r="AN264" s="418"/>
      <c r="AO264" s="418"/>
      <c r="AP264" s="418"/>
      <c r="AQ264" s="418"/>
      <c r="AR264" s="418"/>
      <c r="AS264" s="418"/>
      <c r="AT264" s="418"/>
      <c r="AU264" s="418"/>
      <c r="AV264" s="418"/>
      <c r="AW264" s="418"/>
      <c r="AX264" s="418"/>
      <c r="AY264" s="418"/>
      <c r="AZ264" s="418"/>
      <c r="BA264" s="418"/>
      <c r="BB264" s="418"/>
      <c r="BC264" s="418"/>
      <c r="BD264" s="418"/>
      <c r="BE264" s="418"/>
      <c r="BF264" s="418"/>
      <c r="BG264" s="418"/>
      <c r="BH264" s="418"/>
      <c r="BI264" s="418"/>
      <c r="BJ264" s="418"/>
      <c r="BK264" s="419"/>
      <c r="BL264" s="419"/>
      <c r="BM264" s="419"/>
      <c r="BN264" s="418"/>
      <c r="BO264" s="418"/>
      <c r="BP264" s="418"/>
      <c r="BQ264" s="418"/>
      <c r="BR264" s="418"/>
      <c r="BS264" s="418"/>
      <c r="BT264" s="418"/>
      <c r="BU264" s="418"/>
      <c r="BV264" s="418"/>
      <c r="BW264" s="418"/>
      <c r="BX264" s="418"/>
      <c r="BY264" s="418"/>
      <c r="BZ264" s="420"/>
      <c r="CA264" s="420"/>
      <c r="CB264" s="420"/>
    </row>
    <row r="265" spans="1:80" ht="80.25" customHeight="1" x14ac:dyDescent="0.2">
      <c r="A265" s="42"/>
      <c r="B265" s="49"/>
      <c r="C265" s="883" t="s">
        <v>361</v>
      </c>
      <c r="D265" s="891" t="s">
        <v>362</v>
      </c>
      <c r="E265" s="883" t="s">
        <v>363</v>
      </c>
      <c r="F265" s="883" t="s">
        <v>364</v>
      </c>
      <c r="G265" s="714"/>
      <c r="H265" s="57">
        <v>50</v>
      </c>
      <c r="I265" s="729" t="s">
        <v>365</v>
      </c>
      <c r="J265" s="57" t="s">
        <v>43</v>
      </c>
      <c r="K265" s="170">
        <v>5</v>
      </c>
      <c r="L265" s="169">
        <v>4</v>
      </c>
      <c r="M265" s="884">
        <v>2017003630047</v>
      </c>
      <c r="N265" s="895" t="s">
        <v>327</v>
      </c>
      <c r="O265" s="895" t="s">
        <v>366</v>
      </c>
      <c r="P265" s="890" t="s">
        <v>367</v>
      </c>
      <c r="Q265" s="57" t="s">
        <v>67</v>
      </c>
      <c r="R265" s="401">
        <v>0</v>
      </c>
      <c r="S265" s="401"/>
      <c r="T265" s="401"/>
      <c r="U265" s="401">
        <v>0</v>
      </c>
      <c r="V265" s="401"/>
      <c r="W265" s="401"/>
      <c r="X265" s="401">
        <v>0</v>
      </c>
      <c r="Y265" s="401"/>
      <c r="Z265" s="401"/>
      <c r="AA265" s="401">
        <v>0</v>
      </c>
      <c r="AB265" s="401"/>
      <c r="AC265" s="401"/>
      <c r="AD265" s="401">
        <v>0</v>
      </c>
      <c r="AE265" s="401"/>
      <c r="AF265" s="401"/>
      <c r="AG265" s="401">
        <v>0</v>
      </c>
      <c r="AH265" s="401"/>
      <c r="AI265" s="401"/>
      <c r="AJ265" s="401">
        <v>0</v>
      </c>
      <c r="AK265" s="401"/>
      <c r="AL265" s="401"/>
      <c r="AM265" s="401"/>
      <c r="AN265" s="401"/>
      <c r="AO265" s="401"/>
      <c r="AP265" s="401"/>
      <c r="AQ265" s="401"/>
      <c r="AR265" s="401"/>
      <c r="AS265" s="401">
        <v>0</v>
      </c>
      <c r="AT265" s="401"/>
      <c r="AU265" s="401"/>
      <c r="AV265" s="401">
        <v>0</v>
      </c>
      <c r="AW265" s="401"/>
      <c r="AX265" s="401"/>
      <c r="AY265" s="401"/>
      <c r="AZ265" s="401"/>
      <c r="BA265" s="401"/>
      <c r="BB265" s="401"/>
      <c r="BC265" s="401"/>
      <c r="BD265" s="401"/>
      <c r="BE265" s="401">
        <v>0</v>
      </c>
      <c r="BF265" s="401"/>
      <c r="BG265" s="401"/>
      <c r="BH265" s="401">
        <v>0</v>
      </c>
      <c r="BI265" s="401"/>
      <c r="BJ265" s="401"/>
      <c r="BK265" s="402">
        <v>120000000</v>
      </c>
      <c r="BL265" s="402">
        <v>97780000</v>
      </c>
      <c r="BM265" s="402">
        <v>72940000</v>
      </c>
      <c r="BN265" s="402"/>
      <c r="BO265" s="402"/>
      <c r="BP265" s="402"/>
      <c r="BQ265" s="401">
        <v>0</v>
      </c>
      <c r="BR265" s="403"/>
      <c r="BS265" s="403"/>
      <c r="BT265" s="403"/>
      <c r="BU265" s="403"/>
      <c r="BV265" s="403"/>
      <c r="BW265" s="403"/>
      <c r="BX265" s="403"/>
      <c r="BY265" s="403"/>
      <c r="BZ265" s="401">
        <f t="shared" ref="BZ265:CB266" si="108">R265+U265+X265+AA265+AD265+AG265+AJ265+AM265+AP265+AS265+AV265+AY265+BB265+BE265+BH265+BK265+BN265+BQ265+BT265+BW265</f>
        <v>120000000</v>
      </c>
      <c r="CA265" s="401">
        <f t="shared" si="108"/>
        <v>97780000</v>
      </c>
      <c r="CB265" s="401">
        <f t="shared" si="108"/>
        <v>72940000</v>
      </c>
    </row>
    <row r="266" spans="1:80" ht="52.5" customHeight="1" x14ac:dyDescent="0.2">
      <c r="A266" s="42"/>
      <c r="B266" s="49"/>
      <c r="C266" s="883"/>
      <c r="D266" s="891"/>
      <c r="E266" s="883"/>
      <c r="F266" s="883"/>
      <c r="G266" s="714"/>
      <c r="H266" s="727">
        <v>51</v>
      </c>
      <c r="I266" s="729" t="s">
        <v>368</v>
      </c>
      <c r="J266" s="57">
        <v>0</v>
      </c>
      <c r="K266" s="169">
        <v>1</v>
      </c>
      <c r="L266" s="220">
        <v>0.75</v>
      </c>
      <c r="M266" s="886"/>
      <c r="N266" s="898"/>
      <c r="O266" s="898"/>
      <c r="P266" s="892"/>
      <c r="Q266" s="57" t="s">
        <v>52</v>
      </c>
      <c r="R266" s="401"/>
      <c r="S266" s="401"/>
      <c r="T266" s="401"/>
      <c r="U266" s="401"/>
      <c r="V266" s="401"/>
      <c r="W266" s="401"/>
      <c r="X266" s="401"/>
      <c r="Y266" s="401"/>
      <c r="Z266" s="401"/>
      <c r="AA266" s="401"/>
      <c r="AB266" s="401"/>
      <c r="AC266" s="401"/>
      <c r="AD266" s="401"/>
      <c r="AE266" s="401"/>
      <c r="AF266" s="401"/>
      <c r="AG266" s="401"/>
      <c r="AH266" s="401"/>
      <c r="AI266" s="401"/>
      <c r="AJ266" s="401"/>
      <c r="AK266" s="401"/>
      <c r="AL266" s="401"/>
      <c r="AM266" s="401"/>
      <c r="AN266" s="401"/>
      <c r="AO266" s="401"/>
      <c r="AP266" s="401"/>
      <c r="AQ266" s="401"/>
      <c r="AR266" s="401"/>
      <c r="AS266" s="401"/>
      <c r="AT266" s="401"/>
      <c r="AU266" s="401"/>
      <c r="AV266" s="401"/>
      <c r="AW266" s="401"/>
      <c r="AX266" s="401"/>
      <c r="AY266" s="401"/>
      <c r="AZ266" s="401"/>
      <c r="BA266" s="401"/>
      <c r="BB266" s="401"/>
      <c r="BC266" s="401"/>
      <c r="BD266" s="401"/>
      <c r="BE266" s="401"/>
      <c r="BF266" s="401"/>
      <c r="BG266" s="401"/>
      <c r="BH266" s="401"/>
      <c r="BI266" s="401"/>
      <c r="BJ266" s="401"/>
      <c r="BK266" s="402">
        <v>30000000</v>
      </c>
      <c r="BL266" s="402">
        <v>22500000</v>
      </c>
      <c r="BM266" s="402">
        <v>17500000</v>
      </c>
      <c r="BN266" s="402"/>
      <c r="BO266" s="402"/>
      <c r="BP266" s="402"/>
      <c r="BQ266" s="401"/>
      <c r="BR266" s="403"/>
      <c r="BS266" s="403"/>
      <c r="BT266" s="403"/>
      <c r="BU266" s="403"/>
      <c r="BV266" s="403"/>
      <c r="BW266" s="403"/>
      <c r="BX266" s="403"/>
      <c r="BY266" s="403"/>
      <c r="BZ266" s="401">
        <f t="shared" si="108"/>
        <v>30000000</v>
      </c>
      <c r="CA266" s="401">
        <f t="shared" si="108"/>
        <v>22500000</v>
      </c>
      <c r="CB266" s="401">
        <f t="shared" si="108"/>
        <v>17500000</v>
      </c>
    </row>
    <row r="267" spans="1:80" ht="33" customHeight="1" x14ac:dyDescent="0.2">
      <c r="A267" s="42"/>
      <c r="B267" s="49"/>
      <c r="C267" s="714"/>
      <c r="D267" s="709"/>
      <c r="E267" s="714"/>
      <c r="F267" s="714"/>
      <c r="G267" s="58"/>
      <c r="H267" s="59"/>
      <c r="I267" s="58"/>
      <c r="J267" s="59"/>
      <c r="K267" s="191"/>
      <c r="L267" s="222"/>
      <c r="M267" s="191"/>
      <c r="N267" s="59"/>
      <c r="O267" s="59"/>
      <c r="P267" s="58"/>
      <c r="Q267" s="59"/>
      <c r="R267" s="410">
        <f t="shared" ref="R267:BY267" si="109">SUM(R265:R266)</f>
        <v>0</v>
      </c>
      <c r="S267" s="410">
        <f t="shared" si="109"/>
        <v>0</v>
      </c>
      <c r="T267" s="410">
        <f t="shared" si="109"/>
        <v>0</v>
      </c>
      <c r="U267" s="410">
        <f t="shared" si="109"/>
        <v>0</v>
      </c>
      <c r="V267" s="410">
        <f t="shared" si="109"/>
        <v>0</v>
      </c>
      <c r="W267" s="410">
        <f t="shared" si="109"/>
        <v>0</v>
      </c>
      <c r="X267" s="410">
        <f t="shared" si="109"/>
        <v>0</v>
      </c>
      <c r="Y267" s="410">
        <f t="shared" si="109"/>
        <v>0</v>
      </c>
      <c r="Z267" s="410">
        <f t="shared" si="109"/>
        <v>0</v>
      </c>
      <c r="AA267" s="410">
        <f t="shared" si="109"/>
        <v>0</v>
      </c>
      <c r="AB267" s="410">
        <f t="shared" si="109"/>
        <v>0</v>
      </c>
      <c r="AC267" s="410">
        <f t="shared" si="109"/>
        <v>0</v>
      </c>
      <c r="AD267" s="410">
        <f t="shared" si="109"/>
        <v>0</v>
      </c>
      <c r="AE267" s="410">
        <f t="shared" si="109"/>
        <v>0</v>
      </c>
      <c r="AF267" s="410">
        <f t="shared" si="109"/>
        <v>0</v>
      </c>
      <c r="AG267" s="410">
        <f t="shared" si="109"/>
        <v>0</v>
      </c>
      <c r="AH267" s="410">
        <f t="shared" si="109"/>
        <v>0</v>
      </c>
      <c r="AI267" s="410">
        <f t="shared" si="109"/>
        <v>0</v>
      </c>
      <c r="AJ267" s="410">
        <f t="shared" si="109"/>
        <v>0</v>
      </c>
      <c r="AK267" s="410">
        <f t="shared" si="109"/>
        <v>0</v>
      </c>
      <c r="AL267" s="410">
        <f t="shared" si="109"/>
        <v>0</v>
      </c>
      <c r="AM267" s="410">
        <f t="shared" si="109"/>
        <v>0</v>
      </c>
      <c r="AN267" s="410">
        <f t="shared" si="109"/>
        <v>0</v>
      </c>
      <c r="AO267" s="410">
        <f t="shared" si="109"/>
        <v>0</v>
      </c>
      <c r="AP267" s="410">
        <f t="shared" si="109"/>
        <v>0</v>
      </c>
      <c r="AQ267" s="410">
        <f t="shared" si="109"/>
        <v>0</v>
      </c>
      <c r="AR267" s="410">
        <f t="shared" si="109"/>
        <v>0</v>
      </c>
      <c r="AS267" s="410">
        <f t="shared" si="109"/>
        <v>0</v>
      </c>
      <c r="AT267" s="410">
        <f t="shared" si="109"/>
        <v>0</v>
      </c>
      <c r="AU267" s="410">
        <f t="shared" si="109"/>
        <v>0</v>
      </c>
      <c r="AV267" s="410">
        <f t="shared" si="109"/>
        <v>0</v>
      </c>
      <c r="AW267" s="410">
        <f t="shared" si="109"/>
        <v>0</v>
      </c>
      <c r="AX267" s="410">
        <f t="shared" si="109"/>
        <v>0</v>
      </c>
      <c r="AY267" s="410">
        <f t="shared" si="109"/>
        <v>0</v>
      </c>
      <c r="AZ267" s="410">
        <f t="shared" si="109"/>
        <v>0</v>
      </c>
      <c r="BA267" s="410">
        <f t="shared" si="109"/>
        <v>0</v>
      </c>
      <c r="BB267" s="410">
        <f t="shared" si="109"/>
        <v>0</v>
      </c>
      <c r="BC267" s="410">
        <f t="shared" si="109"/>
        <v>0</v>
      </c>
      <c r="BD267" s="410">
        <f t="shared" si="109"/>
        <v>0</v>
      </c>
      <c r="BE267" s="410">
        <f t="shared" si="109"/>
        <v>0</v>
      </c>
      <c r="BF267" s="410">
        <f t="shared" si="109"/>
        <v>0</v>
      </c>
      <c r="BG267" s="410">
        <f t="shared" si="109"/>
        <v>0</v>
      </c>
      <c r="BH267" s="410">
        <f t="shared" si="109"/>
        <v>0</v>
      </c>
      <c r="BI267" s="410">
        <f t="shared" si="109"/>
        <v>0</v>
      </c>
      <c r="BJ267" s="410">
        <f t="shared" si="109"/>
        <v>0</v>
      </c>
      <c r="BK267" s="410">
        <f t="shared" si="109"/>
        <v>150000000</v>
      </c>
      <c r="BL267" s="410">
        <f t="shared" si="109"/>
        <v>120280000</v>
      </c>
      <c r="BM267" s="410">
        <f t="shared" si="109"/>
        <v>90440000</v>
      </c>
      <c r="BN267" s="410">
        <f t="shared" si="109"/>
        <v>0</v>
      </c>
      <c r="BO267" s="410">
        <f t="shared" si="109"/>
        <v>0</v>
      </c>
      <c r="BP267" s="410">
        <f t="shared" si="109"/>
        <v>0</v>
      </c>
      <c r="BQ267" s="410">
        <f t="shared" si="109"/>
        <v>0</v>
      </c>
      <c r="BR267" s="410">
        <f t="shared" si="109"/>
        <v>0</v>
      </c>
      <c r="BS267" s="410">
        <f t="shared" si="109"/>
        <v>0</v>
      </c>
      <c r="BT267" s="410">
        <f t="shared" si="109"/>
        <v>0</v>
      </c>
      <c r="BU267" s="410">
        <f t="shared" si="109"/>
        <v>0</v>
      </c>
      <c r="BV267" s="410">
        <f t="shared" si="109"/>
        <v>0</v>
      </c>
      <c r="BW267" s="410">
        <f t="shared" si="109"/>
        <v>0</v>
      </c>
      <c r="BX267" s="410">
        <f t="shared" si="109"/>
        <v>0</v>
      </c>
      <c r="BY267" s="410">
        <f t="shared" si="109"/>
        <v>0</v>
      </c>
      <c r="BZ267" s="410">
        <f>SUM(BZ265:BZ266)</f>
        <v>150000000</v>
      </c>
      <c r="CA267" s="410">
        <f t="shared" ref="CA267:CB267" si="110">SUM(CA265:CA266)</f>
        <v>120280000</v>
      </c>
      <c r="CB267" s="410">
        <f t="shared" si="110"/>
        <v>90440000</v>
      </c>
    </row>
    <row r="268" spans="1:80" ht="30" customHeight="1" x14ac:dyDescent="0.2">
      <c r="A268" s="42"/>
      <c r="B268" s="49"/>
      <c r="C268" s="150"/>
      <c r="D268" s="72"/>
      <c r="E268" s="150"/>
      <c r="F268" s="150"/>
      <c r="G268" s="72"/>
      <c r="H268" s="150"/>
      <c r="I268" s="72"/>
      <c r="J268" s="150"/>
      <c r="K268" s="195"/>
      <c r="L268" s="223"/>
      <c r="M268" s="195"/>
      <c r="N268" s="150"/>
      <c r="O268" s="150"/>
      <c r="P268" s="72"/>
      <c r="Q268" s="150"/>
      <c r="R268" s="405"/>
      <c r="S268" s="405"/>
      <c r="T268" s="405"/>
      <c r="U268" s="406"/>
      <c r="V268" s="406"/>
      <c r="W268" s="406"/>
      <c r="X268" s="405"/>
      <c r="Y268" s="405"/>
      <c r="Z268" s="405"/>
      <c r="AA268" s="405"/>
      <c r="AB268" s="405"/>
      <c r="AC268" s="405"/>
      <c r="AD268" s="405"/>
      <c r="AE268" s="405"/>
      <c r="AF268" s="405"/>
      <c r="AG268" s="405"/>
      <c r="AH268" s="405"/>
      <c r="AI268" s="405"/>
      <c r="AJ268" s="405"/>
      <c r="AK268" s="405"/>
      <c r="AL268" s="405"/>
      <c r="AM268" s="405"/>
      <c r="AN268" s="405"/>
      <c r="AO268" s="405"/>
      <c r="AP268" s="405"/>
      <c r="AQ268" s="405"/>
      <c r="AR268" s="405"/>
      <c r="AS268" s="405"/>
      <c r="AT268" s="405"/>
      <c r="AU268" s="405"/>
      <c r="AV268" s="405"/>
      <c r="AW268" s="405"/>
      <c r="AX268" s="405"/>
      <c r="AY268" s="405"/>
      <c r="AZ268" s="405"/>
      <c r="BA268" s="405"/>
      <c r="BB268" s="405"/>
      <c r="BC268" s="405"/>
      <c r="BD268" s="405"/>
      <c r="BE268" s="405"/>
      <c r="BF268" s="405"/>
      <c r="BG268" s="405"/>
      <c r="BH268" s="405"/>
      <c r="BI268" s="791"/>
      <c r="BJ268" s="791"/>
      <c r="BK268" s="793" t="s">
        <v>69</v>
      </c>
      <c r="BL268" s="793"/>
      <c r="BM268" s="793"/>
      <c r="BN268" s="794"/>
      <c r="BO268" s="794"/>
      <c r="BP268" s="794"/>
      <c r="BQ268" s="405"/>
      <c r="BR268" s="405"/>
      <c r="BS268" s="405"/>
      <c r="BT268" s="405"/>
      <c r="BU268" s="405"/>
      <c r="BV268" s="405"/>
      <c r="BW268" s="405"/>
      <c r="BX268" s="405"/>
      <c r="BY268" s="405"/>
      <c r="BZ268" s="409"/>
      <c r="CA268" s="409"/>
      <c r="CB268" s="409"/>
    </row>
    <row r="269" spans="1:80" ht="30" customHeight="1" x14ac:dyDescent="0.2">
      <c r="A269" s="42"/>
      <c r="B269" s="49"/>
      <c r="C269" s="713"/>
      <c r="D269" s="707"/>
      <c r="E269" s="713"/>
      <c r="F269" s="713"/>
      <c r="G269" s="140">
        <v>12</v>
      </c>
      <c r="H269" s="172" t="s">
        <v>369</v>
      </c>
      <c r="I269" s="80"/>
      <c r="J269" s="80"/>
      <c r="K269" s="153"/>
      <c r="L269" s="221"/>
      <c r="M269" s="153"/>
      <c r="N269" s="173"/>
      <c r="O269" s="173"/>
      <c r="P269" s="80"/>
      <c r="Q269" s="80"/>
      <c r="R269" s="267"/>
      <c r="S269" s="267"/>
      <c r="T269" s="267"/>
      <c r="U269" s="267"/>
      <c r="V269" s="267"/>
      <c r="W269" s="267"/>
      <c r="X269" s="267"/>
      <c r="Y269" s="267"/>
      <c r="Z269" s="267"/>
      <c r="AA269" s="267"/>
      <c r="AB269" s="267"/>
      <c r="AC269" s="267"/>
      <c r="AD269" s="267"/>
      <c r="AE269" s="267"/>
      <c r="AF269" s="267"/>
      <c r="AG269" s="267"/>
      <c r="AH269" s="267"/>
      <c r="AI269" s="773"/>
      <c r="AJ269" s="773"/>
      <c r="AK269" s="773"/>
      <c r="AL269" s="773"/>
      <c r="AM269" s="773"/>
      <c r="AN269" s="773"/>
      <c r="AO269" s="773"/>
      <c r="AP269" s="773"/>
      <c r="AQ269" s="773"/>
      <c r="AR269" s="773"/>
      <c r="AS269" s="773"/>
      <c r="AT269" s="773"/>
      <c r="AU269" s="773"/>
      <c r="AV269" s="773"/>
      <c r="AW269" s="773"/>
      <c r="AX269" s="773"/>
      <c r="AY269" s="773"/>
      <c r="AZ269" s="773"/>
      <c r="BA269" s="773"/>
      <c r="BB269" s="773"/>
      <c r="BC269" s="773"/>
      <c r="BD269" s="773"/>
      <c r="BE269" s="773"/>
      <c r="BF269" s="773"/>
      <c r="BG269" s="773"/>
      <c r="BH269" s="773"/>
      <c r="BI269" s="773"/>
      <c r="BJ269" s="773"/>
      <c r="BK269" s="414"/>
      <c r="BL269" s="774"/>
      <c r="BM269" s="774"/>
      <c r="BN269" s="773"/>
      <c r="BO269" s="773"/>
      <c r="BP269" s="773"/>
      <c r="BQ269" s="773"/>
      <c r="BR269" s="773"/>
      <c r="BS269" s="773"/>
      <c r="BT269" s="773"/>
      <c r="BU269" s="773"/>
      <c r="BV269" s="773"/>
      <c r="BW269" s="773"/>
      <c r="BX269" s="773"/>
      <c r="BY269" s="773"/>
      <c r="BZ269" s="459"/>
      <c r="CA269" s="459"/>
      <c r="CB269" s="459"/>
    </row>
    <row r="270" spans="1:80" ht="116.25" customHeight="1" x14ac:dyDescent="0.2">
      <c r="A270" s="42"/>
      <c r="B270" s="49"/>
      <c r="C270" s="702" t="s">
        <v>361</v>
      </c>
      <c r="D270" s="708" t="s">
        <v>1087</v>
      </c>
      <c r="E270" s="702" t="s">
        <v>363</v>
      </c>
      <c r="F270" s="702" t="s">
        <v>364</v>
      </c>
      <c r="G270" s="713"/>
      <c r="H270" s="57">
        <v>52</v>
      </c>
      <c r="I270" s="729" t="s">
        <v>370</v>
      </c>
      <c r="J270" s="57">
        <v>0</v>
      </c>
      <c r="K270" s="169">
        <v>3</v>
      </c>
      <c r="L270" s="169">
        <v>2</v>
      </c>
      <c r="M270" s="46">
        <v>2017003630048</v>
      </c>
      <c r="N270" s="57" t="s">
        <v>327</v>
      </c>
      <c r="O270" s="57" t="s">
        <v>371</v>
      </c>
      <c r="P270" s="729" t="s">
        <v>977</v>
      </c>
      <c r="Q270" s="57" t="s">
        <v>52</v>
      </c>
      <c r="R270" s="401">
        <v>0</v>
      </c>
      <c r="S270" s="401"/>
      <c r="T270" s="401"/>
      <c r="U270" s="401">
        <v>0</v>
      </c>
      <c r="V270" s="401"/>
      <c r="W270" s="401"/>
      <c r="X270" s="401">
        <v>0</v>
      </c>
      <c r="Y270" s="401"/>
      <c r="Z270" s="401"/>
      <c r="AA270" s="401">
        <v>0</v>
      </c>
      <c r="AB270" s="401"/>
      <c r="AC270" s="401"/>
      <c r="AD270" s="401">
        <v>0</v>
      </c>
      <c r="AE270" s="401"/>
      <c r="AF270" s="401"/>
      <c r="AG270" s="401">
        <v>0</v>
      </c>
      <c r="AH270" s="401"/>
      <c r="AI270" s="401"/>
      <c r="AJ270" s="401">
        <v>0</v>
      </c>
      <c r="AK270" s="401"/>
      <c r="AL270" s="401"/>
      <c r="AM270" s="401"/>
      <c r="AN270" s="401"/>
      <c r="AO270" s="401"/>
      <c r="AP270" s="401"/>
      <c r="AQ270" s="401"/>
      <c r="AR270" s="401"/>
      <c r="AS270" s="401">
        <v>0</v>
      </c>
      <c r="AT270" s="401"/>
      <c r="AU270" s="401"/>
      <c r="AV270" s="401">
        <v>0</v>
      </c>
      <c r="AW270" s="401"/>
      <c r="AX270" s="401"/>
      <c r="AY270" s="401"/>
      <c r="AZ270" s="401"/>
      <c r="BA270" s="401"/>
      <c r="BB270" s="401"/>
      <c r="BC270" s="401"/>
      <c r="BD270" s="401"/>
      <c r="BE270" s="401">
        <v>0</v>
      </c>
      <c r="BF270" s="401"/>
      <c r="BG270" s="401"/>
      <c r="BH270" s="401">
        <v>0</v>
      </c>
      <c r="BI270" s="401"/>
      <c r="BJ270" s="401"/>
      <c r="BK270" s="402">
        <f>120000000+136640000</f>
        <v>256640000</v>
      </c>
      <c r="BL270" s="402">
        <v>148060000</v>
      </c>
      <c r="BM270" s="402">
        <v>112700000</v>
      </c>
      <c r="BN270" s="402"/>
      <c r="BO270" s="402"/>
      <c r="BP270" s="402"/>
      <c r="BQ270" s="401"/>
      <c r="BR270" s="403"/>
      <c r="BS270" s="403"/>
      <c r="BT270" s="403"/>
      <c r="BU270" s="403"/>
      <c r="BV270" s="403"/>
      <c r="BW270" s="403">
        <v>0</v>
      </c>
      <c r="BX270" s="403"/>
      <c r="BY270" s="403"/>
      <c r="BZ270" s="401">
        <f>R270+U270+X270+AA270+AD270+AG270+AJ270+AM270+AP270+AS270+AV270+AY270+BB270+BE270+BH270+BK270+BN270+BQ270+BT270+BW270</f>
        <v>256640000</v>
      </c>
      <c r="CA270" s="401">
        <f t="shared" ref="CA270:CB270" si="111">S270+V270+Y270+AB270+AE270+AH270+AK270+AN270+AQ270+AT270+AW270+AZ270+BC270+BF270+BI270+BL270+BO270+BR270+BU270+BX270</f>
        <v>148060000</v>
      </c>
      <c r="CB270" s="401">
        <f t="shared" si="111"/>
        <v>112700000</v>
      </c>
    </row>
    <row r="271" spans="1:80" s="8" customFormat="1" ht="30" customHeight="1" x14ac:dyDescent="0.25">
      <c r="A271" s="42"/>
      <c r="B271" s="49"/>
      <c r="C271" s="714"/>
      <c r="D271" s="709"/>
      <c r="E271" s="714"/>
      <c r="F271" s="714"/>
      <c r="G271" s="58"/>
      <c r="H271" s="59"/>
      <c r="I271" s="58"/>
      <c r="J271" s="59"/>
      <c r="K271" s="222"/>
      <c r="L271" s="222"/>
      <c r="M271" s="222"/>
      <c r="N271" s="59"/>
      <c r="O271" s="59"/>
      <c r="P271" s="58"/>
      <c r="Q271" s="59"/>
      <c r="R271" s="410">
        <f t="shared" ref="R271:CB271" si="112">SUM(R270:R270)</f>
        <v>0</v>
      </c>
      <c r="S271" s="410">
        <f t="shared" si="112"/>
        <v>0</v>
      </c>
      <c r="T271" s="410">
        <f t="shared" si="112"/>
        <v>0</v>
      </c>
      <c r="U271" s="410">
        <f t="shared" si="112"/>
        <v>0</v>
      </c>
      <c r="V271" s="410">
        <f t="shared" si="112"/>
        <v>0</v>
      </c>
      <c r="W271" s="410">
        <f t="shared" si="112"/>
        <v>0</v>
      </c>
      <c r="X271" s="410">
        <f t="shared" si="112"/>
        <v>0</v>
      </c>
      <c r="Y271" s="410">
        <f t="shared" si="112"/>
        <v>0</v>
      </c>
      <c r="Z271" s="410">
        <f t="shared" si="112"/>
        <v>0</v>
      </c>
      <c r="AA271" s="410">
        <f t="shared" si="112"/>
        <v>0</v>
      </c>
      <c r="AB271" s="410">
        <f t="shared" si="112"/>
        <v>0</v>
      </c>
      <c r="AC271" s="410">
        <f t="shared" si="112"/>
        <v>0</v>
      </c>
      <c r="AD271" s="410">
        <f t="shared" si="112"/>
        <v>0</v>
      </c>
      <c r="AE271" s="410">
        <f t="shared" si="112"/>
        <v>0</v>
      </c>
      <c r="AF271" s="410">
        <f t="shared" si="112"/>
        <v>0</v>
      </c>
      <c r="AG271" s="410">
        <f t="shared" si="112"/>
        <v>0</v>
      </c>
      <c r="AH271" s="410">
        <f t="shared" si="112"/>
        <v>0</v>
      </c>
      <c r="AI271" s="410">
        <f t="shared" si="112"/>
        <v>0</v>
      </c>
      <c r="AJ271" s="410">
        <f t="shared" si="112"/>
        <v>0</v>
      </c>
      <c r="AK271" s="410">
        <f t="shared" si="112"/>
        <v>0</v>
      </c>
      <c r="AL271" s="410">
        <f t="shared" si="112"/>
        <v>0</v>
      </c>
      <c r="AM271" s="410">
        <f t="shared" si="112"/>
        <v>0</v>
      </c>
      <c r="AN271" s="410">
        <f t="shared" si="112"/>
        <v>0</v>
      </c>
      <c r="AO271" s="410">
        <f t="shared" si="112"/>
        <v>0</v>
      </c>
      <c r="AP271" s="410">
        <f t="shared" si="112"/>
        <v>0</v>
      </c>
      <c r="AQ271" s="410">
        <f t="shared" si="112"/>
        <v>0</v>
      </c>
      <c r="AR271" s="410">
        <f t="shared" si="112"/>
        <v>0</v>
      </c>
      <c r="AS271" s="410">
        <f t="shared" si="112"/>
        <v>0</v>
      </c>
      <c r="AT271" s="410">
        <f t="shared" si="112"/>
        <v>0</v>
      </c>
      <c r="AU271" s="410">
        <f t="shared" si="112"/>
        <v>0</v>
      </c>
      <c r="AV271" s="410">
        <f t="shared" si="112"/>
        <v>0</v>
      </c>
      <c r="AW271" s="410">
        <f t="shared" si="112"/>
        <v>0</v>
      </c>
      <c r="AX271" s="410">
        <f t="shared" si="112"/>
        <v>0</v>
      </c>
      <c r="AY271" s="410">
        <f t="shared" si="112"/>
        <v>0</v>
      </c>
      <c r="AZ271" s="410">
        <f t="shared" si="112"/>
        <v>0</v>
      </c>
      <c r="BA271" s="410">
        <f t="shared" si="112"/>
        <v>0</v>
      </c>
      <c r="BB271" s="410">
        <f t="shared" si="112"/>
        <v>0</v>
      </c>
      <c r="BC271" s="410">
        <f t="shared" si="112"/>
        <v>0</v>
      </c>
      <c r="BD271" s="410">
        <f t="shared" si="112"/>
        <v>0</v>
      </c>
      <c r="BE271" s="410">
        <f t="shared" si="112"/>
        <v>0</v>
      </c>
      <c r="BF271" s="410">
        <f t="shared" si="112"/>
        <v>0</v>
      </c>
      <c r="BG271" s="410">
        <f t="shared" si="112"/>
        <v>0</v>
      </c>
      <c r="BH271" s="410">
        <f t="shared" si="112"/>
        <v>0</v>
      </c>
      <c r="BI271" s="410">
        <f t="shared" si="112"/>
        <v>0</v>
      </c>
      <c r="BJ271" s="410">
        <f t="shared" si="112"/>
        <v>0</v>
      </c>
      <c r="BK271" s="410">
        <f t="shared" si="112"/>
        <v>256640000</v>
      </c>
      <c r="BL271" s="410">
        <f t="shared" si="112"/>
        <v>148060000</v>
      </c>
      <c r="BM271" s="410">
        <f t="shared" si="112"/>
        <v>112700000</v>
      </c>
      <c r="BN271" s="410">
        <f t="shared" si="112"/>
        <v>0</v>
      </c>
      <c r="BO271" s="410">
        <f t="shared" si="112"/>
        <v>0</v>
      </c>
      <c r="BP271" s="410">
        <f t="shared" si="112"/>
        <v>0</v>
      </c>
      <c r="BQ271" s="410">
        <f t="shared" si="112"/>
        <v>0</v>
      </c>
      <c r="BR271" s="410">
        <f t="shared" si="112"/>
        <v>0</v>
      </c>
      <c r="BS271" s="410">
        <f t="shared" si="112"/>
        <v>0</v>
      </c>
      <c r="BT271" s="410">
        <f t="shared" si="112"/>
        <v>0</v>
      </c>
      <c r="BU271" s="410">
        <f t="shared" si="112"/>
        <v>0</v>
      </c>
      <c r="BV271" s="410">
        <f t="shared" si="112"/>
        <v>0</v>
      </c>
      <c r="BW271" s="410">
        <f t="shared" si="112"/>
        <v>0</v>
      </c>
      <c r="BX271" s="410">
        <f t="shared" si="112"/>
        <v>0</v>
      </c>
      <c r="BY271" s="410">
        <f t="shared" si="112"/>
        <v>0</v>
      </c>
      <c r="BZ271" s="410">
        <f t="shared" si="112"/>
        <v>256640000</v>
      </c>
      <c r="CA271" s="410">
        <f t="shared" si="112"/>
        <v>148060000</v>
      </c>
      <c r="CB271" s="410">
        <f t="shared" si="112"/>
        <v>112700000</v>
      </c>
    </row>
    <row r="272" spans="1:80" s="8" customFormat="1" ht="30" customHeight="1" x14ac:dyDescent="0.25">
      <c r="A272" s="42"/>
      <c r="B272" s="49"/>
      <c r="C272" s="150"/>
      <c r="D272" s="72"/>
      <c r="E272" s="150"/>
      <c r="F272" s="150"/>
      <c r="G272" s="72"/>
      <c r="H272" s="150"/>
      <c r="I272" s="72"/>
      <c r="J272" s="150"/>
      <c r="K272" s="223"/>
      <c r="L272" s="223"/>
      <c r="M272" s="223"/>
      <c r="N272" s="150"/>
      <c r="O272" s="150"/>
      <c r="P272" s="72"/>
      <c r="Q272" s="150"/>
      <c r="R272" s="405"/>
      <c r="S272" s="405"/>
      <c r="T272" s="405"/>
      <c r="U272" s="406"/>
      <c r="V272" s="406"/>
      <c r="W272" s="406"/>
      <c r="X272" s="405"/>
      <c r="Y272" s="405"/>
      <c r="Z272" s="405"/>
      <c r="AA272" s="405"/>
      <c r="AB272" s="405"/>
      <c r="AC272" s="405"/>
      <c r="AD272" s="405"/>
      <c r="AE272" s="405"/>
      <c r="AF272" s="405"/>
      <c r="AG272" s="405"/>
      <c r="AH272" s="405"/>
      <c r="AI272" s="405"/>
      <c r="AJ272" s="405"/>
      <c r="AK272" s="405"/>
      <c r="AL272" s="405"/>
      <c r="AM272" s="405"/>
      <c r="AN272" s="405"/>
      <c r="AO272" s="405"/>
      <c r="AP272" s="405"/>
      <c r="AQ272" s="405"/>
      <c r="AR272" s="405"/>
      <c r="AS272" s="405"/>
      <c r="AT272" s="405"/>
      <c r="AU272" s="405"/>
      <c r="AV272" s="405"/>
      <c r="AW272" s="405"/>
      <c r="AX272" s="405"/>
      <c r="AY272" s="405"/>
      <c r="AZ272" s="405"/>
      <c r="BA272" s="405"/>
      <c r="BB272" s="405"/>
      <c r="BC272" s="405"/>
      <c r="BD272" s="405"/>
      <c r="BE272" s="405"/>
      <c r="BF272" s="405"/>
      <c r="BG272" s="405"/>
      <c r="BH272" s="405"/>
      <c r="BI272" s="405"/>
      <c r="BJ272" s="405"/>
      <c r="BK272" s="407"/>
      <c r="BL272" s="407"/>
      <c r="BM272" s="407"/>
      <c r="BN272" s="408"/>
      <c r="BO272" s="408"/>
      <c r="BP272" s="408"/>
      <c r="BQ272" s="405"/>
      <c r="BR272" s="405"/>
      <c r="BS272" s="405"/>
      <c r="BT272" s="405"/>
      <c r="BU272" s="405"/>
      <c r="BV272" s="405"/>
      <c r="BW272" s="405"/>
      <c r="BX272" s="405"/>
      <c r="BY272" s="405"/>
      <c r="BZ272" s="409"/>
      <c r="CA272" s="409"/>
      <c r="CB272" s="409"/>
    </row>
    <row r="273" spans="1:80" s="8" customFormat="1" ht="30" customHeight="1" x14ac:dyDescent="0.25">
      <c r="A273" s="42"/>
      <c r="B273" s="49"/>
      <c r="C273" s="713"/>
      <c r="D273" s="707"/>
      <c r="E273" s="713"/>
      <c r="F273" s="713"/>
      <c r="G273" s="78">
        <v>13</v>
      </c>
      <c r="H273" s="173" t="s">
        <v>373</v>
      </c>
      <c r="I273" s="80"/>
      <c r="J273" s="80"/>
      <c r="K273" s="221"/>
      <c r="L273" s="221"/>
      <c r="M273" s="221"/>
      <c r="N273" s="173"/>
      <c r="O273" s="173"/>
      <c r="P273" s="80"/>
      <c r="Q273" s="80"/>
      <c r="R273" s="267"/>
      <c r="S273" s="267"/>
      <c r="T273" s="267"/>
      <c r="U273" s="267"/>
      <c r="V273" s="267"/>
      <c r="W273" s="267"/>
      <c r="X273" s="267"/>
      <c r="Y273" s="267"/>
      <c r="Z273" s="267"/>
      <c r="AA273" s="267"/>
      <c r="AB273" s="267"/>
      <c r="AC273" s="267"/>
      <c r="AD273" s="267"/>
      <c r="AE273" s="267"/>
      <c r="AF273" s="267"/>
      <c r="AG273" s="267"/>
      <c r="AH273" s="267"/>
      <c r="AI273" s="267"/>
      <c r="AJ273" s="267"/>
      <c r="AK273" s="267"/>
      <c r="AL273" s="267"/>
      <c r="AM273" s="267"/>
      <c r="AN273" s="267"/>
      <c r="AO273" s="267"/>
      <c r="AP273" s="267"/>
      <c r="AQ273" s="267"/>
      <c r="AR273" s="267"/>
      <c r="AS273" s="267"/>
      <c r="AT273" s="267"/>
      <c r="AU273" s="267"/>
      <c r="AV273" s="267"/>
      <c r="AW273" s="267"/>
      <c r="AX273" s="267"/>
      <c r="AY273" s="267"/>
      <c r="AZ273" s="267"/>
      <c r="BA273" s="267"/>
      <c r="BB273" s="267"/>
      <c r="BC273" s="267"/>
      <c r="BD273" s="267"/>
      <c r="BE273" s="267"/>
      <c r="BF273" s="267"/>
      <c r="BG273" s="267"/>
      <c r="BH273" s="267"/>
      <c r="BI273" s="267"/>
      <c r="BJ273" s="267"/>
      <c r="BK273" s="414"/>
      <c r="BL273" s="414"/>
      <c r="BM273" s="414"/>
      <c r="BN273" s="267"/>
      <c r="BO273" s="267"/>
      <c r="BP273" s="267"/>
      <c r="BQ273" s="267"/>
      <c r="BR273" s="267"/>
      <c r="BS273" s="267"/>
      <c r="BT273" s="267"/>
      <c r="BU273" s="267"/>
      <c r="BV273" s="267"/>
      <c r="BW273" s="267"/>
      <c r="BX273" s="267"/>
      <c r="BY273" s="267"/>
      <c r="BZ273" s="269"/>
      <c r="CA273" s="269"/>
      <c r="CB273" s="269"/>
    </row>
    <row r="274" spans="1:80" s="373" customFormat="1" ht="80.25" customHeight="1" x14ac:dyDescent="0.25">
      <c r="A274" s="42"/>
      <c r="B274" s="49"/>
      <c r="C274" s="702" t="s">
        <v>361</v>
      </c>
      <c r="D274" s="708" t="s">
        <v>362</v>
      </c>
      <c r="E274" s="702" t="s">
        <v>363</v>
      </c>
      <c r="F274" s="702" t="s">
        <v>364</v>
      </c>
      <c r="G274" s="43"/>
      <c r="H274" s="57">
        <v>53</v>
      </c>
      <c r="I274" s="729" t="s">
        <v>374</v>
      </c>
      <c r="J274" s="57">
        <v>0</v>
      </c>
      <c r="K274" s="169">
        <v>1</v>
      </c>
      <c r="L274" s="386">
        <v>0.8</v>
      </c>
      <c r="M274" s="46">
        <v>2017003630049</v>
      </c>
      <c r="N274" s="57" t="s">
        <v>327</v>
      </c>
      <c r="O274" s="57" t="s">
        <v>375</v>
      </c>
      <c r="P274" s="729" t="s">
        <v>978</v>
      </c>
      <c r="Q274" s="57" t="s">
        <v>52</v>
      </c>
      <c r="R274" s="401">
        <v>0</v>
      </c>
      <c r="S274" s="401"/>
      <c r="T274" s="401"/>
      <c r="U274" s="401">
        <v>0</v>
      </c>
      <c r="V274" s="401"/>
      <c r="W274" s="401"/>
      <c r="X274" s="401">
        <v>0</v>
      </c>
      <c r="Y274" s="401"/>
      <c r="Z274" s="401"/>
      <c r="AA274" s="401">
        <v>0</v>
      </c>
      <c r="AB274" s="401"/>
      <c r="AC274" s="401"/>
      <c r="AD274" s="401">
        <v>0</v>
      </c>
      <c r="AE274" s="401"/>
      <c r="AF274" s="401"/>
      <c r="AG274" s="401">
        <v>0</v>
      </c>
      <c r="AH274" s="401"/>
      <c r="AI274" s="401"/>
      <c r="AJ274" s="401">
        <v>0</v>
      </c>
      <c r="AK274" s="401"/>
      <c r="AL274" s="401"/>
      <c r="AM274" s="401"/>
      <c r="AN274" s="401"/>
      <c r="AO274" s="401"/>
      <c r="AP274" s="401"/>
      <c r="AQ274" s="401"/>
      <c r="AR274" s="401"/>
      <c r="AS274" s="401">
        <v>0</v>
      </c>
      <c r="AT274" s="401"/>
      <c r="AU274" s="401"/>
      <c r="AV274" s="401">
        <v>0</v>
      </c>
      <c r="AW274" s="401"/>
      <c r="AX274" s="401"/>
      <c r="AY274" s="401"/>
      <c r="AZ274" s="401"/>
      <c r="BA274" s="401"/>
      <c r="BB274" s="401"/>
      <c r="BC274" s="401"/>
      <c r="BD274" s="401"/>
      <c r="BE274" s="401">
        <v>0</v>
      </c>
      <c r="BF274" s="401"/>
      <c r="BG274" s="401"/>
      <c r="BH274" s="401">
        <v>0</v>
      </c>
      <c r="BI274" s="401"/>
      <c r="BJ274" s="401"/>
      <c r="BK274" s="733">
        <f>250000000+165000000+28618786</f>
        <v>443618786</v>
      </c>
      <c r="BL274" s="455">
        <v>198967000</v>
      </c>
      <c r="BM274" s="455">
        <v>170430000</v>
      </c>
      <c r="BN274" s="415"/>
      <c r="BO274" s="415"/>
      <c r="BP274" s="415"/>
      <c r="BQ274" s="402">
        <f>512000000+33094912</f>
        <v>545094912</v>
      </c>
      <c r="BR274" s="404">
        <v>274150000</v>
      </c>
      <c r="BS274" s="404">
        <v>55286371</v>
      </c>
      <c r="BT274" s="404"/>
      <c r="BU274" s="404"/>
      <c r="BV274" s="404"/>
      <c r="BW274" s="404"/>
      <c r="BX274" s="404"/>
      <c r="BY274" s="404"/>
      <c r="BZ274" s="401">
        <f>R274+U274+X274+AA274+AD274+AG274+AJ274+AM274+AP274+AS274+AV274+AY274+BB274+BE274+BH274+BK274+BN274+BQ274+BT274+BW274</f>
        <v>988713698</v>
      </c>
      <c r="CA274" s="401">
        <f t="shared" ref="CA274:CB274" si="113">S274+V274+Y274+AB274+AE274+AH274+AK274+AN274+AQ274+AT274+AW274+AZ274+BC274+BF274+BI274+BL274+BO274+BR274+BU274+BX274</f>
        <v>473117000</v>
      </c>
      <c r="CB274" s="401">
        <f t="shared" si="113"/>
        <v>225716371</v>
      </c>
    </row>
    <row r="275" spans="1:80" ht="30" customHeight="1" x14ac:dyDescent="0.2">
      <c r="A275" s="42"/>
      <c r="B275" s="92"/>
      <c r="C275" s="714"/>
      <c r="D275" s="709"/>
      <c r="E275" s="714"/>
      <c r="F275" s="714"/>
      <c r="G275" s="58"/>
      <c r="H275" s="59"/>
      <c r="I275" s="58"/>
      <c r="J275" s="59"/>
      <c r="K275" s="222"/>
      <c r="L275" s="222"/>
      <c r="M275" s="222"/>
      <c r="N275" s="59"/>
      <c r="O275" s="59"/>
      <c r="P275" s="58"/>
      <c r="Q275" s="59"/>
      <c r="R275" s="410">
        <f t="shared" ref="R275:CB275" si="114">SUM(R274:R274)</f>
        <v>0</v>
      </c>
      <c r="S275" s="410">
        <f t="shared" si="114"/>
        <v>0</v>
      </c>
      <c r="T275" s="410">
        <f t="shared" si="114"/>
        <v>0</v>
      </c>
      <c r="U275" s="410">
        <f t="shared" si="114"/>
        <v>0</v>
      </c>
      <c r="V275" s="410">
        <f t="shared" si="114"/>
        <v>0</v>
      </c>
      <c r="W275" s="410">
        <f t="shared" si="114"/>
        <v>0</v>
      </c>
      <c r="X275" s="410">
        <f t="shared" si="114"/>
        <v>0</v>
      </c>
      <c r="Y275" s="410">
        <f t="shared" si="114"/>
        <v>0</v>
      </c>
      <c r="Z275" s="410">
        <f t="shared" si="114"/>
        <v>0</v>
      </c>
      <c r="AA275" s="410">
        <f t="shared" si="114"/>
        <v>0</v>
      </c>
      <c r="AB275" s="410">
        <f t="shared" si="114"/>
        <v>0</v>
      </c>
      <c r="AC275" s="410">
        <f t="shared" si="114"/>
        <v>0</v>
      </c>
      <c r="AD275" s="410">
        <f t="shared" si="114"/>
        <v>0</v>
      </c>
      <c r="AE275" s="410">
        <f t="shared" si="114"/>
        <v>0</v>
      </c>
      <c r="AF275" s="410">
        <f t="shared" si="114"/>
        <v>0</v>
      </c>
      <c r="AG275" s="410">
        <f t="shared" si="114"/>
        <v>0</v>
      </c>
      <c r="AH275" s="410">
        <f t="shared" si="114"/>
        <v>0</v>
      </c>
      <c r="AI275" s="410">
        <f t="shared" si="114"/>
        <v>0</v>
      </c>
      <c r="AJ275" s="410">
        <f t="shared" si="114"/>
        <v>0</v>
      </c>
      <c r="AK275" s="410">
        <f t="shared" si="114"/>
        <v>0</v>
      </c>
      <c r="AL275" s="410">
        <f t="shared" si="114"/>
        <v>0</v>
      </c>
      <c r="AM275" s="410">
        <f t="shared" si="114"/>
        <v>0</v>
      </c>
      <c r="AN275" s="410">
        <f t="shared" si="114"/>
        <v>0</v>
      </c>
      <c r="AO275" s="410">
        <f t="shared" si="114"/>
        <v>0</v>
      </c>
      <c r="AP275" s="410">
        <f t="shared" si="114"/>
        <v>0</v>
      </c>
      <c r="AQ275" s="410">
        <f t="shared" si="114"/>
        <v>0</v>
      </c>
      <c r="AR275" s="410">
        <f t="shared" si="114"/>
        <v>0</v>
      </c>
      <c r="AS275" s="410">
        <f t="shared" si="114"/>
        <v>0</v>
      </c>
      <c r="AT275" s="410">
        <f t="shared" si="114"/>
        <v>0</v>
      </c>
      <c r="AU275" s="410">
        <f t="shared" si="114"/>
        <v>0</v>
      </c>
      <c r="AV275" s="410">
        <f t="shared" si="114"/>
        <v>0</v>
      </c>
      <c r="AW275" s="410">
        <f t="shared" si="114"/>
        <v>0</v>
      </c>
      <c r="AX275" s="410">
        <f t="shared" si="114"/>
        <v>0</v>
      </c>
      <c r="AY275" s="410">
        <f t="shared" si="114"/>
        <v>0</v>
      </c>
      <c r="AZ275" s="410">
        <f t="shared" si="114"/>
        <v>0</v>
      </c>
      <c r="BA275" s="410">
        <f t="shared" si="114"/>
        <v>0</v>
      </c>
      <c r="BB275" s="410">
        <f t="shared" si="114"/>
        <v>0</v>
      </c>
      <c r="BC275" s="410">
        <f t="shared" si="114"/>
        <v>0</v>
      </c>
      <c r="BD275" s="410">
        <f t="shared" si="114"/>
        <v>0</v>
      </c>
      <c r="BE275" s="410">
        <f t="shared" si="114"/>
        <v>0</v>
      </c>
      <c r="BF275" s="410">
        <f t="shared" si="114"/>
        <v>0</v>
      </c>
      <c r="BG275" s="410">
        <f t="shared" si="114"/>
        <v>0</v>
      </c>
      <c r="BH275" s="410">
        <f t="shared" si="114"/>
        <v>0</v>
      </c>
      <c r="BI275" s="410">
        <f t="shared" si="114"/>
        <v>0</v>
      </c>
      <c r="BJ275" s="410">
        <f t="shared" si="114"/>
        <v>0</v>
      </c>
      <c r="BK275" s="410">
        <f t="shared" si="114"/>
        <v>443618786</v>
      </c>
      <c r="BL275" s="410">
        <f t="shared" si="114"/>
        <v>198967000</v>
      </c>
      <c r="BM275" s="410">
        <f t="shared" si="114"/>
        <v>170430000</v>
      </c>
      <c r="BN275" s="410">
        <f t="shared" si="114"/>
        <v>0</v>
      </c>
      <c r="BO275" s="410">
        <f t="shared" si="114"/>
        <v>0</v>
      </c>
      <c r="BP275" s="410">
        <f t="shared" si="114"/>
        <v>0</v>
      </c>
      <c r="BQ275" s="410">
        <f t="shared" si="114"/>
        <v>545094912</v>
      </c>
      <c r="BR275" s="410">
        <f t="shared" si="114"/>
        <v>274150000</v>
      </c>
      <c r="BS275" s="410">
        <f t="shared" si="114"/>
        <v>55286371</v>
      </c>
      <c r="BT275" s="410">
        <f t="shared" si="114"/>
        <v>0</v>
      </c>
      <c r="BU275" s="410">
        <f t="shared" si="114"/>
        <v>0</v>
      </c>
      <c r="BV275" s="410">
        <f t="shared" si="114"/>
        <v>0</v>
      </c>
      <c r="BW275" s="410">
        <f t="shared" si="114"/>
        <v>0</v>
      </c>
      <c r="BX275" s="410">
        <f t="shared" si="114"/>
        <v>0</v>
      </c>
      <c r="BY275" s="410">
        <f t="shared" si="114"/>
        <v>0</v>
      </c>
      <c r="BZ275" s="410">
        <f t="shared" si="114"/>
        <v>988713698</v>
      </c>
      <c r="CA275" s="410">
        <f t="shared" si="114"/>
        <v>473117000</v>
      </c>
      <c r="CB275" s="410">
        <f t="shared" si="114"/>
        <v>225716371</v>
      </c>
    </row>
    <row r="276" spans="1:80" ht="30" customHeight="1" x14ac:dyDescent="0.2">
      <c r="A276" s="55"/>
      <c r="B276" s="95"/>
      <c r="C276" s="63"/>
      <c r="D276" s="62"/>
      <c r="E276" s="63"/>
      <c r="F276" s="63"/>
      <c r="G276" s="62"/>
      <c r="H276" s="63"/>
      <c r="I276" s="62"/>
      <c r="J276" s="63"/>
      <c r="K276" s="224"/>
      <c r="L276" s="224"/>
      <c r="M276" s="224"/>
      <c r="N276" s="63"/>
      <c r="O276" s="63"/>
      <c r="P276" s="62"/>
      <c r="Q276" s="63"/>
      <c r="R276" s="416">
        <f t="shared" ref="R276:BY276" si="115">R275+R271+R267</f>
        <v>0</v>
      </c>
      <c r="S276" s="416">
        <f t="shared" si="115"/>
        <v>0</v>
      </c>
      <c r="T276" s="416">
        <f t="shared" si="115"/>
        <v>0</v>
      </c>
      <c r="U276" s="416">
        <f t="shared" si="115"/>
        <v>0</v>
      </c>
      <c r="V276" s="416">
        <f t="shared" si="115"/>
        <v>0</v>
      </c>
      <c r="W276" s="416">
        <f t="shared" si="115"/>
        <v>0</v>
      </c>
      <c r="X276" s="416">
        <f t="shared" si="115"/>
        <v>0</v>
      </c>
      <c r="Y276" s="416">
        <f t="shared" si="115"/>
        <v>0</v>
      </c>
      <c r="Z276" s="416">
        <f t="shared" si="115"/>
        <v>0</v>
      </c>
      <c r="AA276" s="416">
        <f t="shared" si="115"/>
        <v>0</v>
      </c>
      <c r="AB276" s="416">
        <f t="shared" si="115"/>
        <v>0</v>
      </c>
      <c r="AC276" s="416">
        <f t="shared" si="115"/>
        <v>0</v>
      </c>
      <c r="AD276" s="416">
        <f t="shared" si="115"/>
        <v>0</v>
      </c>
      <c r="AE276" s="416">
        <f t="shared" si="115"/>
        <v>0</v>
      </c>
      <c r="AF276" s="416">
        <f t="shared" si="115"/>
        <v>0</v>
      </c>
      <c r="AG276" s="416">
        <f t="shared" si="115"/>
        <v>0</v>
      </c>
      <c r="AH276" s="416">
        <f t="shared" si="115"/>
        <v>0</v>
      </c>
      <c r="AI276" s="416">
        <f t="shared" si="115"/>
        <v>0</v>
      </c>
      <c r="AJ276" s="416">
        <f t="shared" si="115"/>
        <v>0</v>
      </c>
      <c r="AK276" s="416">
        <f t="shared" si="115"/>
        <v>0</v>
      </c>
      <c r="AL276" s="416">
        <f t="shared" si="115"/>
        <v>0</v>
      </c>
      <c r="AM276" s="416">
        <f t="shared" si="115"/>
        <v>0</v>
      </c>
      <c r="AN276" s="416">
        <f t="shared" si="115"/>
        <v>0</v>
      </c>
      <c r="AO276" s="416">
        <f t="shared" si="115"/>
        <v>0</v>
      </c>
      <c r="AP276" s="416">
        <f t="shared" si="115"/>
        <v>0</v>
      </c>
      <c r="AQ276" s="416">
        <f t="shared" si="115"/>
        <v>0</v>
      </c>
      <c r="AR276" s="416">
        <f t="shared" si="115"/>
        <v>0</v>
      </c>
      <c r="AS276" s="416">
        <f t="shared" si="115"/>
        <v>0</v>
      </c>
      <c r="AT276" s="416">
        <f t="shared" si="115"/>
        <v>0</v>
      </c>
      <c r="AU276" s="416">
        <f t="shared" si="115"/>
        <v>0</v>
      </c>
      <c r="AV276" s="416">
        <f t="shared" si="115"/>
        <v>0</v>
      </c>
      <c r="AW276" s="416">
        <f t="shared" si="115"/>
        <v>0</v>
      </c>
      <c r="AX276" s="416">
        <f t="shared" si="115"/>
        <v>0</v>
      </c>
      <c r="AY276" s="416">
        <f t="shared" si="115"/>
        <v>0</v>
      </c>
      <c r="AZ276" s="416">
        <f t="shared" si="115"/>
        <v>0</v>
      </c>
      <c r="BA276" s="416">
        <f t="shared" si="115"/>
        <v>0</v>
      </c>
      <c r="BB276" s="416">
        <f t="shared" si="115"/>
        <v>0</v>
      </c>
      <c r="BC276" s="416">
        <f t="shared" si="115"/>
        <v>0</v>
      </c>
      <c r="BD276" s="416">
        <f t="shared" si="115"/>
        <v>0</v>
      </c>
      <c r="BE276" s="416">
        <f t="shared" si="115"/>
        <v>0</v>
      </c>
      <c r="BF276" s="416">
        <f t="shared" si="115"/>
        <v>0</v>
      </c>
      <c r="BG276" s="416">
        <f t="shared" si="115"/>
        <v>0</v>
      </c>
      <c r="BH276" s="416">
        <f t="shared" si="115"/>
        <v>0</v>
      </c>
      <c r="BI276" s="416">
        <f t="shared" si="115"/>
        <v>0</v>
      </c>
      <c r="BJ276" s="416">
        <f t="shared" si="115"/>
        <v>0</v>
      </c>
      <c r="BK276" s="416">
        <f t="shared" si="115"/>
        <v>850258786</v>
      </c>
      <c r="BL276" s="416">
        <f t="shared" si="115"/>
        <v>467307000</v>
      </c>
      <c r="BM276" s="416">
        <f t="shared" si="115"/>
        <v>373570000</v>
      </c>
      <c r="BN276" s="416">
        <f t="shared" si="115"/>
        <v>0</v>
      </c>
      <c r="BO276" s="416">
        <f t="shared" si="115"/>
        <v>0</v>
      </c>
      <c r="BP276" s="416">
        <f t="shared" si="115"/>
        <v>0</v>
      </c>
      <c r="BQ276" s="416">
        <f t="shared" si="115"/>
        <v>545094912</v>
      </c>
      <c r="BR276" s="416">
        <f t="shared" si="115"/>
        <v>274150000</v>
      </c>
      <c r="BS276" s="416">
        <f t="shared" si="115"/>
        <v>55286371</v>
      </c>
      <c r="BT276" s="416">
        <f t="shared" si="115"/>
        <v>0</v>
      </c>
      <c r="BU276" s="416">
        <f t="shared" si="115"/>
        <v>0</v>
      </c>
      <c r="BV276" s="416">
        <f t="shared" si="115"/>
        <v>0</v>
      </c>
      <c r="BW276" s="416">
        <f t="shared" si="115"/>
        <v>0</v>
      </c>
      <c r="BX276" s="416">
        <f t="shared" si="115"/>
        <v>0</v>
      </c>
      <c r="BY276" s="416">
        <f t="shared" si="115"/>
        <v>0</v>
      </c>
      <c r="BZ276" s="416">
        <f>BZ275+BZ271+BZ267</f>
        <v>1395353698</v>
      </c>
      <c r="CA276" s="416">
        <f t="shared" ref="CA276:CB276" si="116">CA275+CA271+CA267</f>
        <v>741457000</v>
      </c>
      <c r="CB276" s="416">
        <f t="shared" si="116"/>
        <v>428856371</v>
      </c>
    </row>
    <row r="277" spans="1:80" ht="30" customHeight="1" x14ac:dyDescent="0.2">
      <c r="A277" s="65"/>
      <c r="B277" s="65"/>
      <c r="C277" s="66"/>
      <c r="D277" s="65"/>
      <c r="E277" s="66"/>
      <c r="F277" s="66"/>
      <c r="G277" s="65"/>
      <c r="H277" s="66"/>
      <c r="I277" s="65"/>
      <c r="J277" s="66"/>
      <c r="K277" s="227"/>
      <c r="L277" s="227"/>
      <c r="M277" s="227"/>
      <c r="N277" s="66"/>
      <c r="O277" s="66"/>
      <c r="P277" s="65"/>
      <c r="Q277" s="66"/>
      <c r="R277" s="422">
        <f t="shared" ref="R277:CB277" si="117">R276+R261</f>
        <v>0</v>
      </c>
      <c r="S277" s="422">
        <f t="shared" si="117"/>
        <v>0</v>
      </c>
      <c r="T277" s="422">
        <f t="shared" si="117"/>
        <v>0</v>
      </c>
      <c r="U277" s="422">
        <f t="shared" si="117"/>
        <v>0</v>
      </c>
      <c r="V277" s="422">
        <f t="shared" si="117"/>
        <v>0</v>
      </c>
      <c r="W277" s="422">
        <f t="shared" si="117"/>
        <v>0</v>
      </c>
      <c r="X277" s="422">
        <f t="shared" si="117"/>
        <v>0</v>
      </c>
      <c r="Y277" s="422">
        <f t="shared" si="117"/>
        <v>0</v>
      </c>
      <c r="Z277" s="422">
        <f t="shared" si="117"/>
        <v>0</v>
      </c>
      <c r="AA277" s="422">
        <f t="shared" si="117"/>
        <v>0</v>
      </c>
      <c r="AB277" s="422">
        <f t="shared" si="117"/>
        <v>0</v>
      </c>
      <c r="AC277" s="422">
        <f t="shared" si="117"/>
        <v>0</v>
      </c>
      <c r="AD277" s="422">
        <f t="shared" si="117"/>
        <v>0</v>
      </c>
      <c r="AE277" s="422">
        <f t="shared" si="117"/>
        <v>0</v>
      </c>
      <c r="AF277" s="422">
        <f t="shared" si="117"/>
        <v>0</v>
      </c>
      <c r="AG277" s="422">
        <f t="shared" si="117"/>
        <v>0</v>
      </c>
      <c r="AH277" s="422">
        <f t="shared" si="117"/>
        <v>0</v>
      </c>
      <c r="AI277" s="422">
        <f t="shared" si="117"/>
        <v>0</v>
      </c>
      <c r="AJ277" s="422">
        <f t="shared" si="117"/>
        <v>0</v>
      </c>
      <c r="AK277" s="422">
        <f t="shared" si="117"/>
        <v>0</v>
      </c>
      <c r="AL277" s="422">
        <f t="shared" si="117"/>
        <v>0</v>
      </c>
      <c r="AM277" s="422">
        <f t="shared" si="117"/>
        <v>0</v>
      </c>
      <c r="AN277" s="422">
        <f t="shared" si="117"/>
        <v>0</v>
      </c>
      <c r="AO277" s="422">
        <f t="shared" si="117"/>
        <v>0</v>
      </c>
      <c r="AP277" s="422">
        <f t="shared" si="117"/>
        <v>0</v>
      </c>
      <c r="AQ277" s="422">
        <f t="shared" si="117"/>
        <v>0</v>
      </c>
      <c r="AR277" s="422">
        <f t="shared" si="117"/>
        <v>0</v>
      </c>
      <c r="AS277" s="422">
        <f t="shared" si="117"/>
        <v>0</v>
      </c>
      <c r="AT277" s="422">
        <f t="shared" si="117"/>
        <v>0</v>
      </c>
      <c r="AU277" s="422">
        <f t="shared" si="117"/>
        <v>0</v>
      </c>
      <c r="AV277" s="422">
        <f t="shared" si="117"/>
        <v>0</v>
      </c>
      <c r="AW277" s="422">
        <f t="shared" si="117"/>
        <v>0</v>
      </c>
      <c r="AX277" s="422">
        <f t="shared" si="117"/>
        <v>0</v>
      </c>
      <c r="AY277" s="422">
        <f t="shared" si="117"/>
        <v>0</v>
      </c>
      <c r="AZ277" s="422">
        <f t="shared" si="117"/>
        <v>0</v>
      </c>
      <c r="BA277" s="422">
        <f t="shared" si="117"/>
        <v>0</v>
      </c>
      <c r="BB277" s="422">
        <f t="shared" si="117"/>
        <v>0</v>
      </c>
      <c r="BC277" s="422">
        <f t="shared" si="117"/>
        <v>0</v>
      </c>
      <c r="BD277" s="422">
        <f t="shared" si="117"/>
        <v>0</v>
      </c>
      <c r="BE277" s="422">
        <f t="shared" si="117"/>
        <v>0</v>
      </c>
      <c r="BF277" s="422">
        <f t="shared" si="117"/>
        <v>0</v>
      </c>
      <c r="BG277" s="422">
        <f t="shared" si="117"/>
        <v>0</v>
      </c>
      <c r="BH277" s="422">
        <f t="shared" si="117"/>
        <v>0</v>
      </c>
      <c r="BI277" s="422">
        <f t="shared" si="117"/>
        <v>0</v>
      </c>
      <c r="BJ277" s="422">
        <f t="shared" si="117"/>
        <v>0</v>
      </c>
      <c r="BK277" s="422">
        <f t="shared" si="117"/>
        <v>1836618786</v>
      </c>
      <c r="BL277" s="422">
        <f t="shared" si="117"/>
        <v>1016041000</v>
      </c>
      <c r="BM277" s="422">
        <f t="shared" si="117"/>
        <v>776526000</v>
      </c>
      <c r="BN277" s="422">
        <f t="shared" si="117"/>
        <v>0</v>
      </c>
      <c r="BO277" s="422">
        <f t="shared" si="117"/>
        <v>0</v>
      </c>
      <c r="BP277" s="422">
        <f t="shared" si="117"/>
        <v>0</v>
      </c>
      <c r="BQ277" s="422">
        <f t="shared" si="117"/>
        <v>545094912</v>
      </c>
      <c r="BR277" s="422">
        <f t="shared" si="117"/>
        <v>274150000</v>
      </c>
      <c r="BS277" s="422">
        <f t="shared" si="117"/>
        <v>55286371</v>
      </c>
      <c r="BT277" s="422">
        <f t="shared" si="117"/>
        <v>0</v>
      </c>
      <c r="BU277" s="422">
        <f t="shared" si="117"/>
        <v>0</v>
      </c>
      <c r="BV277" s="422">
        <f t="shared" si="117"/>
        <v>0</v>
      </c>
      <c r="BW277" s="422">
        <f t="shared" si="117"/>
        <v>0</v>
      </c>
      <c r="BX277" s="422">
        <f t="shared" si="117"/>
        <v>0</v>
      </c>
      <c r="BY277" s="422">
        <f t="shared" si="117"/>
        <v>0</v>
      </c>
      <c r="BZ277" s="422">
        <f t="shared" si="117"/>
        <v>2381713698</v>
      </c>
      <c r="CA277" s="422">
        <f t="shared" si="117"/>
        <v>1290191000</v>
      </c>
      <c r="CB277" s="422">
        <f t="shared" si="117"/>
        <v>831812371</v>
      </c>
    </row>
    <row r="278" spans="1:80" ht="30" customHeight="1" x14ac:dyDescent="0.2">
      <c r="A278" s="68"/>
      <c r="B278" s="68"/>
      <c r="C278" s="69"/>
      <c r="D278" s="68"/>
      <c r="E278" s="69"/>
      <c r="F278" s="69"/>
      <c r="G278" s="68"/>
      <c r="H278" s="69"/>
      <c r="I278" s="68"/>
      <c r="J278" s="69"/>
      <c r="K278" s="228"/>
      <c r="L278" s="228"/>
      <c r="M278" s="228"/>
      <c r="N278" s="69"/>
      <c r="O278" s="69"/>
      <c r="P278" s="68"/>
      <c r="Q278" s="69"/>
      <c r="R278" s="423">
        <f t="shared" ref="R278:CB278" si="118">R277</f>
        <v>0</v>
      </c>
      <c r="S278" s="423">
        <f t="shared" si="118"/>
        <v>0</v>
      </c>
      <c r="T278" s="423">
        <f t="shared" si="118"/>
        <v>0</v>
      </c>
      <c r="U278" s="423">
        <f t="shared" si="118"/>
        <v>0</v>
      </c>
      <c r="V278" s="423">
        <f t="shared" si="118"/>
        <v>0</v>
      </c>
      <c r="W278" s="423">
        <f t="shared" si="118"/>
        <v>0</v>
      </c>
      <c r="X278" s="423">
        <f t="shared" si="118"/>
        <v>0</v>
      </c>
      <c r="Y278" s="423">
        <f t="shared" si="118"/>
        <v>0</v>
      </c>
      <c r="Z278" s="423">
        <f t="shared" si="118"/>
        <v>0</v>
      </c>
      <c r="AA278" s="423">
        <f t="shared" si="118"/>
        <v>0</v>
      </c>
      <c r="AB278" s="423">
        <f t="shared" si="118"/>
        <v>0</v>
      </c>
      <c r="AC278" s="423">
        <f t="shared" si="118"/>
        <v>0</v>
      </c>
      <c r="AD278" s="423">
        <f t="shared" si="118"/>
        <v>0</v>
      </c>
      <c r="AE278" s="423">
        <f t="shared" si="118"/>
        <v>0</v>
      </c>
      <c r="AF278" s="423">
        <f t="shared" si="118"/>
        <v>0</v>
      </c>
      <c r="AG278" s="423">
        <f t="shared" si="118"/>
        <v>0</v>
      </c>
      <c r="AH278" s="423">
        <f t="shared" si="118"/>
        <v>0</v>
      </c>
      <c r="AI278" s="423">
        <f t="shared" si="118"/>
        <v>0</v>
      </c>
      <c r="AJ278" s="423">
        <f t="shared" si="118"/>
        <v>0</v>
      </c>
      <c r="AK278" s="423">
        <f t="shared" si="118"/>
        <v>0</v>
      </c>
      <c r="AL278" s="423">
        <f t="shared" si="118"/>
        <v>0</v>
      </c>
      <c r="AM278" s="423">
        <f t="shared" si="118"/>
        <v>0</v>
      </c>
      <c r="AN278" s="423">
        <f t="shared" si="118"/>
        <v>0</v>
      </c>
      <c r="AO278" s="423">
        <f t="shared" si="118"/>
        <v>0</v>
      </c>
      <c r="AP278" s="423">
        <f t="shared" si="118"/>
        <v>0</v>
      </c>
      <c r="AQ278" s="423">
        <f t="shared" si="118"/>
        <v>0</v>
      </c>
      <c r="AR278" s="423">
        <f t="shared" si="118"/>
        <v>0</v>
      </c>
      <c r="AS278" s="423">
        <f t="shared" si="118"/>
        <v>0</v>
      </c>
      <c r="AT278" s="423">
        <f t="shared" si="118"/>
        <v>0</v>
      </c>
      <c r="AU278" s="423">
        <f t="shared" si="118"/>
        <v>0</v>
      </c>
      <c r="AV278" s="423">
        <f t="shared" si="118"/>
        <v>0</v>
      </c>
      <c r="AW278" s="423">
        <f t="shared" si="118"/>
        <v>0</v>
      </c>
      <c r="AX278" s="423">
        <f t="shared" si="118"/>
        <v>0</v>
      </c>
      <c r="AY278" s="423">
        <f t="shared" si="118"/>
        <v>0</v>
      </c>
      <c r="AZ278" s="423">
        <f t="shared" si="118"/>
        <v>0</v>
      </c>
      <c r="BA278" s="423">
        <f t="shared" si="118"/>
        <v>0</v>
      </c>
      <c r="BB278" s="423">
        <f t="shared" si="118"/>
        <v>0</v>
      </c>
      <c r="BC278" s="423">
        <f t="shared" si="118"/>
        <v>0</v>
      </c>
      <c r="BD278" s="423">
        <f t="shared" si="118"/>
        <v>0</v>
      </c>
      <c r="BE278" s="423">
        <f t="shared" si="118"/>
        <v>0</v>
      </c>
      <c r="BF278" s="423">
        <f t="shared" si="118"/>
        <v>0</v>
      </c>
      <c r="BG278" s="423">
        <f t="shared" si="118"/>
        <v>0</v>
      </c>
      <c r="BH278" s="423">
        <f t="shared" si="118"/>
        <v>0</v>
      </c>
      <c r="BI278" s="423">
        <f t="shared" si="118"/>
        <v>0</v>
      </c>
      <c r="BJ278" s="423">
        <f t="shared" si="118"/>
        <v>0</v>
      </c>
      <c r="BK278" s="423">
        <f t="shared" si="118"/>
        <v>1836618786</v>
      </c>
      <c r="BL278" s="423">
        <f t="shared" si="118"/>
        <v>1016041000</v>
      </c>
      <c r="BM278" s="423">
        <f t="shared" si="118"/>
        <v>776526000</v>
      </c>
      <c r="BN278" s="423">
        <f t="shared" si="118"/>
        <v>0</v>
      </c>
      <c r="BO278" s="423">
        <f t="shared" si="118"/>
        <v>0</v>
      </c>
      <c r="BP278" s="423">
        <f t="shared" si="118"/>
        <v>0</v>
      </c>
      <c r="BQ278" s="423">
        <f t="shared" si="118"/>
        <v>545094912</v>
      </c>
      <c r="BR278" s="423">
        <f t="shared" si="118"/>
        <v>274150000</v>
      </c>
      <c r="BS278" s="423">
        <f t="shared" si="118"/>
        <v>55286371</v>
      </c>
      <c r="BT278" s="423">
        <f t="shared" si="118"/>
        <v>0</v>
      </c>
      <c r="BU278" s="423">
        <f t="shared" si="118"/>
        <v>0</v>
      </c>
      <c r="BV278" s="423">
        <f t="shared" si="118"/>
        <v>0</v>
      </c>
      <c r="BW278" s="423">
        <f t="shared" si="118"/>
        <v>0</v>
      </c>
      <c r="BX278" s="423">
        <f t="shared" si="118"/>
        <v>0</v>
      </c>
      <c r="BY278" s="423">
        <f t="shared" si="118"/>
        <v>0</v>
      </c>
      <c r="BZ278" s="423">
        <f t="shared" si="118"/>
        <v>2381713698</v>
      </c>
      <c r="CA278" s="423">
        <f t="shared" si="118"/>
        <v>1290191000</v>
      </c>
      <c r="CB278" s="423">
        <f t="shared" si="118"/>
        <v>831812371</v>
      </c>
    </row>
    <row r="279" spans="1:80" ht="30" customHeight="1" x14ac:dyDescent="0.2">
      <c r="A279" s="71"/>
      <c r="B279" s="72"/>
      <c r="C279" s="150"/>
      <c r="D279" s="72"/>
      <c r="E279" s="150"/>
      <c r="F279" s="150"/>
      <c r="G279" s="72"/>
      <c r="H279" s="150"/>
      <c r="I279" s="72"/>
      <c r="J279" s="150"/>
      <c r="K279" s="223"/>
      <c r="L279" s="223"/>
      <c r="M279" s="223"/>
      <c r="N279" s="150"/>
      <c r="O279" s="150"/>
      <c r="P279" s="72"/>
      <c r="Q279" s="150"/>
      <c r="R279" s="405"/>
      <c r="S279" s="405"/>
      <c r="T279" s="405"/>
      <c r="U279" s="405"/>
      <c r="V279" s="405"/>
      <c r="W279" s="405"/>
      <c r="X279" s="405"/>
      <c r="Y279" s="405"/>
      <c r="Z279" s="405"/>
      <c r="AA279" s="405"/>
      <c r="AB279" s="405"/>
      <c r="AC279" s="405"/>
      <c r="AD279" s="405"/>
      <c r="AE279" s="405"/>
      <c r="AF279" s="405"/>
      <c r="AG279" s="405"/>
      <c r="AH279" s="405"/>
      <c r="AI279" s="405"/>
      <c r="AJ279" s="405"/>
      <c r="AK279" s="405"/>
      <c r="AL279" s="405"/>
      <c r="AM279" s="405"/>
      <c r="AN279" s="405"/>
      <c r="AO279" s="405"/>
      <c r="AP279" s="405"/>
      <c r="AQ279" s="405"/>
      <c r="AR279" s="405"/>
      <c r="AS279" s="405"/>
      <c r="AT279" s="405"/>
      <c r="AU279" s="405"/>
      <c r="AV279" s="405"/>
      <c r="AW279" s="405"/>
      <c r="AX279" s="405"/>
      <c r="AY279" s="406"/>
      <c r="AZ279" s="406"/>
      <c r="BA279" s="406"/>
      <c r="BB279" s="406"/>
      <c r="BC279" s="406"/>
      <c r="BD279" s="406"/>
      <c r="BE279" s="405"/>
      <c r="BF279" s="405"/>
      <c r="BG279" s="405"/>
      <c r="BH279" s="405"/>
      <c r="BI279" s="405"/>
      <c r="BJ279" s="405"/>
      <c r="BK279" s="407"/>
      <c r="BL279" s="407"/>
      <c r="BM279" s="407"/>
      <c r="BN279" s="408"/>
      <c r="BO279" s="408"/>
      <c r="BP279" s="408"/>
      <c r="BQ279" s="408"/>
      <c r="BR279" s="408"/>
      <c r="BS279" s="408"/>
      <c r="BT279" s="408"/>
      <c r="BU279" s="408"/>
      <c r="BV279" s="408"/>
      <c r="BW279" s="408"/>
      <c r="BX279" s="408"/>
      <c r="BY279" s="408"/>
      <c r="BZ279" s="408"/>
      <c r="CA279" s="408"/>
      <c r="CB279" s="798"/>
    </row>
    <row r="280" spans="1:80" ht="30" customHeight="1" x14ac:dyDescent="0.2">
      <c r="A280" s="31" t="s">
        <v>377</v>
      </c>
      <c r="B280" s="229"/>
      <c r="C280" s="230"/>
      <c r="D280" s="229"/>
      <c r="E280" s="229"/>
      <c r="F280" s="229"/>
      <c r="G280" s="229"/>
      <c r="H280" s="230"/>
      <c r="I280" s="229"/>
      <c r="J280" s="229"/>
      <c r="K280" s="231"/>
      <c r="L280" s="231"/>
      <c r="M280" s="231"/>
      <c r="N280" s="230"/>
      <c r="O280" s="230"/>
      <c r="P280" s="229"/>
      <c r="Q280" s="230"/>
      <c r="R280" s="625"/>
      <c r="S280" s="625"/>
      <c r="T280" s="625"/>
      <c r="U280" s="625"/>
      <c r="V280" s="625"/>
      <c r="W280" s="625"/>
      <c r="X280" s="625"/>
      <c r="Y280" s="625"/>
      <c r="Z280" s="625"/>
      <c r="AA280" s="625"/>
      <c r="AB280" s="625"/>
      <c r="AC280" s="625"/>
      <c r="AD280" s="625"/>
      <c r="AE280" s="625"/>
      <c r="AF280" s="625"/>
      <c r="AG280" s="625"/>
      <c r="AH280" s="625"/>
      <c r="AI280" s="625"/>
      <c r="AJ280" s="625"/>
      <c r="AK280" s="625"/>
      <c r="AL280" s="625"/>
      <c r="AM280" s="625"/>
      <c r="AN280" s="625"/>
      <c r="AO280" s="625"/>
      <c r="AP280" s="625"/>
      <c r="AQ280" s="625"/>
      <c r="AR280" s="625"/>
      <c r="AS280" s="625"/>
      <c r="AT280" s="625"/>
      <c r="AU280" s="625"/>
      <c r="AV280" s="625"/>
      <c r="AW280" s="625"/>
      <c r="AX280" s="625"/>
      <c r="AY280" s="625"/>
      <c r="AZ280" s="625"/>
      <c r="BA280" s="625"/>
      <c r="BB280" s="625"/>
      <c r="BC280" s="625"/>
      <c r="BD280" s="625"/>
      <c r="BE280" s="625"/>
      <c r="BF280" s="625"/>
      <c r="BG280" s="625"/>
      <c r="BH280" s="625"/>
      <c r="BI280" s="625"/>
      <c r="BJ280" s="625"/>
      <c r="BK280" s="626"/>
      <c r="BL280" s="626"/>
      <c r="BM280" s="626"/>
      <c r="BN280" s="627"/>
      <c r="BO280" s="627"/>
      <c r="BP280" s="627"/>
      <c r="BQ280" s="625"/>
      <c r="BR280" s="625"/>
      <c r="BS280" s="625"/>
      <c r="BT280" s="625"/>
      <c r="BU280" s="625"/>
      <c r="BV280" s="625"/>
      <c r="BW280" s="625"/>
      <c r="BX280" s="625"/>
      <c r="BY280" s="625"/>
      <c r="BZ280" s="628"/>
      <c r="CA280" s="628"/>
      <c r="CB280" s="628"/>
    </row>
    <row r="281" spans="1:80" ht="30" customHeight="1" x14ac:dyDescent="0.2">
      <c r="A281" s="787">
        <v>1</v>
      </c>
      <c r="B281" s="34" t="s">
        <v>158</v>
      </c>
      <c r="C281" s="35"/>
      <c r="D281" s="34"/>
      <c r="E281" s="34"/>
      <c r="F281" s="34"/>
      <c r="G281" s="34"/>
      <c r="H281" s="35"/>
      <c r="I281" s="34"/>
      <c r="J281" s="34"/>
      <c r="K281" s="232"/>
      <c r="L281" s="232"/>
      <c r="M281" s="232"/>
      <c r="N281" s="35"/>
      <c r="O281" s="35"/>
      <c r="P281" s="34"/>
      <c r="Q281" s="34"/>
      <c r="R281" s="432"/>
      <c r="S281" s="432"/>
      <c r="T281" s="432"/>
      <c r="U281" s="432"/>
      <c r="V281" s="432"/>
      <c r="W281" s="432"/>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3"/>
      <c r="BL281" s="433"/>
      <c r="BM281" s="433"/>
      <c r="BN281" s="432"/>
      <c r="BO281" s="432"/>
      <c r="BP281" s="432"/>
      <c r="BQ281" s="432"/>
      <c r="BR281" s="432"/>
      <c r="BS281" s="432"/>
      <c r="BT281" s="432"/>
      <c r="BU281" s="432"/>
      <c r="BV281" s="432"/>
      <c r="BW281" s="432"/>
      <c r="BX281" s="432"/>
      <c r="BY281" s="432"/>
      <c r="BZ281" s="434"/>
      <c r="CA281" s="434"/>
      <c r="CB281" s="434"/>
    </row>
    <row r="282" spans="1:80" ht="30" customHeight="1" x14ac:dyDescent="0.2">
      <c r="A282" s="76"/>
      <c r="B282" s="152">
        <v>1</v>
      </c>
      <c r="C282" s="38" t="s">
        <v>159</v>
      </c>
      <c r="D282" s="39"/>
      <c r="E282" s="39"/>
      <c r="F282" s="39"/>
      <c r="G282" s="39"/>
      <c r="H282" s="40"/>
      <c r="I282" s="39"/>
      <c r="J282" s="39"/>
      <c r="K282" s="225"/>
      <c r="L282" s="225"/>
      <c r="M282" s="225"/>
      <c r="N282" s="40"/>
      <c r="O282" s="40"/>
      <c r="P282" s="39"/>
      <c r="Q282" s="39"/>
      <c r="R282" s="412"/>
      <c r="S282" s="412"/>
      <c r="T282" s="412"/>
      <c r="U282" s="412"/>
      <c r="V282" s="412"/>
      <c r="W282" s="412"/>
      <c r="X282" s="412"/>
      <c r="Y282" s="412"/>
      <c r="Z282" s="412"/>
      <c r="AA282" s="412"/>
      <c r="AB282" s="412"/>
      <c r="AC282" s="412"/>
      <c r="AD282" s="412"/>
      <c r="AE282" s="412"/>
      <c r="AF282" s="412"/>
      <c r="AG282" s="412"/>
      <c r="AH282" s="412"/>
      <c r="AI282" s="412"/>
      <c r="AJ282" s="412"/>
      <c r="AK282" s="412"/>
      <c r="AL282" s="412"/>
      <c r="AM282" s="412"/>
      <c r="AN282" s="412"/>
      <c r="AO282" s="412"/>
      <c r="AP282" s="412"/>
      <c r="AQ282" s="412"/>
      <c r="AR282" s="412"/>
      <c r="AS282" s="412"/>
      <c r="AT282" s="412"/>
      <c r="AU282" s="412"/>
      <c r="AV282" s="412"/>
      <c r="AW282" s="412"/>
      <c r="AX282" s="412"/>
      <c r="AY282" s="412"/>
      <c r="AZ282" s="412"/>
      <c r="BA282" s="412"/>
      <c r="BB282" s="412"/>
      <c r="BC282" s="412"/>
      <c r="BD282" s="412"/>
      <c r="BE282" s="412"/>
      <c r="BF282" s="412"/>
      <c r="BG282" s="412"/>
      <c r="BH282" s="412"/>
      <c r="BI282" s="412"/>
      <c r="BJ282" s="412"/>
      <c r="BK282" s="413"/>
      <c r="BL282" s="413"/>
      <c r="BM282" s="413"/>
      <c r="BN282" s="412"/>
      <c r="BO282" s="412"/>
      <c r="BP282" s="412"/>
      <c r="BQ282" s="412"/>
      <c r="BR282" s="412"/>
      <c r="BS282" s="412"/>
      <c r="BT282" s="412"/>
      <c r="BU282" s="412"/>
      <c r="BV282" s="412"/>
      <c r="BW282" s="412"/>
      <c r="BX282" s="412"/>
      <c r="BY282" s="412"/>
      <c r="BZ282" s="417"/>
      <c r="CA282" s="417"/>
      <c r="CB282" s="417"/>
    </row>
    <row r="283" spans="1:80" ht="30" customHeight="1" x14ac:dyDescent="0.2">
      <c r="A283" s="42"/>
      <c r="B283" s="76"/>
      <c r="C283" s="137"/>
      <c r="D283" s="72"/>
      <c r="E283" s="150"/>
      <c r="F283" s="727"/>
      <c r="G283" s="219">
        <v>1</v>
      </c>
      <c r="H283" s="79" t="s">
        <v>378</v>
      </c>
      <c r="I283" s="80"/>
      <c r="J283" s="80"/>
      <c r="K283" s="221"/>
      <c r="L283" s="221"/>
      <c r="M283" s="221"/>
      <c r="N283" s="173"/>
      <c r="O283" s="173"/>
      <c r="P283" s="80"/>
      <c r="Q283" s="80"/>
      <c r="R283" s="267"/>
      <c r="S283" s="267"/>
      <c r="T283" s="267"/>
      <c r="U283" s="267"/>
      <c r="V283" s="267"/>
      <c r="W283" s="267"/>
      <c r="X283" s="267"/>
      <c r="Y283" s="267"/>
      <c r="Z283" s="267"/>
      <c r="AA283" s="267"/>
      <c r="AB283" s="267"/>
      <c r="AC283" s="267"/>
      <c r="AD283" s="267"/>
      <c r="AE283" s="267"/>
      <c r="AF283" s="267"/>
      <c r="AG283" s="267"/>
      <c r="AH283" s="267"/>
      <c r="AI283" s="267"/>
      <c r="AJ283" s="267"/>
      <c r="AK283" s="267"/>
      <c r="AL283" s="267"/>
      <c r="AM283" s="267"/>
      <c r="AN283" s="267"/>
      <c r="AO283" s="267"/>
      <c r="AP283" s="267"/>
      <c r="AQ283" s="267"/>
      <c r="AR283" s="267"/>
      <c r="AS283" s="267"/>
      <c r="AT283" s="267"/>
      <c r="AU283" s="267"/>
      <c r="AV283" s="267"/>
      <c r="AW283" s="267"/>
      <c r="AX283" s="267"/>
      <c r="AY283" s="267"/>
      <c r="AZ283" s="267"/>
      <c r="BA283" s="267"/>
      <c r="BB283" s="267"/>
      <c r="BC283" s="267"/>
      <c r="BD283" s="267"/>
      <c r="BE283" s="267"/>
      <c r="BF283" s="267"/>
      <c r="BG283" s="267"/>
      <c r="BH283" s="267"/>
      <c r="BI283" s="267"/>
      <c r="BJ283" s="267"/>
      <c r="BK283" s="414"/>
      <c r="BL283" s="414"/>
      <c r="BM283" s="414"/>
      <c r="BN283" s="267"/>
      <c r="BO283" s="267"/>
      <c r="BP283" s="267"/>
      <c r="BQ283" s="267"/>
      <c r="BR283" s="267"/>
      <c r="BS283" s="267"/>
      <c r="BT283" s="267"/>
      <c r="BU283" s="267"/>
      <c r="BV283" s="267"/>
      <c r="BW283" s="267"/>
      <c r="BX283" s="267"/>
      <c r="BY283" s="267"/>
      <c r="BZ283" s="269"/>
      <c r="CA283" s="269"/>
      <c r="CB283" s="269"/>
    </row>
    <row r="284" spans="1:80" ht="58.5" customHeight="1" x14ac:dyDescent="0.2">
      <c r="A284" s="42"/>
      <c r="B284" s="205"/>
      <c r="C284" s="702">
        <v>1</v>
      </c>
      <c r="D284" s="708" t="s">
        <v>379</v>
      </c>
      <c r="E284" s="233" t="s">
        <v>43</v>
      </c>
      <c r="F284" s="702">
        <v>15000</v>
      </c>
      <c r="G284" s="165"/>
      <c r="H284" s="57">
        <v>1</v>
      </c>
      <c r="I284" s="729" t="s">
        <v>380</v>
      </c>
      <c r="J284" s="57">
        <v>0</v>
      </c>
      <c r="K284" s="169">
        <v>1</v>
      </c>
      <c r="L284" s="107">
        <v>1</v>
      </c>
      <c r="M284" s="884">
        <v>2017003630072</v>
      </c>
      <c r="N284" s="895" t="s">
        <v>381</v>
      </c>
      <c r="O284" s="895" t="s">
        <v>382</v>
      </c>
      <c r="P284" s="890" t="s">
        <v>383</v>
      </c>
      <c r="Q284" s="57" t="s">
        <v>52</v>
      </c>
      <c r="R284" s="401">
        <v>0</v>
      </c>
      <c r="S284" s="401"/>
      <c r="T284" s="401"/>
      <c r="U284" s="401">
        <v>0</v>
      </c>
      <c r="V284" s="401"/>
      <c r="W284" s="401"/>
      <c r="X284" s="401">
        <v>0</v>
      </c>
      <c r="Y284" s="401"/>
      <c r="Z284" s="401"/>
      <c r="AA284" s="401">
        <v>0</v>
      </c>
      <c r="AB284" s="401"/>
      <c r="AC284" s="401"/>
      <c r="AD284" s="401">
        <v>0</v>
      </c>
      <c r="AE284" s="401"/>
      <c r="AF284" s="401"/>
      <c r="AG284" s="401">
        <v>0</v>
      </c>
      <c r="AH284" s="401"/>
      <c r="AI284" s="401"/>
      <c r="AJ284" s="401">
        <v>0</v>
      </c>
      <c r="AK284" s="401"/>
      <c r="AL284" s="401"/>
      <c r="AM284" s="401"/>
      <c r="AN284" s="401"/>
      <c r="AO284" s="401"/>
      <c r="AP284" s="401"/>
      <c r="AQ284" s="401"/>
      <c r="AR284" s="401"/>
      <c r="AS284" s="401">
        <v>0</v>
      </c>
      <c r="AT284" s="401"/>
      <c r="AU284" s="401"/>
      <c r="AV284" s="401">
        <v>0</v>
      </c>
      <c r="AW284" s="401"/>
      <c r="AX284" s="401"/>
      <c r="AY284" s="401"/>
      <c r="AZ284" s="401"/>
      <c r="BA284" s="401"/>
      <c r="BB284" s="401"/>
      <c r="BC284" s="401"/>
      <c r="BD284" s="401"/>
      <c r="BE284" s="401">
        <v>0</v>
      </c>
      <c r="BF284" s="401"/>
      <c r="BG284" s="401"/>
      <c r="BH284" s="401">
        <v>0</v>
      </c>
      <c r="BI284" s="403"/>
      <c r="BJ284" s="403"/>
      <c r="BK284" s="142">
        <f>19000000+1000000</f>
        <v>20000000</v>
      </c>
      <c r="BL284" s="142">
        <v>20000000</v>
      </c>
      <c r="BM284" s="142">
        <v>20000000</v>
      </c>
      <c r="BN284" s="142"/>
      <c r="BO284" s="142"/>
      <c r="BP284" s="142"/>
      <c r="BQ284" s="401">
        <v>0</v>
      </c>
      <c r="BR284" s="403"/>
      <c r="BS284" s="403"/>
      <c r="BT284" s="403"/>
      <c r="BU284" s="403"/>
      <c r="BV284" s="403"/>
      <c r="BW284" s="403">
        <v>0</v>
      </c>
      <c r="BX284" s="403"/>
      <c r="BY284" s="403"/>
      <c r="BZ284" s="401">
        <f t="shared" ref="BZ284:CB289" si="119">R284+U284+X284+AA284+AD284+AG284+AJ284+AM284+AP284+AS284+AV284+AY284+BB284+BE284+BH284+BK284+BN284+BQ284+BT284+BW284</f>
        <v>20000000</v>
      </c>
      <c r="CA284" s="401">
        <f t="shared" si="119"/>
        <v>20000000</v>
      </c>
      <c r="CB284" s="401">
        <f t="shared" si="119"/>
        <v>20000000</v>
      </c>
    </row>
    <row r="285" spans="1:80" ht="45" x14ac:dyDescent="0.2">
      <c r="A285" s="42"/>
      <c r="B285" s="205"/>
      <c r="C285" s="702">
        <v>2</v>
      </c>
      <c r="D285" s="708" t="s">
        <v>384</v>
      </c>
      <c r="E285" s="702" t="s">
        <v>385</v>
      </c>
      <c r="F285" s="702" t="s">
        <v>385</v>
      </c>
      <c r="G285" s="51"/>
      <c r="H285" s="57">
        <v>2</v>
      </c>
      <c r="I285" s="729" t="s">
        <v>386</v>
      </c>
      <c r="J285" s="57">
        <v>3</v>
      </c>
      <c r="K285" s="169">
        <v>4</v>
      </c>
      <c r="L285" s="107">
        <v>4</v>
      </c>
      <c r="M285" s="885"/>
      <c r="N285" s="883"/>
      <c r="O285" s="883"/>
      <c r="P285" s="891"/>
      <c r="Q285" s="57" t="s">
        <v>52</v>
      </c>
      <c r="R285" s="401">
        <v>0</v>
      </c>
      <c r="S285" s="401"/>
      <c r="T285" s="401"/>
      <c r="U285" s="401">
        <v>0</v>
      </c>
      <c r="V285" s="401"/>
      <c r="W285" s="401"/>
      <c r="X285" s="401">
        <v>0</v>
      </c>
      <c r="Y285" s="401"/>
      <c r="Z285" s="401"/>
      <c r="AA285" s="401">
        <v>0</v>
      </c>
      <c r="AB285" s="401"/>
      <c r="AC285" s="401"/>
      <c r="AD285" s="401">
        <v>0</v>
      </c>
      <c r="AE285" s="401"/>
      <c r="AF285" s="401"/>
      <c r="AG285" s="401">
        <v>0</v>
      </c>
      <c r="AH285" s="401"/>
      <c r="AI285" s="401"/>
      <c r="AJ285" s="401">
        <v>0</v>
      </c>
      <c r="AK285" s="401"/>
      <c r="AL285" s="401"/>
      <c r="AM285" s="401"/>
      <c r="AN285" s="401"/>
      <c r="AO285" s="401"/>
      <c r="AP285" s="401"/>
      <c r="AQ285" s="401"/>
      <c r="AR285" s="401"/>
      <c r="AS285" s="401">
        <v>0</v>
      </c>
      <c r="AT285" s="401"/>
      <c r="AU285" s="401"/>
      <c r="AV285" s="401">
        <v>0</v>
      </c>
      <c r="AW285" s="401"/>
      <c r="AX285" s="401"/>
      <c r="AY285" s="401"/>
      <c r="AZ285" s="401"/>
      <c r="BA285" s="401"/>
      <c r="BB285" s="401"/>
      <c r="BC285" s="401"/>
      <c r="BD285" s="401"/>
      <c r="BE285" s="401">
        <v>0</v>
      </c>
      <c r="BF285" s="401"/>
      <c r="BG285" s="401"/>
      <c r="BH285" s="401">
        <v>0</v>
      </c>
      <c r="BI285" s="403"/>
      <c r="BJ285" s="403"/>
      <c r="BK285" s="142">
        <v>10000000</v>
      </c>
      <c r="BL285" s="142">
        <v>10000000</v>
      </c>
      <c r="BM285" s="142">
        <v>10000000</v>
      </c>
      <c r="BN285" s="142"/>
      <c r="BO285" s="142"/>
      <c r="BP285" s="142"/>
      <c r="BQ285" s="401">
        <v>0</v>
      </c>
      <c r="BR285" s="403"/>
      <c r="BS285" s="403"/>
      <c r="BT285" s="403"/>
      <c r="BU285" s="403"/>
      <c r="BV285" s="403"/>
      <c r="BW285" s="403">
        <v>0</v>
      </c>
      <c r="BX285" s="403"/>
      <c r="BY285" s="403"/>
      <c r="BZ285" s="401">
        <f t="shared" si="119"/>
        <v>10000000</v>
      </c>
      <c r="CA285" s="401">
        <f t="shared" si="119"/>
        <v>10000000</v>
      </c>
      <c r="CB285" s="401">
        <f t="shared" si="119"/>
        <v>10000000</v>
      </c>
    </row>
    <row r="286" spans="1:80" ht="71.25" customHeight="1" x14ac:dyDescent="0.2">
      <c r="A286" s="42"/>
      <c r="B286" s="205"/>
      <c r="C286" s="702"/>
      <c r="D286" s="708"/>
      <c r="E286" s="702"/>
      <c r="F286" s="702"/>
      <c r="G286" s="51"/>
      <c r="H286" s="57">
        <v>3</v>
      </c>
      <c r="I286" s="729" t="s">
        <v>387</v>
      </c>
      <c r="J286" s="57">
        <v>1</v>
      </c>
      <c r="K286" s="169">
        <v>1</v>
      </c>
      <c r="L286" s="107">
        <v>1</v>
      </c>
      <c r="M286" s="885"/>
      <c r="N286" s="883"/>
      <c r="O286" s="883"/>
      <c r="P286" s="891"/>
      <c r="Q286" s="57" t="s">
        <v>52</v>
      </c>
      <c r="R286" s="401">
        <v>0</v>
      </c>
      <c r="S286" s="401"/>
      <c r="T286" s="401"/>
      <c r="U286" s="401">
        <v>0</v>
      </c>
      <c r="V286" s="401"/>
      <c r="W286" s="401"/>
      <c r="X286" s="401">
        <v>0</v>
      </c>
      <c r="Y286" s="401"/>
      <c r="Z286" s="401"/>
      <c r="AA286" s="401">
        <v>0</v>
      </c>
      <c r="AB286" s="401"/>
      <c r="AC286" s="401"/>
      <c r="AD286" s="401">
        <v>0</v>
      </c>
      <c r="AE286" s="401"/>
      <c r="AF286" s="401"/>
      <c r="AG286" s="401">
        <v>0</v>
      </c>
      <c r="AH286" s="401"/>
      <c r="AI286" s="401"/>
      <c r="AJ286" s="401">
        <v>0</v>
      </c>
      <c r="AK286" s="401"/>
      <c r="AL286" s="401"/>
      <c r="AM286" s="401"/>
      <c r="AN286" s="401"/>
      <c r="AO286" s="401"/>
      <c r="AP286" s="401"/>
      <c r="AQ286" s="401"/>
      <c r="AR286" s="401"/>
      <c r="AS286" s="401">
        <v>0</v>
      </c>
      <c r="AT286" s="401"/>
      <c r="AU286" s="401"/>
      <c r="AV286" s="401">
        <v>0</v>
      </c>
      <c r="AW286" s="401"/>
      <c r="AX286" s="401"/>
      <c r="AY286" s="401"/>
      <c r="AZ286" s="401"/>
      <c r="BA286" s="401"/>
      <c r="BB286" s="401"/>
      <c r="BC286" s="401"/>
      <c r="BD286" s="401"/>
      <c r="BE286" s="401">
        <v>0</v>
      </c>
      <c r="BF286" s="401"/>
      <c r="BG286" s="401"/>
      <c r="BH286" s="401">
        <v>0</v>
      </c>
      <c r="BI286" s="403"/>
      <c r="BJ286" s="403"/>
      <c r="BK286" s="142">
        <v>6000000</v>
      </c>
      <c r="BL286" s="142">
        <v>6000000</v>
      </c>
      <c r="BM286" s="142">
        <v>3170000</v>
      </c>
      <c r="BN286" s="142"/>
      <c r="BO286" s="142"/>
      <c r="BP286" s="142"/>
      <c r="BQ286" s="401">
        <v>0</v>
      </c>
      <c r="BR286" s="403"/>
      <c r="BS286" s="403"/>
      <c r="BT286" s="403"/>
      <c r="BU286" s="403"/>
      <c r="BV286" s="403"/>
      <c r="BW286" s="403">
        <v>0</v>
      </c>
      <c r="BX286" s="403"/>
      <c r="BY286" s="403"/>
      <c r="BZ286" s="401">
        <f t="shared" si="119"/>
        <v>6000000</v>
      </c>
      <c r="CA286" s="401">
        <f t="shared" si="119"/>
        <v>6000000</v>
      </c>
      <c r="CB286" s="401">
        <f t="shared" si="119"/>
        <v>3170000</v>
      </c>
    </row>
    <row r="287" spans="1:80" ht="57.75" customHeight="1" x14ac:dyDescent="0.2">
      <c r="A287" s="42"/>
      <c r="B287" s="205"/>
      <c r="C287" s="702"/>
      <c r="D287" s="708"/>
      <c r="E287" s="702"/>
      <c r="F287" s="702"/>
      <c r="G287" s="51"/>
      <c r="H287" s="57">
        <v>4</v>
      </c>
      <c r="I287" s="729" t="s">
        <v>388</v>
      </c>
      <c r="J287" s="57">
        <v>0</v>
      </c>
      <c r="K287" s="169">
        <v>1</v>
      </c>
      <c r="L287" s="111">
        <v>0.5</v>
      </c>
      <c r="M287" s="885"/>
      <c r="N287" s="883"/>
      <c r="O287" s="883"/>
      <c r="P287" s="891"/>
      <c r="Q287" s="57" t="s">
        <v>52</v>
      </c>
      <c r="R287" s="401"/>
      <c r="S287" s="401"/>
      <c r="T287" s="401"/>
      <c r="U287" s="401"/>
      <c r="V287" s="401"/>
      <c r="W287" s="401"/>
      <c r="X287" s="401"/>
      <c r="Y287" s="401"/>
      <c r="Z287" s="401"/>
      <c r="AA287" s="401"/>
      <c r="AB287" s="401"/>
      <c r="AC287" s="401"/>
      <c r="AD287" s="401"/>
      <c r="AE287" s="401"/>
      <c r="AF287" s="401"/>
      <c r="AG287" s="401"/>
      <c r="AH287" s="401"/>
      <c r="AI287" s="401"/>
      <c r="AJ287" s="401"/>
      <c r="AK287" s="401"/>
      <c r="AL287" s="401"/>
      <c r="AM287" s="401"/>
      <c r="AN287" s="401"/>
      <c r="AO287" s="401"/>
      <c r="AP287" s="401"/>
      <c r="AQ287" s="401"/>
      <c r="AR287" s="401"/>
      <c r="AS287" s="401"/>
      <c r="AT287" s="401"/>
      <c r="AU287" s="401"/>
      <c r="AV287" s="401"/>
      <c r="AW287" s="401"/>
      <c r="AX287" s="401"/>
      <c r="AY287" s="401"/>
      <c r="AZ287" s="401"/>
      <c r="BA287" s="401"/>
      <c r="BB287" s="401"/>
      <c r="BC287" s="401"/>
      <c r="BD287" s="401"/>
      <c r="BE287" s="401"/>
      <c r="BF287" s="401"/>
      <c r="BG287" s="401"/>
      <c r="BH287" s="401"/>
      <c r="BI287" s="403"/>
      <c r="BJ287" s="403"/>
      <c r="BK287" s="142">
        <f>11000000+10000000</f>
        <v>21000000</v>
      </c>
      <c r="BL287" s="142">
        <v>20999991</v>
      </c>
      <c r="BM287" s="142">
        <v>20999991</v>
      </c>
      <c r="BN287" s="142"/>
      <c r="BO287" s="142"/>
      <c r="BP287" s="142"/>
      <c r="BQ287" s="401"/>
      <c r="BR287" s="403"/>
      <c r="BS287" s="403"/>
      <c r="BT287" s="403"/>
      <c r="BU287" s="403"/>
      <c r="BV287" s="403"/>
      <c r="BW287" s="403"/>
      <c r="BX287" s="403"/>
      <c r="BY287" s="403"/>
      <c r="BZ287" s="401">
        <f t="shared" si="119"/>
        <v>21000000</v>
      </c>
      <c r="CA287" s="401">
        <f t="shared" si="119"/>
        <v>20999991</v>
      </c>
      <c r="CB287" s="401">
        <f t="shared" si="119"/>
        <v>20999991</v>
      </c>
    </row>
    <row r="288" spans="1:80" ht="60" x14ac:dyDescent="0.2">
      <c r="A288" s="42"/>
      <c r="B288" s="205"/>
      <c r="C288" s="702">
        <v>3</v>
      </c>
      <c r="D288" s="708" t="s">
        <v>389</v>
      </c>
      <c r="E288" s="702" t="s">
        <v>390</v>
      </c>
      <c r="F288" s="702" t="s">
        <v>163</v>
      </c>
      <c r="G288" s="51"/>
      <c r="H288" s="57">
        <v>5</v>
      </c>
      <c r="I288" s="729" t="s">
        <v>391</v>
      </c>
      <c r="J288" s="57">
        <v>3</v>
      </c>
      <c r="K288" s="169">
        <v>2</v>
      </c>
      <c r="L288" s="107">
        <v>2</v>
      </c>
      <c r="M288" s="885"/>
      <c r="N288" s="883"/>
      <c r="O288" s="883"/>
      <c r="P288" s="891"/>
      <c r="Q288" s="57" t="s">
        <v>67</v>
      </c>
      <c r="R288" s="401">
        <v>0</v>
      </c>
      <c r="S288" s="401"/>
      <c r="T288" s="401"/>
      <c r="U288" s="401">
        <v>0</v>
      </c>
      <c r="V288" s="401"/>
      <c r="W288" s="401"/>
      <c r="X288" s="401">
        <v>0</v>
      </c>
      <c r="Y288" s="401"/>
      <c r="Z288" s="401"/>
      <c r="AA288" s="401">
        <v>0</v>
      </c>
      <c r="AB288" s="401"/>
      <c r="AC288" s="401"/>
      <c r="AD288" s="401">
        <v>0</v>
      </c>
      <c r="AE288" s="401"/>
      <c r="AF288" s="401"/>
      <c r="AG288" s="401">
        <v>0</v>
      </c>
      <c r="AH288" s="401"/>
      <c r="AI288" s="401"/>
      <c r="AJ288" s="401">
        <v>0</v>
      </c>
      <c r="AK288" s="401"/>
      <c r="AL288" s="401"/>
      <c r="AM288" s="401"/>
      <c r="AN288" s="401"/>
      <c r="AO288" s="401"/>
      <c r="AP288" s="401"/>
      <c r="AQ288" s="401"/>
      <c r="AR288" s="401"/>
      <c r="AS288" s="401">
        <v>0</v>
      </c>
      <c r="AT288" s="401"/>
      <c r="AU288" s="401"/>
      <c r="AV288" s="401">
        <v>0</v>
      </c>
      <c r="AW288" s="401"/>
      <c r="AX288" s="401"/>
      <c r="AY288" s="401"/>
      <c r="AZ288" s="401"/>
      <c r="BA288" s="401"/>
      <c r="BB288" s="401"/>
      <c r="BC288" s="401"/>
      <c r="BD288" s="401"/>
      <c r="BE288" s="401">
        <v>0</v>
      </c>
      <c r="BF288" s="401"/>
      <c r="BG288" s="401"/>
      <c r="BH288" s="401">
        <v>0</v>
      </c>
      <c r="BI288" s="403"/>
      <c r="BJ288" s="403"/>
      <c r="BK288" s="142">
        <f>10000000+11000000</f>
        <v>21000000</v>
      </c>
      <c r="BL288" s="142">
        <v>21000000</v>
      </c>
      <c r="BM288" s="142">
        <v>18980000</v>
      </c>
      <c r="BN288" s="142"/>
      <c r="BO288" s="142"/>
      <c r="BP288" s="142"/>
      <c r="BQ288" s="401">
        <v>0</v>
      </c>
      <c r="BR288" s="403"/>
      <c r="BS288" s="403"/>
      <c r="BT288" s="403"/>
      <c r="BU288" s="403"/>
      <c r="BV288" s="403"/>
      <c r="BW288" s="403">
        <v>0</v>
      </c>
      <c r="BX288" s="403"/>
      <c r="BY288" s="403"/>
      <c r="BZ288" s="401">
        <f t="shared" si="119"/>
        <v>21000000</v>
      </c>
      <c r="CA288" s="401">
        <f t="shared" si="119"/>
        <v>21000000</v>
      </c>
      <c r="CB288" s="401">
        <f t="shared" si="119"/>
        <v>18980000</v>
      </c>
    </row>
    <row r="289" spans="1:80" s="373" customFormat="1" ht="69" customHeight="1" x14ac:dyDescent="0.25">
      <c r="A289" s="42"/>
      <c r="B289" s="205"/>
      <c r="C289" s="702"/>
      <c r="D289" s="49"/>
      <c r="E289" s="702"/>
      <c r="F289" s="702"/>
      <c r="G289" s="53"/>
      <c r="H289" s="57">
        <v>6</v>
      </c>
      <c r="I289" s="729" t="s">
        <v>392</v>
      </c>
      <c r="J289" s="57">
        <v>3</v>
      </c>
      <c r="K289" s="169">
        <v>12</v>
      </c>
      <c r="L289" s="107">
        <v>11</v>
      </c>
      <c r="M289" s="886"/>
      <c r="N289" s="898"/>
      <c r="O289" s="898"/>
      <c r="P289" s="892"/>
      <c r="Q289" s="57" t="s">
        <v>52</v>
      </c>
      <c r="R289" s="401">
        <v>0</v>
      </c>
      <c r="S289" s="401"/>
      <c r="T289" s="401"/>
      <c r="U289" s="401">
        <v>0</v>
      </c>
      <c r="V289" s="401"/>
      <c r="W289" s="401"/>
      <c r="X289" s="401">
        <v>0</v>
      </c>
      <c r="Y289" s="401"/>
      <c r="Z289" s="401"/>
      <c r="AA289" s="401">
        <v>0</v>
      </c>
      <c r="AB289" s="401"/>
      <c r="AC289" s="401"/>
      <c r="AD289" s="401">
        <v>0</v>
      </c>
      <c r="AE289" s="401"/>
      <c r="AF289" s="401"/>
      <c r="AG289" s="401">
        <v>0</v>
      </c>
      <c r="AH289" s="401"/>
      <c r="AI289" s="401"/>
      <c r="AJ289" s="401">
        <v>0</v>
      </c>
      <c r="AK289" s="401"/>
      <c r="AL289" s="401"/>
      <c r="AM289" s="401"/>
      <c r="AN289" s="401"/>
      <c r="AO289" s="401"/>
      <c r="AP289" s="401"/>
      <c r="AQ289" s="401"/>
      <c r="AR289" s="401"/>
      <c r="AS289" s="401">
        <v>0</v>
      </c>
      <c r="AT289" s="401"/>
      <c r="AU289" s="401"/>
      <c r="AV289" s="401">
        <v>0</v>
      </c>
      <c r="AW289" s="401"/>
      <c r="AX289" s="401"/>
      <c r="AY289" s="401"/>
      <c r="AZ289" s="401"/>
      <c r="BA289" s="401"/>
      <c r="BB289" s="401"/>
      <c r="BC289" s="401"/>
      <c r="BD289" s="401"/>
      <c r="BE289" s="401">
        <v>0</v>
      </c>
      <c r="BF289" s="401"/>
      <c r="BG289" s="401"/>
      <c r="BH289" s="401">
        <v>0</v>
      </c>
      <c r="BI289" s="403"/>
      <c r="BJ289" s="403"/>
      <c r="BK289" s="142">
        <v>7000000</v>
      </c>
      <c r="BL289" s="142">
        <v>7000000</v>
      </c>
      <c r="BM289" s="142">
        <v>7000000</v>
      </c>
      <c r="BN289" s="415"/>
      <c r="BO289" s="415"/>
      <c r="BP289" s="415"/>
      <c r="BQ289" s="401">
        <v>0</v>
      </c>
      <c r="BR289" s="403"/>
      <c r="BS289" s="403"/>
      <c r="BT289" s="403"/>
      <c r="BU289" s="403"/>
      <c r="BV289" s="403"/>
      <c r="BW289" s="403">
        <v>0</v>
      </c>
      <c r="BX289" s="403"/>
      <c r="BY289" s="403"/>
      <c r="BZ289" s="401">
        <f t="shared" si="119"/>
        <v>7000000</v>
      </c>
      <c r="CA289" s="401">
        <f t="shared" si="119"/>
        <v>7000000</v>
      </c>
      <c r="CB289" s="401">
        <f t="shared" si="119"/>
        <v>7000000</v>
      </c>
    </row>
    <row r="290" spans="1:80" ht="30" customHeight="1" x14ac:dyDescent="0.2">
      <c r="A290" s="42"/>
      <c r="B290" s="42"/>
      <c r="C290" s="714"/>
      <c r="D290" s="709"/>
      <c r="E290" s="714"/>
      <c r="F290" s="714"/>
      <c r="G290" s="58"/>
      <c r="H290" s="59"/>
      <c r="I290" s="58"/>
      <c r="J290" s="59"/>
      <c r="K290" s="222"/>
      <c r="L290" s="253"/>
      <c r="M290" s="222"/>
      <c r="N290" s="59"/>
      <c r="O290" s="59"/>
      <c r="P290" s="58"/>
      <c r="Q290" s="59"/>
      <c r="R290" s="410">
        <f t="shared" ref="R290:BZ290" si="120">SUM(R284:R289)</f>
        <v>0</v>
      </c>
      <c r="S290" s="410">
        <f t="shared" si="120"/>
        <v>0</v>
      </c>
      <c r="T290" s="410">
        <f t="shared" si="120"/>
        <v>0</v>
      </c>
      <c r="U290" s="410">
        <f t="shared" si="120"/>
        <v>0</v>
      </c>
      <c r="V290" s="410">
        <f t="shared" si="120"/>
        <v>0</v>
      </c>
      <c r="W290" s="410">
        <f t="shared" si="120"/>
        <v>0</v>
      </c>
      <c r="X290" s="410">
        <f t="shared" si="120"/>
        <v>0</v>
      </c>
      <c r="Y290" s="410">
        <f t="shared" si="120"/>
        <v>0</v>
      </c>
      <c r="Z290" s="410">
        <f t="shared" si="120"/>
        <v>0</v>
      </c>
      <c r="AA290" s="410">
        <f t="shared" si="120"/>
        <v>0</v>
      </c>
      <c r="AB290" s="410">
        <f t="shared" si="120"/>
        <v>0</v>
      </c>
      <c r="AC290" s="410">
        <f t="shared" si="120"/>
        <v>0</v>
      </c>
      <c r="AD290" s="410">
        <f t="shared" si="120"/>
        <v>0</v>
      </c>
      <c r="AE290" s="410">
        <f t="shared" si="120"/>
        <v>0</v>
      </c>
      <c r="AF290" s="410">
        <f t="shared" si="120"/>
        <v>0</v>
      </c>
      <c r="AG290" s="410">
        <f t="shared" si="120"/>
        <v>0</v>
      </c>
      <c r="AH290" s="410">
        <f t="shared" si="120"/>
        <v>0</v>
      </c>
      <c r="AI290" s="410">
        <f t="shared" si="120"/>
        <v>0</v>
      </c>
      <c r="AJ290" s="410">
        <f t="shared" si="120"/>
        <v>0</v>
      </c>
      <c r="AK290" s="410">
        <f t="shared" si="120"/>
        <v>0</v>
      </c>
      <c r="AL290" s="410">
        <f t="shared" si="120"/>
        <v>0</v>
      </c>
      <c r="AM290" s="410">
        <f t="shared" si="120"/>
        <v>0</v>
      </c>
      <c r="AN290" s="410">
        <f t="shared" si="120"/>
        <v>0</v>
      </c>
      <c r="AO290" s="410">
        <f t="shared" si="120"/>
        <v>0</v>
      </c>
      <c r="AP290" s="410">
        <f t="shared" si="120"/>
        <v>0</v>
      </c>
      <c r="AQ290" s="410">
        <f t="shared" si="120"/>
        <v>0</v>
      </c>
      <c r="AR290" s="410">
        <f t="shared" si="120"/>
        <v>0</v>
      </c>
      <c r="AS290" s="410">
        <f t="shared" si="120"/>
        <v>0</v>
      </c>
      <c r="AT290" s="410">
        <f t="shared" si="120"/>
        <v>0</v>
      </c>
      <c r="AU290" s="410">
        <f t="shared" si="120"/>
        <v>0</v>
      </c>
      <c r="AV290" s="410">
        <f t="shared" si="120"/>
        <v>0</v>
      </c>
      <c r="AW290" s="410">
        <f t="shared" si="120"/>
        <v>0</v>
      </c>
      <c r="AX290" s="410">
        <f t="shared" si="120"/>
        <v>0</v>
      </c>
      <c r="AY290" s="410">
        <f t="shared" si="120"/>
        <v>0</v>
      </c>
      <c r="AZ290" s="410">
        <f t="shared" si="120"/>
        <v>0</v>
      </c>
      <c r="BA290" s="410">
        <f t="shared" si="120"/>
        <v>0</v>
      </c>
      <c r="BB290" s="410">
        <f t="shared" si="120"/>
        <v>0</v>
      </c>
      <c r="BC290" s="410">
        <f t="shared" si="120"/>
        <v>0</v>
      </c>
      <c r="BD290" s="410">
        <f t="shared" si="120"/>
        <v>0</v>
      </c>
      <c r="BE290" s="410">
        <f t="shared" si="120"/>
        <v>0</v>
      </c>
      <c r="BF290" s="410">
        <f t="shared" si="120"/>
        <v>0</v>
      </c>
      <c r="BG290" s="410">
        <f t="shared" si="120"/>
        <v>0</v>
      </c>
      <c r="BH290" s="410">
        <f t="shared" si="120"/>
        <v>0</v>
      </c>
      <c r="BI290" s="410">
        <f t="shared" si="120"/>
        <v>0</v>
      </c>
      <c r="BJ290" s="410">
        <f t="shared" si="120"/>
        <v>0</v>
      </c>
      <c r="BK290" s="410">
        <f t="shared" si="120"/>
        <v>85000000</v>
      </c>
      <c r="BL290" s="410">
        <f t="shared" si="120"/>
        <v>84999991</v>
      </c>
      <c r="BM290" s="410">
        <f t="shared" si="120"/>
        <v>80149991</v>
      </c>
      <c r="BN290" s="410">
        <f t="shared" si="120"/>
        <v>0</v>
      </c>
      <c r="BO290" s="410">
        <f t="shared" si="120"/>
        <v>0</v>
      </c>
      <c r="BP290" s="410">
        <f t="shared" si="120"/>
        <v>0</v>
      </c>
      <c r="BQ290" s="410">
        <f t="shared" si="120"/>
        <v>0</v>
      </c>
      <c r="BR290" s="410">
        <f t="shared" si="120"/>
        <v>0</v>
      </c>
      <c r="BS290" s="410">
        <f t="shared" si="120"/>
        <v>0</v>
      </c>
      <c r="BT290" s="410">
        <f t="shared" si="120"/>
        <v>0</v>
      </c>
      <c r="BU290" s="410">
        <f t="shared" si="120"/>
        <v>0</v>
      </c>
      <c r="BV290" s="410">
        <f t="shared" si="120"/>
        <v>0</v>
      </c>
      <c r="BW290" s="410">
        <f t="shared" si="120"/>
        <v>0</v>
      </c>
      <c r="BX290" s="410">
        <f t="shared" si="120"/>
        <v>0</v>
      </c>
      <c r="BY290" s="410">
        <f t="shared" si="120"/>
        <v>0</v>
      </c>
      <c r="BZ290" s="410">
        <f t="shared" si="120"/>
        <v>85000000</v>
      </c>
      <c r="CA290" s="410">
        <f t="shared" ref="CA290:CB290" si="121">SUM(CA284:CA289)</f>
        <v>84999991</v>
      </c>
      <c r="CB290" s="410">
        <f t="shared" si="121"/>
        <v>80149991</v>
      </c>
    </row>
    <row r="291" spans="1:80" ht="30" customHeight="1" x14ac:dyDescent="0.2">
      <c r="A291" s="42"/>
      <c r="B291" s="42"/>
      <c r="C291" s="150"/>
      <c r="D291" s="72"/>
      <c r="E291" s="150"/>
      <c r="F291" s="150"/>
      <c r="G291" s="72"/>
      <c r="H291" s="150"/>
      <c r="I291" s="72"/>
      <c r="J291" s="150"/>
      <c r="K291" s="223"/>
      <c r="L291" s="255"/>
      <c r="M291" s="223"/>
      <c r="N291" s="150"/>
      <c r="O291" s="150"/>
      <c r="P291" s="72"/>
      <c r="Q291" s="150"/>
      <c r="R291" s="405"/>
      <c r="S291" s="405"/>
      <c r="T291" s="405"/>
      <c r="U291" s="406"/>
      <c r="V291" s="406"/>
      <c r="W291" s="406"/>
      <c r="X291" s="405"/>
      <c r="Y291" s="405"/>
      <c r="Z291" s="405"/>
      <c r="AA291" s="405"/>
      <c r="AB291" s="405"/>
      <c r="AC291" s="405"/>
      <c r="AD291" s="405"/>
      <c r="AE291" s="405"/>
      <c r="AF291" s="405"/>
      <c r="AG291" s="405"/>
      <c r="AH291" s="405"/>
      <c r="AI291" s="405"/>
      <c r="AJ291" s="405"/>
      <c r="AK291" s="405"/>
      <c r="AL291" s="405"/>
      <c r="AM291" s="405"/>
      <c r="AN291" s="405"/>
      <c r="AO291" s="405"/>
      <c r="AP291" s="405"/>
      <c r="AQ291" s="405"/>
      <c r="AR291" s="405"/>
      <c r="AS291" s="405"/>
      <c r="AT291" s="405"/>
      <c r="AU291" s="405"/>
      <c r="AV291" s="405"/>
      <c r="AW291" s="405"/>
      <c r="AX291" s="405"/>
      <c r="AY291" s="406"/>
      <c r="AZ291" s="406"/>
      <c r="BA291" s="406"/>
      <c r="BB291" s="406"/>
      <c r="BC291" s="406"/>
      <c r="BD291" s="406"/>
      <c r="BE291" s="405"/>
      <c r="BF291" s="405"/>
      <c r="BG291" s="405"/>
      <c r="BH291" s="405"/>
      <c r="BI291" s="405"/>
      <c r="BJ291" s="405"/>
      <c r="BK291" s="407"/>
      <c r="BL291" s="407"/>
      <c r="BM291" s="407"/>
      <c r="BN291" s="408"/>
      <c r="BO291" s="408"/>
      <c r="BP291" s="408"/>
      <c r="BQ291" s="405"/>
      <c r="BR291" s="405"/>
      <c r="BS291" s="405"/>
      <c r="BT291" s="405"/>
      <c r="BU291" s="405"/>
      <c r="BV291" s="405"/>
      <c r="BW291" s="406"/>
      <c r="BX291" s="406"/>
      <c r="BY291" s="406"/>
      <c r="BZ291" s="409"/>
      <c r="CA291" s="409"/>
      <c r="CB291" s="409"/>
    </row>
    <row r="292" spans="1:80" ht="30" customHeight="1" x14ac:dyDescent="0.2">
      <c r="A292" s="42"/>
      <c r="B292" s="42"/>
      <c r="C292" s="713"/>
      <c r="D292" s="707"/>
      <c r="E292" s="713"/>
      <c r="F292" s="713"/>
      <c r="G292" s="140">
        <v>2</v>
      </c>
      <c r="H292" s="141" t="s">
        <v>160</v>
      </c>
      <c r="I292" s="80"/>
      <c r="J292" s="80"/>
      <c r="K292" s="221"/>
      <c r="L292" s="91"/>
      <c r="M292" s="221"/>
      <c r="N292" s="173"/>
      <c r="O292" s="173"/>
      <c r="P292" s="80"/>
      <c r="Q292" s="80"/>
      <c r="R292" s="267"/>
      <c r="S292" s="267"/>
      <c r="T292" s="267"/>
      <c r="U292" s="267"/>
      <c r="V292" s="267"/>
      <c r="W292" s="267"/>
      <c r="X292" s="267"/>
      <c r="Y292" s="267"/>
      <c r="Z292" s="267"/>
      <c r="AA292" s="267"/>
      <c r="AB292" s="267"/>
      <c r="AC292" s="267"/>
      <c r="AD292" s="267"/>
      <c r="AE292" s="267"/>
      <c r="AF292" s="267"/>
      <c r="AG292" s="267"/>
      <c r="AH292" s="267"/>
      <c r="AI292" s="267"/>
      <c r="AJ292" s="267"/>
      <c r="AK292" s="267"/>
      <c r="AL292" s="267"/>
      <c r="AM292" s="267"/>
      <c r="AN292" s="267"/>
      <c r="AO292" s="267"/>
      <c r="AP292" s="267"/>
      <c r="AQ292" s="267"/>
      <c r="AR292" s="267"/>
      <c r="AS292" s="267"/>
      <c r="AT292" s="267"/>
      <c r="AU292" s="267"/>
      <c r="AV292" s="267"/>
      <c r="AW292" s="267"/>
      <c r="AX292" s="267"/>
      <c r="AY292" s="267"/>
      <c r="AZ292" s="267"/>
      <c r="BA292" s="267"/>
      <c r="BB292" s="267"/>
      <c r="BC292" s="267"/>
      <c r="BD292" s="267"/>
      <c r="BE292" s="267"/>
      <c r="BF292" s="267"/>
      <c r="BG292" s="267"/>
      <c r="BH292" s="267"/>
      <c r="BI292" s="267"/>
      <c r="BJ292" s="267"/>
      <c r="BK292" s="414"/>
      <c r="BL292" s="414"/>
      <c r="BM292" s="414"/>
      <c r="BN292" s="267"/>
      <c r="BO292" s="267"/>
      <c r="BP292" s="267"/>
      <c r="BQ292" s="267"/>
      <c r="BR292" s="267"/>
      <c r="BS292" s="267"/>
      <c r="BT292" s="267"/>
      <c r="BU292" s="267"/>
      <c r="BV292" s="267"/>
      <c r="BW292" s="267"/>
      <c r="BX292" s="267"/>
      <c r="BY292" s="267"/>
      <c r="BZ292" s="269"/>
      <c r="CA292" s="269"/>
      <c r="CB292" s="269"/>
    </row>
    <row r="293" spans="1:80" ht="82.5" customHeight="1" x14ac:dyDescent="0.2">
      <c r="A293" s="42"/>
      <c r="B293" s="42"/>
      <c r="C293" s="714">
        <v>2</v>
      </c>
      <c r="D293" s="709" t="s">
        <v>384</v>
      </c>
      <c r="E293" s="714" t="s">
        <v>385</v>
      </c>
      <c r="F293" s="714" t="s">
        <v>385</v>
      </c>
      <c r="G293" s="43"/>
      <c r="H293" s="57">
        <v>8</v>
      </c>
      <c r="I293" s="729" t="s">
        <v>393</v>
      </c>
      <c r="J293" s="57">
        <v>1</v>
      </c>
      <c r="K293" s="169">
        <v>1</v>
      </c>
      <c r="L293" s="107">
        <v>1</v>
      </c>
      <c r="M293" s="884">
        <v>2017003630070</v>
      </c>
      <c r="N293" s="895" t="s">
        <v>394</v>
      </c>
      <c r="O293" s="895" t="s">
        <v>395</v>
      </c>
      <c r="P293" s="890" t="s">
        <v>396</v>
      </c>
      <c r="Q293" s="57" t="s">
        <v>67</v>
      </c>
      <c r="R293" s="401">
        <v>0</v>
      </c>
      <c r="S293" s="401"/>
      <c r="T293" s="401"/>
      <c r="U293" s="401">
        <v>0</v>
      </c>
      <c r="V293" s="401"/>
      <c r="W293" s="401"/>
      <c r="X293" s="401">
        <v>0</v>
      </c>
      <c r="Y293" s="401"/>
      <c r="Z293" s="401"/>
      <c r="AA293" s="401">
        <v>0</v>
      </c>
      <c r="AB293" s="401"/>
      <c r="AC293" s="401"/>
      <c r="AD293" s="401">
        <v>0</v>
      </c>
      <c r="AE293" s="401"/>
      <c r="AF293" s="401"/>
      <c r="AG293" s="401">
        <v>0</v>
      </c>
      <c r="AH293" s="401"/>
      <c r="AI293" s="401"/>
      <c r="AJ293" s="401">
        <v>0</v>
      </c>
      <c r="AK293" s="401"/>
      <c r="AL293" s="401"/>
      <c r="AM293" s="401"/>
      <c r="AN293" s="401"/>
      <c r="AO293" s="401"/>
      <c r="AP293" s="401"/>
      <c r="AQ293" s="401"/>
      <c r="AR293" s="401"/>
      <c r="AS293" s="401">
        <v>0</v>
      </c>
      <c r="AT293" s="401"/>
      <c r="AU293" s="401"/>
      <c r="AV293" s="401">
        <v>0</v>
      </c>
      <c r="AW293" s="401"/>
      <c r="AX293" s="401"/>
      <c r="AY293" s="401"/>
      <c r="AZ293" s="401"/>
      <c r="BA293" s="401"/>
      <c r="BB293" s="401"/>
      <c r="BC293" s="401"/>
      <c r="BD293" s="401"/>
      <c r="BE293" s="401">
        <v>0</v>
      </c>
      <c r="BF293" s="401"/>
      <c r="BG293" s="401"/>
      <c r="BH293" s="401">
        <f>39500000-39500000</f>
        <v>0</v>
      </c>
      <c r="BI293" s="401"/>
      <c r="BJ293" s="401"/>
      <c r="BK293" s="402">
        <v>38000000</v>
      </c>
      <c r="BL293" s="402">
        <v>38000000</v>
      </c>
      <c r="BM293" s="402">
        <v>34398000</v>
      </c>
      <c r="BN293" s="415"/>
      <c r="BO293" s="415"/>
      <c r="BP293" s="415"/>
      <c r="BQ293" s="401">
        <v>0</v>
      </c>
      <c r="BR293" s="403"/>
      <c r="BS293" s="403"/>
      <c r="BT293" s="403"/>
      <c r="BU293" s="403"/>
      <c r="BV293" s="403"/>
      <c r="BW293" s="403">
        <v>0</v>
      </c>
      <c r="BX293" s="403"/>
      <c r="BY293" s="403"/>
      <c r="BZ293" s="401">
        <f t="shared" ref="BZ293:CB294" si="122">R293+U293+X293+AA293+AD293+AG293+AJ293+AM293+AP293+AS293+AV293+AY293+BB293+BE293+BH293+BK293+BN293+BQ293+BT293+BW293</f>
        <v>38000000</v>
      </c>
      <c r="CA293" s="401">
        <f t="shared" si="122"/>
        <v>38000000</v>
      </c>
      <c r="CB293" s="401">
        <f t="shared" si="122"/>
        <v>34398000</v>
      </c>
    </row>
    <row r="294" spans="1:80" ht="45" x14ac:dyDescent="0.2">
      <c r="A294" s="42"/>
      <c r="B294" s="42"/>
      <c r="C294" s="713">
        <v>2</v>
      </c>
      <c r="D294" s="707" t="s">
        <v>384</v>
      </c>
      <c r="E294" s="713" t="s">
        <v>385</v>
      </c>
      <c r="F294" s="713" t="s">
        <v>385</v>
      </c>
      <c r="G294" s="92"/>
      <c r="H294" s="57">
        <v>7</v>
      </c>
      <c r="I294" s="729" t="s">
        <v>397</v>
      </c>
      <c r="J294" s="57">
        <v>0</v>
      </c>
      <c r="K294" s="169">
        <v>1</v>
      </c>
      <c r="L294" s="108">
        <v>0.3</v>
      </c>
      <c r="M294" s="886"/>
      <c r="N294" s="898"/>
      <c r="O294" s="898"/>
      <c r="P294" s="892"/>
      <c r="Q294" s="57" t="s">
        <v>52</v>
      </c>
      <c r="R294" s="401">
        <v>0</v>
      </c>
      <c r="S294" s="401"/>
      <c r="T294" s="401"/>
      <c r="U294" s="401">
        <v>0</v>
      </c>
      <c r="V294" s="401"/>
      <c r="W294" s="401"/>
      <c r="X294" s="401">
        <v>0</v>
      </c>
      <c r="Y294" s="401"/>
      <c r="Z294" s="401"/>
      <c r="AA294" s="401">
        <v>0</v>
      </c>
      <c r="AB294" s="401"/>
      <c r="AC294" s="401"/>
      <c r="AD294" s="401">
        <v>0</v>
      </c>
      <c r="AE294" s="401"/>
      <c r="AF294" s="401"/>
      <c r="AG294" s="401">
        <v>0</v>
      </c>
      <c r="AH294" s="401"/>
      <c r="AI294" s="401"/>
      <c r="AJ294" s="401">
        <v>0</v>
      </c>
      <c r="AK294" s="401"/>
      <c r="AL294" s="401"/>
      <c r="AM294" s="401"/>
      <c r="AN294" s="401"/>
      <c r="AO294" s="401"/>
      <c r="AP294" s="401"/>
      <c r="AQ294" s="401"/>
      <c r="AR294" s="401"/>
      <c r="AS294" s="401">
        <v>0</v>
      </c>
      <c r="AT294" s="401"/>
      <c r="AU294" s="401"/>
      <c r="AV294" s="401">
        <v>0</v>
      </c>
      <c r="AW294" s="401"/>
      <c r="AX294" s="401"/>
      <c r="AY294" s="401"/>
      <c r="AZ294" s="401"/>
      <c r="BA294" s="401"/>
      <c r="BB294" s="401"/>
      <c r="BC294" s="401"/>
      <c r="BD294" s="401"/>
      <c r="BE294" s="401">
        <v>0</v>
      </c>
      <c r="BF294" s="401"/>
      <c r="BG294" s="401"/>
      <c r="BH294" s="402">
        <v>0</v>
      </c>
      <c r="BI294" s="402"/>
      <c r="BJ294" s="402"/>
      <c r="BK294" s="402">
        <f>62000000+100000000</f>
        <v>162000000</v>
      </c>
      <c r="BL294" s="402">
        <v>64750000</v>
      </c>
      <c r="BM294" s="402">
        <v>58453000</v>
      </c>
      <c r="BN294" s="415"/>
      <c r="BO294" s="415"/>
      <c r="BP294" s="415"/>
      <c r="BQ294" s="401">
        <v>0</v>
      </c>
      <c r="BR294" s="403"/>
      <c r="BS294" s="403"/>
      <c r="BT294" s="403"/>
      <c r="BU294" s="403"/>
      <c r="BV294" s="403"/>
      <c r="BW294" s="403"/>
      <c r="BX294" s="403"/>
      <c r="BY294" s="403"/>
      <c r="BZ294" s="401">
        <f t="shared" si="122"/>
        <v>162000000</v>
      </c>
      <c r="CA294" s="401">
        <f t="shared" si="122"/>
        <v>64750000</v>
      </c>
      <c r="CB294" s="401">
        <f t="shared" si="122"/>
        <v>58453000</v>
      </c>
    </row>
    <row r="295" spans="1:80" ht="30" customHeight="1" x14ac:dyDescent="0.2">
      <c r="A295" s="42"/>
      <c r="B295" s="42"/>
      <c r="C295" s="714"/>
      <c r="D295" s="709"/>
      <c r="E295" s="714"/>
      <c r="F295" s="714"/>
      <c r="G295" s="58"/>
      <c r="H295" s="59"/>
      <c r="I295" s="58"/>
      <c r="J295" s="58"/>
      <c r="K295" s="234"/>
      <c r="L295" s="688"/>
      <c r="M295" s="234"/>
      <c r="N295" s="59"/>
      <c r="O295" s="59"/>
      <c r="P295" s="58"/>
      <c r="Q295" s="59"/>
      <c r="R295" s="460">
        <f t="shared" ref="R295:BZ295" si="123">SUM(R293:R294)</f>
        <v>0</v>
      </c>
      <c r="S295" s="460">
        <f t="shared" si="123"/>
        <v>0</v>
      </c>
      <c r="T295" s="460">
        <f t="shared" si="123"/>
        <v>0</v>
      </c>
      <c r="U295" s="460">
        <f t="shared" si="123"/>
        <v>0</v>
      </c>
      <c r="V295" s="460">
        <f t="shared" si="123"/>
        <v>0</v>
      </c>
      <c r="W295" s="460">
        <f t="shared" si="123"/>
        <v>0</v>
      </c>
      <c r="X295" s="460">
        <f t="shared" si="123"/>
        <v>0</v>
      </c>
      <c r="Y295" s="460">
        <f t="shared" si="123"/>
        <v>0</v>
      </c>
      <c r="Z295" s="460">
        <f t="shared" si="123"/>
        <v>0</v>
      </c>
      <c r="AA295" s="460">
        <f t="shared" si="123"/>
        <v>0</v>
      </c>
      <c r="AB295" s="460">
        <f t="shared" si="123"/>
        <v>0</v>
      </c>
      <c r="AC295" s="460">
        <f t="shared" si="123"/>
        <v>0</v>
      </c>
      <c r="AD295" s="460">
        <f t="shared" si="123"/>
        <v>0</v>
      </c>
      <c r="AE295" s="460">
        <f t="shared" si="123"/>
        <v>0</v>
      </c>
      <c r="AF295" s="460">
        <f t="shared" si="123"/>
        <v>0</v>
      </c>
      <c r="AG295" s="460">
        <f t="shared" si="123"/>
        <v>0</v>
      </c>
      <c r="AH295" s="460">
        <f t="shared" si="123"/>
        <v>0</v>
      </c>
      <c r="AI295" s="460">
        <f t="shared" si="123"/>
        <v>0</v>
      </c>
      <c r="AJ295" s="460">
        <f t="shared" si="123"/>
        <v>0</v>
      </c>
      <c r="AK295" s="460">
        <f t="shared" si="123"/>
        <v>0</v>
      </c>
      <c r="AL295" s="460">
        <f t="shared" si="123"/>
        <v>0</v>
      </c>
      <c r="AM295" s="460">
        <f t="shared" si="123"/>
        <v>0</v>
      </c>
      <c r="AN295" s="460">
        <f t="shared" si="123"/>
        <v>0</v>
      </c>
      <c r="AO295" s="460">
        <f t="shared" si="123"/>
        <v>0</v>
      </c>
      <c r="AP295" s="460">
        <f t="shared" si="123"/>
        <v>0</v>
      </c>
      <c r="AQ295" s="460">
        <f t="shared" si="123"/>
        <v>0</v>
      </c>
      <c r="AR295" s="460">
        <f t="shared" si="123"/>
        <v>0</v>
      </c>
      <c r="AS295" s="460">
        <f t="shared" si="123"/>
        <v>0</v>
      </c>
      <c r="AT295" s="460">
        <f t="shared" si="123"/>
        <v>0</v>
      </c>
      <c r="AU295" s="460">
        <f t="shared" si="123"/>
        <v>0</v>
      </c>
      <c r="AV295" s="460">
        <f t="shared" si="123"/>
        <v>0</v>
      </c>
      <c r="AW295" s="460">
        <f t="shared" si="123"/>
        <v>0</v>
      </c>
      <c r="AX295" s="460">
        <f t="shared" si="123"/>
        <v>0</v>
      </c>
      <c r="AY295" s="460">
        <f t="shared" si="123"/>
        <v>0</v>
      </c>
      <c r="AZ295" s="460">
        <f t="shared" si="123"/>
        <v>0</v>
      </c>
      <c r="BA295" s="460">
        <f t="shared" si="123"/>
        <v>0</v>
      </c>
      <c r="BB295" s="460">
        <f t="shared" si="123"/>
        <v>0</v>
      </c>
      <c r="BC295" s="460">
        <f t="shared" si="123"/>
        <v>0</v>
      </c>
      <c r="BD295" s="460">
        <f t="shared" si="123"/>
        <v>0</v>
      </c>
      <c r="BE295" s="460">
        <f t="shared" si="123"/>
        <v>0</v>
      </c>
      <c r="BF295" s="460">
        <f t="shared" si="123"/>
        <v>0</v>
      </c>
      <c r="BG295" s="460">
        <f t="shared" si="123"/>
        <v>0</v>
      </c>
      <c r="BH295" s="460">
        <f t="shared" si="123"/>
        <v>0</v>
      </c>
      <c r="BI295" s="460">
        <f t="shared" si="123"/>
        <v>0</v>
      </c>
      <c r="BJ295" s="460">
        <f t="shared" si="123"/>
        <v>0</v>
      </c>
      <c r="BK295" s="460">
        <f t="shared" si="123"/>
        <v>200000000</v>
      </c>
      <c r="BL295" s="460">
        <f t="shared" si="123"/>
        <v>102750000</v>
      </c>
      <c r="BM295" s="460">
        <f t="shared" si="123"/>
        <v>92851000</v>
      </c>
      <c r="BN295" s="460">
        <f t="shared" si="123"/>
        <v>0</v>
      </c>
      <c r="BO295" s="460">
        <f t="shared" si="123"/>
        <v>0</v>
      </c>
      <c r="BP295" s="460">
        <f t="shared" si="123"/>
        <v>0</v>
      </c>
      <c r="BQ295" s="460">
        <f t="shared" si="123"/>
        <v>0</v>
      </c>
      <c r="BR295" s="460">
        <f t="shared" si="123"/>
        <v>0</v>
      </c>
      <c r="BS295" s="460">
        <f t="shared" si="123"/>
        <v>0</v>
      </c>
      <c r="BT295" s="460">
        <f t="shared" si="123"/>
        <v>0</v>
      </c>
      <c r="BU295" s="460">
        <f t="shared" si="123"/>
        <v>0</v>
      </c>
      <c r="BV295" s="460">
        <f t="shared" si="123"/>
        <v>0</v>
      </c>
      <c r="BW295" s="460">
        <f t="shared" si="123"/>
        <v>0</v>
      </c>
      <c r="BX295" s="460">
        <f t="shared" si="123"/>
        <v>0</v>
      </c>
      <c r="BY295" s="460">
        <f t="shared" si="123"/>
        <v>0</v>
      </c>
      <c r="BZ295" s="460">
        <f t="shared" si="123"/>
        <v>200000000</v>
      </c>
      <c r="CA295" s="460">
        <f t="shared" ref="CA295:CB295" si="124">SUM(CA293:CA294)</f>
        <v>102750000</v>
      </c>
      <c r="CB295" s="460">
        <f t="shared" si="124"/>
        <v>92851000</v>
      </c>
    </row>
    <row r="296" spans="1:80" ht="30" customHeight="1" x14ac:dyDescent="0.2">
      <c r="A296" s="42"/>
      <c r="B296" s="42"/>
      <c r="C296" s="150"/>
      <c r="D296" s="72"/>
      <c r="E296" s="73"/>
      <c r="F296" s="73"/>
      <c r="G296" s="72"/>
      <c r="H296" s="150"/>
      <c r="I296" s="72"/>
      <c r="J296" s="72"/>
      <c r="K296" s="235"/>
      <c r="L296" s="689"/>
      <c r="M296" s="235"/>
      <c r="N296" s="150"/>
      <c r="O296" s="150"/>
      <c r="P296" s="72"/>
      <c r="Q296" s="150"/>
      <c r="R296" s="461"/>
      <c r="S296" s="461"/>
      <c r="T296" s="461"/>
      <c r="U296" s="462"/>
      <c r="V296" s="462"/>
      <c r="W296" s="462"/>
      <c r="X296" s="461"/>
      <c r="Y296" s="461"/>
      <c r="Z296" s="461"/>
      <c r="AA296" s="461"/>
      <c r="AB296" s="461"/>
      <c r="AC296" s="461"/>
      <c r="AD296" s="461"/>
      <c r="AE296" s="461"/>
      <c r="AF296" s="461"/>
      <c r="AG296" s="461"/>
      <c r="AH296" s="461"/>
      <c r="AI296" s="461"/>
      <c r="AJ296" s="461"/>
      <c r="AK296" s="461"/>
      <c r="AL296" s="461"/>
      <c r="AM296" s="461"/>
      <c r="AN296" s="461"/>
      <c r="AO296" s="461"/>
      <c r="AP296" s="461"/>
      <c r="AQ296" s="461"/>
      <c r="AR296" s="461"/>
      <c r="AS296" s="461"/>
      <c r="AT296" s="461"/>
      <c r="AU296" s="461"/>
      <c r="AV296" s="461"/>
      <c r="AW296" s="461"/>
      <c r="AX296" s="461"/>
      <c r="AY296" s="462"/>
      <c r="AZ296" s="462"/>
      <c r="BA296" s="462"/>
      <c r="BB296" s="462"/>
      <c r="BC296" s="462"/>
      <c r="BD296" s="462"/>
      <c r="BE296" s="461"/>
      <c r="BF296" s="461"/>
      <c r="BG296" s="461"/>
      <c r="BH296" s="461"/>
      <c r="BI296" s="461"/>
      <c r="BJ296" s="461"/>
      <c r="BK296" s="463" t="s">
        <v>69</v>
      </c>
      <c r="BL296" s="463"/>
      <c r="BM296" s="463"/>
      <c r="BN296" s="464"/>
      <c r="BO296" s="464"/>
      <c r="BP296" s="464"/>
      <c r="BQ296" s="461"/>
      <c r="BR296" s="461"/>
      <c r="BS296" s="461"/>
      <c r="BT296" s="461"/>
      <c r="BU296" s="461"/>
      <c r="BV296" s="461"/>
      <c r="BW296" s="462"/>
      <c r="BX296" s="462"/>
      <c r="BY296" s="462"/>
      <c r="BZ296" s="461"/>
      <c r="CA296" s="461"/>
      <c r="CB296" s="799"/>
    </row>
    <row r="297" spans="1:80" ht="25.5" customHeight="1" x14ac:dyDescent="0.2">
      <c r="A297" s="42"/>
      <c r="B297" s="42"/>
      <c r="C297" s="713"/>
      <c r="D297" s="707"/>
      <c r="E297" s="713"/>
      <c r="F297" s="713"/>
      <c r="G297" s="140">
        <v>3</v>
      </c>
      <c r="H297" s="141" t="s">
        <v>398</v>
      </c>
      <c r="I297" s="80"/>
      <c r="J297" s="80"/>
      <c r="K297" s="221"/>
      <c r="L297" s="91"/>
      <c r="M297" s="221"/>
      <c r="N297" s="173"/>
      <c r="O297" s="173"/>
      <c r="P297" s="80"/>
      <c r="Q297" s="80"/>
      <c r="R297" s="267"/>
      <c r="S297" s="267"/>
      <c r="T297" s="267"/>
      <c r="U297" s="267"/>
      <c r="V297" s="267"/>
      <c r="W297" s="267"/>
      <c r="X297" s="267"/>
      <c r="Y297" s="267"/>
      <c r="Z297" s="267"/>
      <c r="AA297" s="267"/>
      <c r="AB297" s="267"/>
      <c r="AC297" s="267"/>
      <c r="AD297" s="267"/>
      <c r="AE297" s="267"/>
      <c r="AF297" s="267"/>
      <c r="AG297" s="267"/>
      <c r="AH297" s="267"/>
      <c r="AI297" s="267"/>
      <c r="AJ297" s="267"/>
      <c r="AK297" s="267"/>
      <c r="AL297" s="267"/>
      <c r="AM297" s="267"/>
      <c r="AN297" s="267"/>
      <c r="AO297" s="267"/>
      <c r="AP297" s="267"/>
      <c r="AQ297" s="267"/>
      <c r="AR297" s="267"/>
      <c r="AS297" s="267"/>
      <c r="AT297" s="267"/>
      <c r="AU297" s="267"/>
      <c r="AV297" s="267"/>
      <c r="AW297" s="267"/>
      <c r="AX297" s="267"/>
      <c r="AY297" s="267"/>
      <c r="AZ297" s="267"/>
      <c r="BA297" s="267"/>
      <c r="BB297" s="267"/>
      <c r="BC297" s="267"/>
      <c r="BD297" s="267"/>
      <c r="BE297" s="267"/>
      <c r="BF297" s="267"/>
      <c r="BG297" s="267"/>
      <c r="BH297" s="267"/>
      <c r="BI297" s="267"/>
      <c r="BJ297" s="267"/>
      <c r="BK297" s="414"/>
      <c r="BL297" s="414"/>
      <c r="BM297" s="414"/>
      <c r="BN297" s="267"/>
      <c r="BO297" s="267"/>
      <c r="BP297" s="267"/>
      <c r="BQ297" s="267"/>
      <c r="BR297" s="267"/>
      <c r="BS297" s="267"/>
      <c r="BT297" s="267"/>
      <c r="BU297" s="267"/>
      <c r="BV297" s="267"/>
      <c r="BW297" s="267"/>
      <c r="BX297" s="267"/>
      <c r="BY297" s="267"/>
      <c r="BZ297" s="269"/>
      <c r="CA297" s="269"/>
      <c r="CB297" s="269"/>
    </row>
    <row r="298" spans="1:80" ht="142.5" customHeight="1" x14ac:dyDescent="0.2">
      <c r="A298" s="42"/>
      <c r="B298" s="42"/>
      <c r="C298" s="714" t="s">
        <v>399</v>
      </c>
      <c r="D298" s="709" t="s">
        <v>400</v>
      </c>
      <c r="E298" s="714" t="s">
        <v>401</v>
      </c>
      <c r="F298" s="714" t="s">
        <v>402</v>
      </c>
      <c r="G298" s="43"/>
      <c r="H298" s="57">
        <v>14</v>
      </c>
      <c r="I298" s="729" t="s">
        <v>403</v>
      </c>
      <c r="J298" s="57">
        <v>2</v>
      </c>
      <c r="K298" s="169">
        <v>6</v>
      </c>
      <c r="L298" s="107">
        <v>6</v>
      </c>
      <c r="M298" s="46">
        <v>2017003630075</v>
      </c>
      <c r="N298" s="57" t="s">
        <v>381</v>
      </c>
      <c r="O298" s="57" t="s">
        <v>404</v>
      </c>
      <c r="P298" s="729" t="s">
        <v>405</v>
      </c>
      <c r="Q298" s="57" t="s">
        <v>52</v>
      </c>
      <c r="R298" s="401">
        <v>0</v>
      </c>
      <c r="S298" s="401"/>
      <c r="T298" s="401"/>
      <c r="U298" s="401">
        <v>0</v>
      </c>
      <c r="V298" s="401"/>
      <c r="W298" s="401"/>
      <c r="X298" s="401">
        <v>0</v>
      </c>
      <c r="Y298" s="401"/>
      <c r="Z298" s="401"/>
      <c r="AA298" s="401">
        <v>0</v>
      </c>
      <c r="AB298" s="401"/>
      <c r="AC298" s="401"/>
      <c r="AD298" s="401">
        <v>0</v>
      </c>
      <c r="AE298" s="401"/>
      <c r="AF298" s="401"/>
      <c r="AG298" s="401">
        <v>0</v>
      </c>
      <c r="AH298" s="401"/>
      <c r="AI298" s="401"/>
      <c r="AJ298" s="401">
        <v>0</v>
      </c>
      <c r="AK298" s="401"/>
      <c r="AL298" s="401"/>
      <c r="AM298" s="401"/>
      <c r="AN298" s="401"/>
      <c r="AO298" s="401"/>
      <c r="AP298" s="401"/>
      <c r="AQ298" s="401"/>
      <c r="AR298" s="401"/>
      <c r="AS298" s="401">
        <v>0</v>
      </c>
      <c r="AT298" s="401"/>
      <c r="AU298" s="401"/>
      <c r="AV298" s="401">
        <v>0</v>
      </c>
      <c r="AW298" s="401"/>
      <c r="AX298" s="401"/>
      <c r="AY298" s="401"/>
      <c r="AZ298" s="401"/>
      <c r="BA298" s="401"/>
      <c r="BB298" s="401"/>
      <c r="BC298" s="401"/>
      <c r="BD298" s="401"/>
      <c r="BE298" s="401">
        <v>0</v>
      </c>
      <c r="BF298" s="401"/>
      <c r="BG298" s="401"/>
      <c r="BH298" s="401">
        <v>0</v>
      </c>
      <c r="BI298" s="401"/>
      <c r="BJ298" s="401"/>
      <c r="BK298" s="673">
        <f>488574676+41297982+592289786</f>
        <v>1122162444</v>
      </c>
      <c r="BL298" s="135">
        <v>322628746</v>
      </c>
      <c r="BM298" s="135">
        <v>217900000</v>
      </c>
      <c r="BN298" s="421"/>
      <c r="BO298" s="421"/>
      <c r="BP298" s="421"/>
      <c r="BQ298" s="401">
        <v>0</v>
      </c>
      <c r="BR298" s="403"/>
      <c r="BS298" s="403"/>
      <c r="BT298" s="403"/>
      <c r="BU298" s="403"/>
      <c r="BV298" s="403"/>
      <c r="BW298" s="403"/>
      <c r="BX298" s="403"/>
      <c r="BY298" s="403"/>
      <c r="BZ298" s="401">
        <f t="shared" ref="BZ298:CB303" si="125">R298+U298+X298+AA298+AD298+AG298+AJ298+AM298+AP298+AS298+AV298+AY298+BB298+BE298+BH298+BK298+BN298+BQ298+BT298+BW298</f>
        <v>1122162444</v>
      </c>
      <c r="CA298" s="401">
        <f t="shared" si="125"/>
        <v>322628746</v>
      </c>
      <c r="CB298" s="401">
        <f t="shared" si="125"/>
        <v>217900000</v>
      </c>
    </row>
    <row r="299" spans="1:80" ht="114.75" customHeight="1" x14ac:dyDescent="0.2">
      <c r="A299" s="42"/>
      <c r="B299" s="42"/>
      <c r="C299" s="727">
        <v>3</v>
      </c>
      <c r="D299" s="729" t="s">
        <v>389</v>
      </c>
      <c r="E299" s="57" t="s">
        <v>390</v>
      </c>
      <c r="F299" s="57" t="s">
        <v>163</v>
      </c>
      <c r="G299" s="49"/>
      <c r="H299" s="57">
        <v>15</v>
      </c>
      <c r="I299" s="707" t="s">
        <v>406</v>
      </c>
      <c r="J299" s="57">
        <v>0</v>
      </c>
      <c r="K299" s="169">
        <v>2</v>
      </c>
      <c r="L299" s="108">
        <v>1.5</v>
      </c>
      <c r="M299" s="884">
        <v>2017003630062</v>
      </c>
      <c r="N299" s="895" t="s">
        <v>381</v>
      </c>
      <c r="O299" s="883" t="s">
        <v>407</v>
      </c>
      <c r="P299" s="891" t="s">
        <v>979</v>
      </c>
      <c r="Q299" s="57" t="s">
        <v>52</v>
      </c>
      <c r="R299" s="401"/>
      <c r="S299" s="401"/>
      <c r="T299" s="401"/>
      <c r="U299" s="401"/>
      <c r="V299" s="401"/>
      <c r="W299" s="401"/>
      <c r="X299" s="401"/>
      <c r="Y299" s="401"/>
      <c r="Z299" s="401"/>
      <c r="AA299" s="401"/>
      <c r="AB299" s="401"/>
      <c r="AC299" s="401"/>
      <c r="AD299" s="401"/>
      <c r="AE299" s="401"/>
      <c r="AF299" s="401"/>
      <c r="AG299" s="401"/>
      <c r="AH299" s="401"/>
      <c r="AI299" s="401"/>
      <c r="AJ299" s="401"/>
      <c r="AK299" s="401"/>
      <c r="AL299" s="401"/>
      <c r="AM299" s="401"/>
      <c r="AN299" s="401"/>
      <c r="AO299" s="401"/>
      <c r="AP299" s="401"/>
      <c r="AQ299" s="401"/>
      <c r="AR299" s="401"/>
      <c r="AS299" s="401"/>
      <c r="AT299" s="401"/>
      <c r="AU299" s="401"/>
      <c r="AV299" s="401"/>
      <c r="AW299" s="401"/>
      <c r="AX299" s="401"/>
      <c r="AY299" s="401"/>
      <c r="AZ299" s="401"/>
      <c r="BA299" s="401"/>
      <c r="BB299" s="401"/>
      <c r="BC299" s="401"/>
      <c r="BD299" s="401"/>
      <c r="BE299" s="401"/>
      <c r="BF299" s="401"/>
      <c r="BG299" s="401"/>
      <c r="BH299" s="401"/>
      <c r="BI299" s="401"/>
      <c r="BJ299" s="401"/>
      <c r="BK299" s="135">
        <v>180000000</v>
      </c>
      <c r="BL299" s="135"/>
      <c r="BM299" s="135"/>
      <c r="BN299" s="421"/>
      <c r="BO299" s="421"/>
      <c r="BP299" s="421"/>
      <c r="BQ299" s="401"/>
      <c r="BR299" s="403"/>
      <c r="BS299" s="403"/>
      <c r="BT299" s="403"/>
      <c r="BU299" s="403"/>
      <c r="BV299" s="403"/>
      <c r="BW299" s="403"/>
      <c r="BX299" s="403"/>
      <c r="BY299" s="403"/>
      <c r="BZ299" s="401">
        <f t="shared" si="125"/>
        <v>180000000</v>
      </c>
      <c r="CA299" s="401">
        <f t="shared" si="125"/>
        <v>0</v>
      </c>
      <c r="CB299" s="401">
        <f t="shared" si="125"/>
        <v>0</v>
      </c>
    </row>
    <row r="300" spans="1:80" ht="84" customHeight="1" x14ac:dyDescent="0.2">
      <c r="A300" s="42"/>
      <c r="B300" s="42"/>
      <c r="C300" s="57"/>
      <c r="D300" s="729"/>
      <c r="E300" s="57"/>
      <c r="F300" s="57"/>
      <c r="G300" s="49"/>
      <c r="H300" s="57">
        <v>16</v>
      </c>
      <c r="I300" s="707" t="s">
        <v>409</v>
      </c>
      <c r="J300" s="57">
        <v>7</v>
      </c>
      <c r="K300" s="169">
        <v>4</v>
      </c>
      <c r="L300" s="107">
        <v>4</v>
      </c>
      <c r="M300" s="885"/>
      <c r="N300" s="883"/>
      <c r="O300" s="883"/>
      <c r="P300" s="891"/>
      <c r="Q300" s="57" t="s">
        <v>67</v>
      </c>
      <c r="R300" s="401"/>
      <c r="S300" s="401"/>
      <c r="T300" s="401"/>
      <c r="U300" s="401"/>
      <c r="V300" s="401"/>
      <c r="W300" s="401"/>
      <c r="X300" s="401"/>
      <c r="Y300" s="401"/>
      <c r="Z300" s="401"/>
      <c r="AA300" s="401"/>
      <c r="AB300" s="401"/>
      <c r="AC300" s="401"/>
      <c r="AD300" s="401"/>
      <c r="AE300" s="401"/>
      <c r="AF300" s="401"/>
      <c r="AG300" s="401"/>
      <c r="AH300" s="401"/>
      <c r="AI300" s="401"/>
      <c r="AJ300" s="401"/>
      <c r="AK300" s="401"/>
      <c r="AL300" s="401"/>
      <c r="AM300" s="401"/>
      <c r="AN300" s="401"/>
      <c r="AO300" s="401"/>
      <c r="AP300" s="401"/>
      <c r="AQ300" s="401"/>
      <c r="AR300" s="401"/>
      <c r="AS300" s="401"/>
      <c r="AT300" s="401"/>
      <c r="AU300" s="401"/>
      <c r="AV300" s="401"/>
      <c r="AW300" s="401"/>
      <c r="AX300" s="401"/>
      <c r="AY300" s="401"/>
      <c r="AZ300" s="401"/>
      <c r="BA300" s="401"/>
      <c r="BB300" s="401"/>
      <c r="BC300" s="401"/>
      <c r="BD300" s="401"/>
      <c r="BE300" s="401"/>
      <c r="BF300" s="401"/>
      <c r="BG300" s="401"/>
      <c r="BH300" s="401"/>
      <c r="BI300" s="401"/>
      <c r="BJ300" s="401"/>
      <c r="BK300" s="135">
        <v>6000000</v>
      </c>
      <c r="BL300" s="135">
        <v>6000000</v>
      </c>
      <c r="BM300" s="135">
        <v>3256000</v>
      </c>
      <c r="BN300" s="421"/>
      <c r="BO300" s="421"/>
      <c r="BP300" s="421"/>
      <c r="BQ300" s="401"/>
      <c r="BR300" s="403"/>
      <c r="BS300" s="403"/>
      <c r="BT300" s="403"/>
      <c r="BU300" s="403"/>
      <c r="BV300" s="403"/>
      <c r="BW300" s="403"/>
      <c r="BX300" s="403"/>
      <c r="BY300" s="403"/>
      <c r="BZ300" s="401">
        <f t="shared" si="125"/>
        <v>6000000</v>
      </c>
      <c r="CA300" s="401">
        <f t="shared" si="125"/>
        <v>6000000</v>
      </c>
      <c r="CB300" s="401">
        <f t="shared" si="125"/>
        <v>3256000</v>
      </c>
    </row>
    <row r="301" spans="1:80" ht="65.25" customHeight="1" x14ac:dyDescent="0.2">
      <c r="A301" s="42"/>
      <c r="B301" s="42"/>
      <c r="C301" s="714"/>
      <c r="D301" s="709"/>
      <c r="E301" s="714"/>
      <c r="F301" s="714"/>
      <c r="G301" s="49"/>
      <c r="H301" s="57">
        <v>18</v>
      </c>
      <c r="I301" s="729" t="s">
        <v>410</v>
      </c>
      <c r="J301" s="57">
        <v>0</v>
      </c>
      <c r="K301" s="169">
        <v>7</v>
      </c>
      <c r="L301" s="108">
        <v>0.5</v>
      </c>
      <c r="M301" s="885"/>
      <c r="N301" s="883"/>
      <c r="O301" s="883"/>
      <c r="P301" s="891"/>
      <c r="Q301" s="57" t="s">
        <v>67</v>
      </c>
      <c r="R301" s="401"/>
      <c r="S301" s="401"/>
      <c r="T301" s="401"/>
      <c r="U301" s="401"/>
      <c r="V301" s="401"/>
      <c r="W301" s="401"/>
      <c r="X301" s="401"/>
      <c r="Y301" s="401"/>
      <c r="Z301" s="401"/>
      <c r="AA301" s="401"/>
      <c r="AB301" s="401"/>
      <c r="AC301" s="401"/>
      <c r="AD301" s="401"/>
      <c r="AE301" s="401"/>
      <c r="AF301" s="401"/>
      <c r="AG301" s="401"/>
      <c r="AH301" s="401"/>
      <c r="AI301" s="401"/>
      <c r="AJ301" s="401"/>
      <c r="AK301" s="401"/>
      <c r="AL301" s="401"/>
      <c r="AM301" s="401"/>
      <c r="AN301" s="401"/>
      <c r="AO301" s="401"/>
      <c r="AP301" s="401"/>
      <c r="AQ301" s="401"/>
      <c r="AR301" s="401"/>
      <c r="AS301" s="401"/>
      <c r="AT301" s="401"/>
      <c r="AU301" s="401"/>
      <c r="AV301" s="401"/>
      <c r="AW301" s="401"/>
      <c r="AX301" s="401"/>
      <c r="AY301" s="401"/>
      <c r="AZ301" s="401"/>
      <c r="BA301" s="401"/>
      <c r="BB301" s="401"/>
      <c r="BC301" s="401"/>
      <c r="BD301" s="401"/>
      <c r="BE301" s="401"/>
      <c r="BF301" s="401"/>
      <c r="BG301" s="401"/>
      <c r="BH301" s="401"/>
      <c r="BI301" s="403"/>
      <c r="BJ301" s="403"/>
      <c r="BK301" s="404">
        <v>8600000</v>
      </c>
      <c r="BL301" s="404">
        <v>8600000</v>
      </c>
      <c r="BM301" s="404">
        <v>8600000</v>
      </c>
      <c r="BN301" s="404"/>
      <c r="BO301" s="404"/>
      <c r="BP301" s="404"/>
      <c r="BQ301" s="401"/>
      <c r="BR301" s="403"/>
      <c r="BS301" s="403"/>
      <c r="BT301" s="403"/>
      <c r="BU301" s="403"/>
      <c r="BV301" s="403"/>
      <c r="BW301" s="403"/>
      <c r="BX301" s="403"/>
      <c r="BY301" s="403"/>
      <c r="BZ301" s="401">
        <f t="shared" si="125"/>
        <v>8600000</v>
      </c>
      <c r="CA301" s="401">
        <f t="shared" si="125"/>
        <v>8600000</v>
      </c>
      <c r="CB301" s="401">
        <f t="shared" si="125"/>
        <v>8600000</v>
      </c>
    </row>
    <row r="302" spans="1:80" ht="93.75" customHeight="1" x14ac:dyDescent="0.2">
      <c r="A302" s="42"/>
      <c r="B302" s="42"/>
      <c r="C302" s="727">
        <v>4</v>
      </c>
      <c r="D302" s="729" t="s">
        <v>411</v>
      </c>
      <c r="E302" s="57" t="s">
        <v>412</v>
      </c>
      <c r="F302" s="57" t="s">
        <v>413</v>
      </c>
      <c r="G302" s="49"/>
      <c r="H302" s="57">
        <v>19</v>
      </c>
      <c r="I302" s="729" t="s">
        <v>414</v>
      </c>
      <c r="J302" s="57">
        <v>20</v>
      </c>
      <c r="K302" s="169">
        <v>9</v>
      </c>
      <c r="L302" s="107">
        <v>9</v>
      </c>
      <c r="M302" s="885"/>
      <c r="N302" s="883"/>
      <c r="O302" s="883"/>
      <c r="P302" s="891"/>
      <c r="Q302" s="57" t="s">
        <v>67</v>
      </c>
      <c r="R302" s="401">
        <v>0</v>
      </c>
      <c r="S302" s="401"/>
      <c r="T302" s="401"/>
      <c r="U302" s="401">
        <v>0</v>
      </c>
      <c r="V302" s="401"/>
      <c r="W302" s="401"/>
      <c r="X302" s="401">
        <v>0</v>
      </c>
      <c r="Y302" s="401"/>
      <c r="Z302" s="401"/>
      <c r="AA302" s="401">
        <v>0</v>
      </c>
      <c r="AB302" s="401"/>
      <c r="AC302" s="401"/>
      <c r="AD302" s="401">
        <v>0</v>
      </c>
      <c r="AE302" s="401"/>
      <c r="AF302" s="401"/>
      <c r="AG302" s="401">
        <v>0</v>
      </c>
      <c r="AH302" s="401"/>
      <c r="AI302" s="401"/>
      <c r="AJ302" s="401">
        <v>0</v>
      </c>
      <c r="AK302" s="401"/>
      <c r="AL302" s="401"/>
      <c r="AM302" s="401"/>
      <c r="AN302" s="401"/>
      <c r="AO302" s="401"/>
      <c r="AP302" s="401"/>
      <c r="AQ302" s="401"/>
      <c r="AR302" s="401"/>
      <c r="AS302" s="401">
        <v>0</v>
      </c>
      <c r="AT302" s="401"/>
      <c r="AU302" s="401"/>
      <c r="AV302" s="401">
        <v>0</v>
      </c>
      <c r="AW302" s="401"/>
      <c r="AX302" s="401"/>
      <c r="AY302" s="401"/>
      <c r="AZ302" s="401"/>
      <c r="BA302" s="401"/>
      <c r="BB302" s="401"/>
      <c r="BC302" s="401"/>
      <c r="BD302" s="401"/>
      <c r="BE302" s="401">
        <v>0</v>
      </c>
      <c r="BF302" s="401"/>
      <c r="BG302" s="401"/>
      <c r="BH302" s="401">
        <v>0</v>
      </c>
      <c r="BI302" s="403"/>
      <c r="BJ302" s="403"/>
      <c r="BK302" s="404">
        <f>7000000</f>
        <v>7000000</v>
      </c>
      <c r="BL302" s="404">
        <v>7000000</v>
      </c>
      <c r="BM302" s="404">
        <v>7000000</v>
      </c>
      <c r="BN302" s="404"/>
      <c r="BO302" s="404"/>
      <c r="BP302" s="404"/>
      <c r="BQ302" s="401">
        <v>0</v>
      </c>
      <c r="BR302" s="403"/>
      <c r="BS302" s="403"/>
      <c r="BT302" s="403"/>
      <c r="BU302" s="403"/>
      <c r="BV302" s="403"/>
      <c r="BW302" s="403"/>
      <c r="BX302" s="403"/>
      <c r="BY302" s="403"/>
      <c r="BZ302" s="401">
        <f t="shared" si="125"/>
        <v>7000000</v>
      </c>
      <c r="CA302" s="401">
        <f t="shared" si="125"/>
        <v>7000000</v>
      </c>
      <c r="CB302" s="401">
        <f t="shared" si="125"/>
        <v>7000000</v>
      </c>
    </row>
    <row r="303" spans="1:80" ht="56.25" customHeight="1" x14ac:dyDescent="0.2">
      <c r="A303" s="42"/>
      <c r="B303" s="42"/>
      <c r="C303" s="713">
        <v>1</v>
      </c>
      <c r="D303" s="707" t="s">
        <v>379</v>
      </c>
      <c r="E303" s="542" t="s">
        <v>43</v>
      </c>
      <c r="F303" s="543">
        <v>15000</v>
      </c>
      <c r="G303" s="49"/>
      <c r="H303" s="57">
        <v>20</v>
      </c>
      <c r="I303" s="729" t="s">
        <v>415</v>
      </c>
      <c r="J303" s="57" t="s">
        <v>43</v>
      </c>
      <c r="K303" s="169">
        <v>70</v>
      </c>
      <c r="L303" s="107">
        <v>90</v>
      </c>
      <c r="M303" s="886"/>
      <c r="N303" s="898"/>
      <c r="O303" s="898"/>
      <c r="P303" s="892"/>
      <c r="Q303" s="57" t="s">
        <v>67</v>
      </c>
      <c r="R303" s="401">
        <v>0</v>
      </c>
      <c r="S303" s="401"/>
      <c r="T303" s="401"/>
      <c r="U303" s="401">
        <v>0</v>
      </c>
      <c r="V303" s="401"/>
      <c r="W303" s="401"/>
      <c r="X303" s="401">
        <v>0</v>
      </c>
      <c r="Y303" s="401"/>
      <c r="Z303" s="401"/>
      <c r="AA303" s="401">
        <v>0</v>
      </c>
      <c r="AB303" s="401"/>
      <c r="AC303" s="401"/>
      <c r="AD303" s="401">
        <v>0</v>
      </c>
      <c r="AE303" s="401"/>
      <c r="AF303" s="401"/>
      <c r="AG303" s="401">
        <v>0</v>
      </c>
      <c r="AH303" s="401"/>
      <c r="AI303" s="401"/>
      <c r="AJ303" s="401">
        <v>0</v>
      </c>
      <c r="AK303" s="401"/>
      <c r="AL303" s="401"/>
      <c r="AM303" s="401"/>
      <c r="AN303" s="401"/>
      <c r="AO303" s="401"/>
      <c r="AP303" s="401"/>
      <c r="AQ303" s="401"/>
      <c r="AR303" s="401"/>
      <c r="AS303" s="401">
        <v>0</v>
      </c>
      <c r="AT303" s="401"/>
      <c r="AU303" s="401"/>
      <c r="AV303" s="401">
        <v>0</v>
      </c>
      <c r="AW303" s="401"/>
      <c r="AX303" s="401"/>
      <c r="AY303" s="401"/>
      <c r="AZ303" s="401"/>
      <c r="BA303" s="401"/>
      <c r="BB303" s="401"/>
      <c r="BC303" s="401"/>
      <c r="BD303" s="401"/>
      <c r="BE303" s="401">
        <v>0</v>
      </c>
      <c r="BF303" s="401"/>
      <c r="BG303" s="401"/>
      <c r="BH303" s="401">
        <v>0</v>
      </c>
      <c r="BI303" s="403"/>
      <c r="BJ303" s="403"/>
      <c r="BK303" s="404">
        <v>7000000</v>
      </c>
      <c r="BL303" s="404">
        <v>7000000</v>
      </c>
      <c r="BM303" s="404">
        <v>5950000</v>
      </c>
      <c r="BN303" s="404"/>
      <c r="BO303" s="404"/>
      <c r="BP303" s="404"/>
      <c r="BQ303" s="401">
        <v>0</v>
      </c>
      <c r="BR303" s="403"/>
      <c r="BS303" s="403"/>
      <c r="BT303" s="403"/>
      <c r="BU303" s="403"/>
      <c r="BV303" s="403"/>
      <c r="BW303" s="403"/>
      <c r="BX303" s="403"/>
      <c r="BY303" s="403"/>
      <c r="BZ303" s="401">
        <f t="shared" si="125"/>
        <v>7000000</v>
      </c>
      <c r="CA303" s="401">
        <f t="shared" si="125"/>
        <v>7000000</v>
      </c>
      <c r="CB303" s="401">
        <f t="shared" si="125"/>
        <v>5950000</v>
      </c>
    </row>
    <row r="304" spans="1:80" ht="18.75" customHeight="1" x14ac:dyDescent="0.2">
      <c r="A304" s="42"/>
      <c r="B304" s="55"/>
      <c r="C304" s="714"/>
      <c r="D304" s="709"/>
      <c r="E304" s="714"/>
      <c r="F304" s="714"/>
      <c r="G304" s="58"/>
      <c r="H304" s="59"/>
      <c r="I304" s="58"/>
      <c r="J304" s="58"/>
      <c r="K304" s="234"/>
      <c r="L304" s="688"/>
      <c r="M304" s="234"/>
      <c r="N304" s="59"/>
      <c r="O304" s="59"/>
      <c r="P304" s="236"/>
      <c r="Q304" s="59"/>
      <c r="R304" s="460">
        <f t="shared" ref="R304:CB304" si="126">SUM(R298:R303)</f>
        <v>0</v>
      </c>
      <c r="S304" s="460">
        <f t="shared" si="126"/>
        <v>0</v>
      </c>
      <c r="T304" s="460">
        <f t="shared" si="126"/>
        <v>0</v>
      </c>
      <c r="U304" s="460">
        <f t="shared" si="126"/>
        <v>0</v>
      </c>
      <c r="V304" s="460">
        <f t="shared" si="126"/>
        <v>0</v>
      </c>
      <c r="W304" s="460">
        <f t="shared" si="126"/>
        <v>0</v>
      </c>
      <c r="X304" s="460">
        <f t="shared" si="126"/>
        <v>0</v>
      </c>
      <c r="Y304" s="460">
        <f t="shared" si="126"/>
        <v>0</v>
      </c>
      <c r="Z304" s="460">
        <f t="shared" si="126"/>
        <v>0</v>
      </c>
      <c r="AA304" s="460">
        <f t="shared" si="126"/>
        <v>0</v>
      </c>
      <c r="AB304" s="460">
        <f t="shared" si="126"/>
        <v>0</v>
      </c>
      <c r="AC304" s="460">
        <f t="shared" si="126"/>
        <v>0</v>
      </c>
      <c r="AD304" s="460">
        <f t="shared" si="126"/>
        <v>0</v>
      </c>
      <c r="AE304" s="460">
        <f t="shared" si="126"/>
        <v>0</v>
      </c>
      <c r="AF304" s="460">
        <f t="shared" si="126"/>
        <v>0</v>
      </c>
      <c r="AG304" s="460">
        <f t="shared" si="126"/>
        <v>0</v>
      </c>
      <c r="AH304" s="460">
        <f t="shared" si="126"/>
        <v>0</v>
      </c>
      <c r="AI304" s="460">
        <f t="shared" si="126"/>
        <v>0</v>
      </c>
      <c r="AJ304" s="460">
        <f t="shared" si="126"/>
        <v>0</v>
      </c>
      <c r="AK304" s="460">
        <f t="shared" si="126"/>
        <v>0</v>
      </c>
      <c r="AL304" s="460">
        <f t="shared" si="126"/>
        <v>0</v>
      </c>
      <c r="AM304" s="460">
        <f t="shared" si="126"/>
        <v>0</v>
      </c>
      <c r="AN304" s="460">
        <f t="shared" si="126"/>
        <v>0</v>
      </c>
      <c r="AO304" s="460">
        <f t="shared" si="126"/>
        <v>0</v>
      </c>
      <c r="AP304" s="460">
        <f t="shared" si="126"/>
        <v>0</v>
      </c>
      <c r="AQ304" s="460">
        <f t="shared" si="126"/>
        <v>0</v>
      </c>
      <c r="AR304" s="460">
        <f t="shared" si="126"/>
        <v>0</v>
      </c>
      <c r="AS304" s="460">
        <f t="shared" si="126"/>
        <v>0</v>
      </c>
      <c r="AT304" s="460">
        <f t="shared" si="126"/>
        <v>0</v>
      </c>
      <c r="AU304" s="460">
        <f t="shared" si="126"/>
        <v>0</v>
      </c>
      <c r="AV304" s="460">
        <f t="shared" si="126"/>
        <v>0</v>
      </c>
      <c r="AW304" s="460">
        <f t="shared" si="126"/>
        <v>0</v>
      </c>
      <c r="AX304" s="460">
        <f t="shared" si="126"/>
        <v>0</v>
      </c>
      <c r="AY304" s="460">
        <f t="shared" si="126"/>
        <v>0</v>
      </c>
      <c r="AZ304" s="460">
        <f t="shared" si="126"/>
        <v>0</v>
      </c>
      <c r="BA304" s="460">
        <f t="shared" si="126"/>
        <v>0</v>
      </c>
      <c r="BB304" s="460">
        <f t="shared" si="126"/>
        <v>0</v>
      </c>
      <c r="BC304" s="460">
        <f t="shared" si="126"/>
        <v>0</v>
      </c>
      <c r="BD304" s="460">
        <f t="shared" si="126"/>
        <v>0</v>
      </c>
      <c r="BE304" s="460">
        <f t="shared" si="126"/>
        <v>0</v>
      </c>
      <c r="BF304" s="460">
        <f t="shared" si="126"/>
        <v>0</v>
      </c>
      <c r="BG304" s="460">
        <f t="shared" si="126"/>
        <v>0</v>
      </c>
      <c r="BH304" s="460">
        <f t="shared" si="126"/>
        <v>0</v>
      </c>
      <c r="BI304" s="460">
        <f t="shared" si="126"/>
        <v>0</v>
      </c>
      <c r="BJ304" s="460">
        <f t="shared" si="126"/>
        <v>0</v>
      </c>
      <c r="BK304" s="460">
        <f t="shared" si="126"/>
        <v>1330762444</v>
      </c>
      <c r="BL304" s="460">
        <f t="shared" si="126"/>
        <v>351228746</v>
      </c>
      <c r="BM304" s="460">
        <f t="shared" si="126"/>
        <v>242706000</v>
      </c>
      <c r="BN304" s="460">
        <f t="shared" si="126"/>
        <v>0</v>
      </c>
      <c r="BO304" s="460">
        <f t="shared" si="126"/>
        <v>0</v>
      </c>
      <c r="BP304" s="460">
        <f t="shared" si="126"/>
        <v>0</v>
      </c>
      <c r="BQ304" s="460">
        <f t="shared" si="126"/>
        <v>0</v>
      </c>
      <c r="BR304" s="460">
        <f t="shared" si="126"/>
        <v>0</v>
      </c>
      <c r="BS304" s="460">
        <f t="shared" si="126"/>
        <v>0</v>
      </c>
      <c r="BT304" s="460">
        <f t="shared" si="126"/>
        <v>0</v>
      </c>
      <c r="BU304" s="460">
        <f t="shared" si="126"/>
        <v>0</v>
      </c>
      <c r="BV304" s="460">
        <f t="shared" si="126"/>
        <v>0</v>
      </c>
      <c r="BW304" s="460">
        <f t="shared" si="126"/>
        <v>0</v>
      </c>
      <c r="BX304" s="460">
        <f t="shared" si="126"/>
        <v>0</v>
      </c>
      <c r="BY304" s="460">
        <f t="shared" si="126"/>
        <v>0</v>
      </c>
      <c r="BZ304" s="460">
        <f t="shared" si="126"/>
        <v>1330762444</v>
      </c>
      <c r="CA304" s="460">
        <f t="shared" si="126"/>
        <v>351228746</v>
      </c>
      <c r="CB304" s="460">
        <f t="shared" si="126"/>
        <v>242706000</v>
      </c>
    </row>
    <row r="305" spans="1:80" ht="18.75" customHeight="1" x14ac:dyDescent="0.2">
      <c r="A305" s="55"/>
      <c r="B305" s="62"/>
      <c r="C305" s="97"/>
      <c r="D305" s="62"/>
      <c r="E305" s="63"/>
      <c r="F305" s="63"/>
      <c r="G305" s="62"/>
      <c r="H305" s="63"/>
      <c r="I305" s="62"/>
      <c r="J305" s="62"/>
      <c r="K305" s="237"/>
      <c r="L305" s="690"/>
      <c r="M305" s="237"/>
      <c r="N305" s="63"/>
      <c r="O305" s="63"/>
      <c r="P305" s="62"/>
      <c r="Q305" s="63"/>
      <c r="R305" s="437">
        <f t="shared" ref="R305:CB305" si="127">R304+R295+R290</f>
        <v>0</v>
      </c>
      <c r="S305" s="437">
        <f t="shared" si="127"/>
        <v>0</v>
      </c>
      <c r="T305" s="437">
        <f t="shared" si="127"/>
        <v>0</v>
      </c>
      <c r="U305" s="437">
        <f t="shared" si="127"/>
        <v>0</v>
      </c>
      <c r="V305" s="437">
        <f t="shared" si="127"/>
        <v>0</v>
      </c>
      <c r="W305" s="437">
        <f t="shared" si="127"/>
        <v>0</v>
      </c>
      <c r="X305" s="437">
        <f t="shared" si="127"/>
        <v>0</v>
      </c>
      <c r="Y305" s="437">
        <f t="shared" si="127"/>
        <v>0</v>
      </c>
      <c r="Z305" s="437">
        <f t="shared" si="127"/>
        <v>0</v>
      </c>
      <c r="AA305" s="437">
        <f t="shared" si="127"/>
        <v>0</v>
      </c>
      <c r="AB305" s="437">
        <f t="shared" si="127"/>
        <v>0</v>
      </c>
      <c r="AC305" s="437">
        <f t="shared" si="127"/>
        <v>0</v>
      </c>
      <c r="AD305" s="437">
        <f t="shared" si="127"/>
        <v>0</v>
      </c>
      <c r="AE305" s="437">
        <f t="shared" si="127"/>
        <v>0</v>
      </c>
      <c r="AF305" s="437">
        <f t="shared" si="127"/>
        <v>0</v>
      </c>
      <c r="AG305" s="437">
        <f t="shared" si="127"/>
        <v>0</v>
      </c>
      <c r="AH305" s="437">
        <f t="shared" si="127"/>
        <v>0</v>
      </c>
      <c r="AI305" s="437">
        <f t="shared" si="127"/>
        <v>0</v>
      </c>
      <c r="AJ305" s="437">
        <f t="shared" si="127"/>
        <v>0</v>
      </c>
      <c r="AK305" s="437">
        <f t="shared" si="127"/>
        <v>0</v>
      </c>
      <c r="AL305" s="437">
        <f t="shared" si="127"/>
        <v>0</v>
      </c>
      <c r="AM305" s="437">
        <f t="shared" si="127"/>
        <v>0</v>
      </c>
      <c r="AN305" s="437">
        <f t="shared" si="127"/>
        <v>0</v>
      </c>
      <c r="AO305" s="437">
        <f t="shared" si="127"/>
        <v>0</v>
      </c>
      <c r="AP305" s="437">
        <f t="shared" si="127"/>
        <v>0</v>
      </c>
      <c r="AQ305" s="437">
        <f t="shared" si="127"/>
        <v>0</v>
      </c>
      <c r="AR305" s="437">
        <f t="shared" si="127"/>
        <v>0</v>
      </c>
      <c r="AS305" s="437">
        <f t="shared" si="127"/>
        <v>0</v>
      </c>
      <c r="AT305" s="437">
        <f t="shared" si="127"/>
        <v>0</v>
      </c>
      <c r="AU305" s="437">
        <f t="shared" si="127"/>
        <v>0</v>
      </c>
      <c r="AV305" s="437">
        <f t="shared" si="127"/>
        <v>0</v>
      </c>
      <c r="AW305" s="437">
        <f t="shared" si="127"/>
        <v>0</v>
      </c>
      <c r="AX305" s="437">
        <f t="shared" si="127"/>
        <v>0</v>
      </c>
      <c r="AY305" s="437">
        <f t="shared" si="127"/>
        <v>0</v>
      </c>
      <c r="AZ305" s="437">
        <f t="shared" si="127"/>
        <v>0</v>
      </c>
      <c r="BA305" s="437">
        <f t="shared" si="127"/>
        <v>0</v>
      </c>
      <c r="BB305" s="437">
        <f t="shared" si="127"/>
        <v>0</v>
      </c>
      <c r="BC305" s="437">
        <f t="shared" si="127"/>
        <v>0</v>
      </c>
      <c r="BD305" s="437">
        <f t="shared" si="127"/>
        <v>0</v>
      </c>
      <c r="BE305" s="437">
        <f t="shared" si="127"/>
        <v>0</v>
      </c>
      <c r="BF305" s="437">
        <f t="shared" si="127"/>
        <v>0</v>
      </c>
      <c r="BG305" s="437">
        <f t="shared" si="127"/>
        <v>0</v>
      </c>
      <c r="BH305" s="437">
        <f t="shared" si="127"/>
        <v>0</v>
      </c>
      <c r="BI305" s="437">
        <f t="shared" si="127"/>
        <v>0</v>
      </c>
      <c r="BJ305" s="437">
        <f t="shared" si="127"/>
        <v>0</v>
      </c>
      <c r="BK305" s="437">
        <f t="shared" si="127"/>
        <v>1615762444</v>
      </c>
      <c r="BL305" s="437">
        <f t="shared" si="127"/>
        <v>538978737</v>
      </c>
      <c r="BM305" s="437">
        <f t="shared" si="127"/>
        <v>415706991</v>
      </c>
      <c r="BN305" s="437">
        <f t="shared" si="127"/>
        <v>0</v>
      </c>
      <c r="BO305" s="437">
        <f t="shared" si="127"/>
        <v>0</v>
      </c>
      <c r="BP305" s="437">
        <f t="shared" si="127"/>
        <v>0</v>
      </c>
      <c r="BQ305" s="437">
        <f t="shared" si="127"/>
        <v>0</v>
      </c>
      <c r="BR305" s="437">
        <f t="shared" si="127"/>
        <v>0</v>
      </c>
      <c r="BS305" s="437">
        <f t="shared" si="127"/>
        <v>0</v>
      </c>
      <c r="BT305" s="437">
        <f t="shared" si="127"/>
        <v>0</v>
      </c>
      <c r="BU305" s="437">
        <f t="shared" si="127"/>
        <v>0</v>
      </c>
      <c r="BV305" s="437">
        <f t="shared" si="127"/>
        <v>0</v>
      </c>
      <c r="BW305" s="437">
        <f t="shared" si="127"/>
        <v>0</v>
      </c>
      <c r="BX305" s="437">
        <f t="shared" si="127"/>
        <v>0</v>
      </c>
      <c r="BY305" s="437">
        <f t="shared" si="127"/>
        <v>0</v>
      </c>
      <c r="BZ305" s="437">
        <f t="shared" si="127"/>
        <v>1615762444</v>
      </c>
      <c r="CA305" s="437">
        <f t="shared" si="127"/>
        <v>538978737</v>
      </c>
      <c r="CB305" s="437">
        <f t="shared" si="127"/>
        <v>415706991</v>
      </c>
    </row>
    <row r="306" spans="1:80" ht="18.75" customHeight="1" x14ac:dyDescent="0.2">
      <c r="A306" s="600"/>
      <c r="B306" s="600"/>
      <c r="C306" s="66"/>
      <c r="D306" s="324"/>
      <c r="E306" s="324"/>
      <c r="F306" s="324"/>
      <c r="G306" s="324"/>
      <c r="H306" s="66"/>
      <c r="I306" s="324"/>
      <c r="J306" s="324"/>
      <c r="K306" s="601"/>
      <c r="L306" s="691"/>
      <c r="M306" s="601"/>
      <c r="N306" s="66"/>
      <c r="O306" s="66"/>
      <c r="P306" s="324"/>
      <c r="Q306" s="324"/>
      <c r="R306" s="602">
        <f t="shared" ref="R306:CB306" si="128">R305</f>
        <v>0</v>
      </c>
      <c r="S306" s="602">
        <f t="shared" si="128"/>
        <v>0</v>
      </c>
      <c r="T306" s="602">
        <f t="shared" si="128"/>
        <v>0</v>
      </c>
      <c r="U306" s="602">
        <f t="shared" si="128"/>
        <v>0</v>
      </c>
      <c r="V306" s="602">
        <f t="shared" si="128"/>
        <v>0</v>
      </c>
      <c r="W306" s="602">
        <f t="shared" si="128"/>
        <v>0</v>
      </c>
      <c r="X306" s="602">
        <f t="shared" si="128"/>
        <v>0</v>
      </c>
      <c r="Y306" s="602">
        <f t="shared" si="128"/>
        <v>0</v>
      </c>
      <c r="Z306" s="602">
        <f t="shared" si="128"/>
        <v>0</v>
      </c>
      <c r="AA306" s="602">
        <f t="shared" si="128"/>
        <v>0</v>
      </c>
      <c r="AB306" s="602">
        <f t="shared" si="128"/>
        <v>0</v>
      </c>
      <c r="AC306" s="602">
        <f t="shared" si="128"/>
        <v>0</v>
      </c>
      <c r="AD306" s="602">
        <f t="shared" si="128"/>
        <v>0</v>
      </c>
      <c r="AE306" s="602">
        <f t="shared" si="128"/>
        <v>0</v>
      </c>
      <c r="AF306" s="602">
        <f t="shared" si="128"/>
        <v>0</v>
      </c>
      <c r="AG306" s="602">
        <f t="shared" si="128"/>
        <v>0</v>
      </c>
      <c r="AH306" s="602">
        <f t="shared" si="128"/>
        <v>0</v>
      </c>
      <c r="AI306" s="602">
        <f t="shared" si="128"/>
        <v>0</v>
      </c>
      <c r="AJ306" s="602">
        <f t="shared" si="128"/>
        <v>0</v>
      </c>
      <c r="AK306" s="602">
        <f t="shared" si="128"/>
        <v>0</v>
      </c>
      <c r="AL306" s="602">
        <f t="shared" si="128"/>
        <v>0</v>
      </c>
      <c r="AM306" s="602">
        <f t="shared" si="128"/>
        <v>0</v>
      </c>
      <c r="AN306" s="602">
        <f t="shared" si="128"/>
        <v>0</v>
      </c>
      <c r="AO306" s="602">
        <f t="shared" si="128"/>
        <v>0</v>
      </c>
      <c r="AP306" s="602">
        <f t="shared" si="128"/>
        <v>0</v>
      </c>
      <c r="AQ306" s="602">
        <f t="shared" si="128"/>
        <v>0</v>
      </c>
      <c r="AR306" s="602">
        <f t="shared" si="128"/>
        <v>0</v>
      </c>
      <c r="AS306" s="602">
        <f t="shared" si="128"/>
        <v>0</v>
      </c>
      <c r="AT306" s="602">
        <f t="shared" si="128"/>
        <v>0</v>
      </c>
      <c r="AU306" s="602">
        <f t="shared" si="128"/>
        <v>0</v>
      </c>
      <c r="AV306" s="602">
        <f t="shared" si="128"/>
        <v>0</v>
      </c>
      <c r="AW306" s="602">
        <f t="shared" si="128"/>
        <v>0</v>
      </c>
      <c r="AX306" s="602">
        <f t="shared" si="128"/>
        <v>0</v>
      </c>
      <c r="AY306" s="602">
        <f t="shared" si="128"/>
        <v>0</v>
      </c>
      <c r="AZ306" s="602">
        <f t="shared" si="128"/>
        <v>0</v>
      </c>
      <c r="BA306" s="602">
        <f t="shared" si="128"/>
        <v>0</v>
      </c>
      <c r="BB306" s="602">
        <f t="shared" si="128"/>
        <v>0</v>
      </c>
      <c r="BC306" s="602">
        <f t="shared" si="128"/>
        <v>0</v>
      </c>
      <c r="BD306" s="602">
        <f t="shared" si="128"/>
        <v>0</v>
      </c>
      <c r="BE306" s="602">
        <f t="shared" si="128"/>
        <v>0</v>
      </c>
      <c r="BF306" s="602">
        <f t="shared" si="128"/>
        <v>0</v>
      </c>
      <c r="BG306" s="602">
        <f t="shared" si="128"/>
        <v>0</v>
      </c>
      <c r="BH306" s="602">
        <f t="shared" si="128"/>
        <v>0</v>
      </c>
      <c r="BI306" s="602">
        <f t="shared" si="128"/>
        <v>0</v>
      </c>
      <c r="BJ306" s="602">
        <f t="shared" si="128"/>
        <v>0</v>
      </c>
      <c r="BK306" s="602">
        <f t="shared" si="128"/>
        <v>1615762444</v>
      </c>
      <c r="BL306" s="602">
        <f t="shared" si="128"/>
        <v>538978737</v>
      </c>
      <c r="BM306" s="602">
        <f t="shared" si="128"/>
        <v>415706991</v>
      </c>
      <c r="BN306" s="602">
        <f t="shared" si="128"/>
        <v>0</v>
      </c>
      <c r="BO306" s="602">
        <f t="shared" si="128"/>
        <v>0</v>
      </c>
      <c r="BP306" s="602">
        <f t="shared" si="128"/>
        <v>0</v>
      </c>
      <c r="BQ306" s="602">
        <f t="shared" si="128"/>
        <v>0</v>
      </c>
      <c r="BR306" s="602">
        <f t="shared" si="128"/>
        <v>0</v>
      </c>
      <c r="BS306" s="602">
        <f t="shared" si="128"/>
        <v>0</v>
      </c>
      <c r="BT306" s="602">
        <f t="shared" si="128"/>
        <v>0</v>
      </c>
      <c r="BU306" s="602">
        <f t="shared" si="128"/>
        <v>0</v>
      </c>
      <c r="BV306" s="602">
        <f t="shared" si="128"/>
        <v>0</v>
      </c>
      <c r="BW306" s="602">
        <f t="shared" si="128"/>
        <v>0</v>
      </c>
      <c r="BX306" s="602">
        <f t="shared" si="128"/>
        <v>0</v>
      </c>
      <c r="BY306" s="602">
        <f t="shared" si="128"/>
        <v>0</v>
      </c>
      <c r="BZ306" s="602">
        <f t="shared" si="128"/>
        <v>1615762444</v>
      </c>
      <c r="CA306" s="602">
        <f t="shared" si="128"/>
        <v>538978737</v>
      </c>
      <c r="CB306" s="602">
        <f t="shared" si="128"/>
        <v>415706991</v>
      </c>
    </row>
    <row r="307" spans="1:80" ht="15" x14ac:dyDescent="0.2">
      <c r="A307" s="71"/>
      <c r="B307" s="72"/>
      <c r="C307" s="150"/>
      <c r="D307" s="72"/>
      <c r="E307" s="150"/>
      <c r="F307" s="150"/>
      <c r="G307" s="72"/>
      <c r="H307" s="150"/>
      <c r="I307" s="72"/>
      <c r="J307" s="72"/>
      <c r="K307" s="235"/>
      <c r="L307" s="689"/>
      <c r="M307" s="235"/>
      <c r="N307" s="150"/>
      <c r="O307" s="150"/>
      <c r="P307" s="72"/>
      <c r="Q307" s="150"/>
      <c r="R307" s="461"/>
      <c r="S307" s="461"/>
      <c r="T307" s="461"/>
      <c r="U307" s="462"/>
      <c r="V307" s="462"/>
      <c r="W307" s="462"/>
      <c r="X307" s="461"/>
      <c r="Y307" s="461"/>
      <c r="Z307" s="461"/>
      <c r="AA307" s="461"/>
      <c r="AB307" s="461"/>
      <c r="AC307" s="461"/>
      <c r="AD307" s="461"/>
      <c r="AE307" s="461"/>
      <c r="AF307" s="461"/>
      <c r="AG307" s="461"/>
      <c r="AH307" s="461"/>
      <c r="AI307" s="461"/>
      <c r="AJ307" s="461"/>
      <c r="AK307" s="461"/>
      <c r="AL307" s="461"/>
      <c r="AM307" s="461"/>
      <c r="AN307" s="461"/>
      <c r="AO307" s="461"/>
      <c r="AP307" s="461"/>
      <c r="AQ307" s="461"/>
      <c r="AR307" s="461"/>
      <c r="AS307" s="461"/>
      <c r="AT307" s="461"/>
      <c r="AU307" s="461"/>
      <c r="AV307" s="461"/>
      <c r="AW307" s="461"/>
      <c r="AX307" s="461"/>
      <c r="AY307" s="462"/>
      <c r="AZ307" s="462"/>
      <c r="BA307" s="462"/>
      <c r="BB307" s="462"/>
      <c r="BC307" s="462"/>
      <c r="BD307" s="462"/>
      <c r="BE307" s="461"/>
      <c r="BF307" s="461"/>
      <c r="BG307" s="461"/>
      <c r="BH307" s="461"/>
      <c r="BI307" s="461"/>
      <c r="BJ307" s="461"/>
      <c r="BK307" s="463"/>
      <c r="BL307" s="463"/>
      <c r="BM307" s="463"/>
      <c r="BN307" s="461"/>
      <c r="BO307" s="461"/>
      <c r="BP307" s="461"/>
      <c r="BQ307" s="461"/>
      <c r="BR307" s="461"/>
      <c r="BS307" s="461"/>
      <c r="BT307" s="461"/>
      <c r="BU307" s="461"/>
      <c r="BV307" s="461"/>
      <c r="BW307" s="462"/>
      <c r="BX307" s="462"/>
      <c r="BY307" s="462"/>
      <c r="BZ307" s="461"/>
      <c r="CA307" s="461"/>
      <c r="CB307" s="799"/>
    </row>
    <row r="308" spans="1:80" ht="30" customHeight="1" x14ac:dyDescent="0.2">
      <c r="A308" s="787">
        <v>2</v>
      </c>
      <c r="B308" s="34" t="s">
        <v>129</v>
      </c>
      <c r="C308" s="35"/>
      <c r="D308" s="34"/>
      <c r="E308" s="34"/>
      <c r="F308" s="34"/>
      <c r="G308" s="34"/>
      <c r="H308" s="35"/>
      <c r="I308" s="34"/>
      <c r="J308" s="34"/>
      <c r="K308" s="232"/>
      <c r="L308" s="132"/>
      <c r="M308" s="232"/>
      <c r="N308" s="35"/>
      <c r="O308" s="35"/>
      <c r="P308" s="34"/>
      <c r="Q308" s="34"/>
      <c r="R308" s="432"/>
      <c r="S308" s="432"/>
      <c r="T308" s="432"/>
      <c r="U308" s="432"/>
      <c r="V308" s="432"/>
      <c r="W308" s="432"/>
      <c r="X308" s="432"/>
      <c r="Y308" s="432"/>
      <c r="Z308" s="432"/>
      <c r="AA308" s="432"/>
      <c r="AB308" s="432"/>
      <c r="AC308" s="432"/>
      <c r="AD308" s="432"/>
      <c r="AE308" s="432"/>
      <c r="AF308" s="432"/>
      <c r="AG308" s="432"/>
      <c r="AH308" s="432"/>
      <c r="AI308" s="432"/>
      <c r="AJ308" s="432"/>
      <c r="AK308" s="432"/>
      <c r="AL308" s="432"/>
      <c r="AM308" s="432"/>
      <c r="AN308" s="432"/>
      <c r="AO308" s="432"/>
      <c r="AP308" s="432"/>
      <c r="AQ308" s="432"/>
      <c r="AR308" s="432"/>
      <c r="AS308" s="432"/>
      <c r="AT308" s="432"/>
      <c r="AU308" s="432"/>
      <c r="AV308" s="432"/>
      <c r="AW308" s="432"/>
      <c r="AX308" s="432"/>
      <c r="AY308" s="432"/>
      <c r="AZ308" s="432"/>
      <c r="BA308" s="432"/>
      <c r="BB308" s="432"/>
      <c r="BC308" s="432"/>
      <c r="BD308" s="432"/>
      <c r="BE308" s="432"/>
      <c r="BF308" s="432"/>
      <c r="BG308" s="432"/>
      <c r="BH308" s="432"/>
      <c r="BI308" s="432"/>
      <c r="BJ308" s="432"/>
      <c r="BK308" s="433"/>
      <c r="BL308" s="433"/>
      <c r="BM308" s="433"/>
      <c r="BN308" s="432"/>
      <c r="BO308" s="432"/>
      <c r="BP308" s="432"/>
      <c r="BQ308" s="432"/>
      <c r="BR308" s="432"/>
      <c r="BS308" s="432"/>
      <c r="BT308" s="432"/>
      <c r="BU308" s="432"/>
      <c r="BV308" s="432"/>
      <c r="BW308" s="432"/>
      <c r="BX308" s="432"/>
      <c r="BY308" s="432"/>
      <c r="BZ308" s="434"/>
      <c r="CA308" s="434"/>
      <c r="CB308" s="434"/>
    </row>
    <row r="309" spans="1:80" ht="30" customHeight="1" x14ac:dyDescent="0.2">
      <c r="A309" s="76"/>
      <c r="B309" s="125">
        <v>2</v>
      </c>
      <c r="C309" s="38" t="s">
        <v>323</v>
      </c>
      <c r="D309" s="39"/>
      <c r="E309" s="39"/>
      <c r="F309" s="39"/>
      <c r="G309" s="39"/>
      <c r="H309" s="40"/>
      <c r="I309" s="39"/>
      <c r="J309" s="39"/>
      <c r="K309" s="225"/>
      <c r="L309" s="90"/>
      <c r="M309" s="225"/>
      <c r="N309" s="40"/>
      <c r="O309" s="40"/>
      <c r="P309" s="39"/>
      <c r="Q309" s="39"/>
      <c r="R309" s="412"/>
      <c r="S309" s="412"/>
      <c r="T309" s="412"/>
      <c r="U309" s="412"/>
      <c r="V309" s="412"/>
      <c r="W309" s="412"/>
      <c r="X309" s="412"/>
      <c r="Y309" s="412"/>
      <c r="Z309" s="412"/>
      <c r="AA309" s="412"/>
      <c r="AB309" s="412"/>
      <c r="AC309" s="412"/>
      <c r="AD309" s="412"/>
      <c r="AE309" s="412"/>
      <c r="AF309" s="412"/>
      <c r="AG309" s="412"/>
      <c r="AH309" s="412"/>
      <c r="AI309" s="412"/>
      <c r="AJ309" s="412"/>
      <c r="AK309" s="412"/>
      <c r="AL309" s="412"/>
      <c r="AM309" s="412"/>
      <c r="AN309" s="412"/>
      <c r="AO309" s="412"/>
      <c r="AP309" s="412"/>
      <c r="AQ309" s="412"/>
      <c r="AR309" s="412"/>
      <c r="AS309" s="412"/>
      <c r="AT309" s="412"/>
      <c r="AU309" s="412"/>
      <c r="AV309" s="412"/>
      <c r="AW309" s="412"/>
      <c r="AX309" s="412"/>
      <c r="AY309" s="412"/>
      <c r="AZ309" s="412"/>
      <c r="BA309" s="412"/>
      <c r="BB309" s="412"/>
      <c r="BC309" s="412"/>
      <c r="BD309" s="412"/>
      <c r="BE309" s="412"/>
      <c r="BF309" s="412"/>
      <c r="BG309" s="412"/>
      <c r="BH309" s="412"/>
      <c r="BI309" s="412"/>
      <c r="BJ309" s="412"/>
      <c r="BK309" s="413"/>
      <c r="BL309" s="413"/>
      <c r="BM309" s="413"/>
      <c r="BN309" s="412"/>
      <c r="BO309" s="412"/>
      <c r="BP309" s="412"/>
      <c r="BQ309" s="412"/>
      <c r="BR309" s="412"/>
      <c r="BS309" s="412"/>
      <c r="BT309" s="412"/>
      <c r="BU309" s="412"/>
      <c r="BV309" s="412"/>
      <c r="BW309" s="412"/>
      <c r="BX309" s="412"/>
      <c r="BY309" s="412"/>
      <c r="BZ309" s="417"/>
      <c r="CA309" s="417"/>
      <c r="CB309" s="417"/>
    </row>
    <row r="310" spans="1:80" ht="30" customHeight="1" x14ac:dyDescent="0.2">
      <c r="A310" s="42"/>
      <c r="B310" s="76"/>
      <c r="C310" s="713"/>
      <c r="D310" s="707"/>
      <c r="E310" s="713"/>
      <c r="F310" s="713"/>
      <c r="G310" s="219">
        <v>4</v>
      </c>
      <c r="H310" s="79" t="s">
        <v>416</v>
      </c>
      <c r="I310" s="80"/>
      <c r="J310" s="80"/>
      <c r="K310" s="221"/>
      <c r="L310" s="91"/>
      <c r="M310" s="221"/>
      <c r="N310" s="173"/>
      <c r="O310" s="173"/>
      <c r="P310" s="80"/>
      <c r="Q310" s="80"/>
      <c r="R310" s="267"/>
      <c r="S310" s="267"/>
      <c r="T310" s="267"/>
      <c r="U310" s="267"/>
      <c r="V310" s="267"/>
      <c r="W310" s="267"/>
      <c r="X310" s="267"/>
      <c r="Y310" s="267"/>
      <c r="Z310" s="267"/>
      <c r="AA310" s="267"/>
      <c r="AB310" s="267"/>
      <c r="AC310" s="267"/>
      <c r="AD310" s="267"/>
      <c r="AE310" s="267"/>
      <c r="AF310" s="267"/>
      <c r="AG310" s="267"/>
      <c r="AH310" s="267"/>
      <c r="AI310" s="267"/>
      <c r="AJ310" s="267"/>
      <c r="AK310" s="267"/>
      <c r="AL310" s="267"/>
      <c r="AM310" s="267"/>
      <c r="AN310" s="267"/>
      <c r="AO310" s="267"/>
      <c r="AP310" s="267"/>
      <c r="AQ310" s="267"/>
      <c r="AR310" s="267"/>
      <c r="AS310" s="267"/>
      <c r="AT310" s="267"/>
      <c r="AU310" s="267"/>
      <c r="AV310" s="267"/>
      <c r="AW310" s="267"/>
      <c r="AX310" s="267"/>
      <c r="AY310" s="267"/>
      <c r="AZ310" s="267"/>
      <c r="BA310" s="267"/>
      <c r="BB310" s="267"/>
      <c r="BC310" s="267"/>
      <c r="BD310" s="267"/>
      <c r="BE310" s="267"/>
      <c r="BF310" s="267"/>
      <c r="BG310" s="267"/>
      <c r="BH310" s="267"/>
      <c r="BI310" s="267"/>
      <c r="BJ310" s="267"/>
      <c r="BK310" s="414"/>
      <c r="BL310" s="414"/>
      <c r="BM310" s="414"/>
      <c r="BN310" s="267"/>
      <c r="BO310" s="267"/>
      <c r="BP310" s="267"/>
      <c r="BQ310" s="267"/>
      <c r="BR310" s="267"/>
      <c r="BS310" s="267"/>
      <c r="BT310" s="267"/>
      <c r="BU310" s="267"/>
      <c r="BV310" s="267"/>
      <c r="BW310" s="267"/>
      <c r="BX310" s="267"/>
      <c r="BY310" s="267"/>
      <c r="BZ310" s="269"/>
      <c r="CA310" s="269"/>
      <c r="CB310" s="269"/>
    </row>
    <row r="311" spans="1:80" ht="124.5" customHeight="1" x14ac:dyDescent="0.2">
      <c r="A311" s="42"/>
      <c r="B311" s="42"/>
      <c r="C311" s="713" t="s">
        <v>1089</v>
      </c>
      <c r="D311" s="707" t="s">
        <v>1088</v>
      </c>
      <c r="E311" s="714" t="s">
        <v>417</v>
      </c>
      <c r="F311" s="714" t="s">
        <v>418</v>
      </c>
      <c r="G311" s="729"/>
      <c r="H311" s="57">
        <v>21</v>
      </c>
      <c r="I311" s="729" t="s">
        <v>419</v>
      </c>
      <c r="J311" s="57">
        <v>20</v>
      </c>
      <c r="K311" s="169">
        <v>100</v>
      </c>
      <c r="L311" s="107">
        <v>505</v>
      </c>
      <c r="M311" s="884">
        <v>2017003630069</v>
      </c>
      <c r="N311" s="895" t="s">
        <v>102</v>
      </c>
      <c r="O311" s="895" t="s">
        <v>420</v>
      </c>
      <c r="P311" s="895" t="s">
        <v>980</v>
      </c>
      <c r="Q311" s="57" t="s">
        <v>67</v>
      </c>
      <c r="R311" s="401">
        <v>0</v>
      </c>
      <c r="S311" s="401"/>
      <c r="T311" s="401"/>
      <c r="U311" s="401">
        <v>0</v>
      </c>
      <c r="V311" s="401"/>
      <c r="W311" s="401"/>
      <c r="X311" s="401">
        <v>0</v>
      </c>
      <c r="Y311" s="401"/>
      <c r="Z311" s="401"/>
      <c r="AA311" s="401">
        <v>0</v>
      </c>
      <c r="AB311" s="401"/>
      <c r="AC311" s="401"/>
      <c r="AD311" s="401">
        <v>0</v>
      </c>
      <c r="AE311" s="401"/>
      <c r="AF311" s="401"/>
      <c r="AG311" s="401">
        <v>0</v>
      </c>
      <c r="AH311" s="401"/>
      <c r="AI311" s="401"/>
      <c r="AJ311" s="401">
        <v>0</v>
      </c>
      <c r="AK311" s="401"/>
      <c r="AL311" s="401"/>
      <c r="AM311" s="401"/>
      <c r="AN311" s="401"/>
      <c r="AO311" s="401"/>
      <c r="AP311" s="401"/>
      <c r="AQ311" s="401"/>
      <c r="AR311" s="401"/>
      <c r="AS311" s="401">
        <v>0</v>
      </c>
      <c r="AT311" s="401"/>
      <c r="AU311" s="401"/>
      <c r="AV311" s="401">
        <v>0</v>
      </c>
      <c r="AW311" s="401"/>
      <c r="AX311" s="401"/>
      <c r="AY311" s="401"/>
      <c r="AZ311" s="401"/>
      <c r="BA311" s="401"/>
      <c r="BB311" s="401"/>
      <c r="BC311" s="401"/>
      <c r="BD311" s="401"/>
      <c r="BE311" s="401">
        <v>0</v>
      </c>
      <c r="BF311" s="401"/>
      <c r="BG311" s="401"/>
      <c r="BH311" s="401">
        <v>0</v>
      </c>
      <c r="BI311" s="403"/>
      <c r="BJ311" s="403"/>
      <c r="BK311" s="404">
        <f>28000000+16000000+20000000</f>
        <v>64000000</v>
      </c>
      <c r="BL311" s="404">
        <f>'[5]METAS Y PROYECTOS'!$P$32+'[5]METAS Y PROYECTOS'!$P$33</f>
        <v>52451667</v>
      </c>
      <c r="BM311" s="404">
        <v>40020000</v>
      </c>
      <c r="BN311" s="404"/>
      <c r="BO311" s="404"/>
      <c r="BP311" s="404"/>
      <c r="BQ311" s="401">
        <v>0</v>
      </c>
      <c r="BR311" s="403"/>
      <c r="BS311" s="403"/>
      <c r="BT311" s="403"/>
      <c r="BU311" s="403"/>
      <c r="BV311" s="403"/>
      <c r="BW311" s="403"/>
      <c r="BX311" s="403"/>
      <c r="BY311" s="403"/>
      <c r="BZ311" s="401">
        <f t="shared" ref="BZ311:CB314" si="129">R311+U311+X311+AA311+AD311+AG311+AJ311+AM311+AP311+AS311+AV311+AY311+BB311+BE311+BH311+BK311+BN311+BQ311+BT311+BW311</f>
        <v>64000000</v>
      </c>
      <c r="CA311" s="401">
        <f t="shared" si="129"/>
        <v>52451667</v>
      </c>
      <c r="CB311" s="401">
        <f t="shared" si="129"/>
        <v>40020000</v>
      </c>
    </row>
    <row r="312" spans="1:80" ht="115.5" customHeight="1" x14ac:dyDescent="0.2">
      <c r="A312" s="42"/>
      <c r="B312" s="42"/>
      <c r="C312" s="713" t="s">
        <v>1089</v>
      </c>
      <c r="D312" s="707" t="s">
        <v>1088</v>
      </c>
      <c r="E312" s="57" t="s">
        <v>417</v>
      </c>
      <c r="F312" s="57" t="s">
        <v>418</v>
      </c>
      <c r="G312" s="729"/>
      <c r="H312" s="727">
        <v>22</v>
      </c>
      <c r="I312" s="729" t="s">
        <v>422</v>
      </c>
      <c r="J312" s="57">
        <v>0</v>
      </c>
      <c r="K312" s="169">
        <v>2</v>
      </c>
      <c r="L312" s="107">
        <v>2</v>
      </c>
      <c r="M312" s="885"/>
      <c r="N312" s="883"/>
      <c r="O312" s="883"/>
      <c r="P312" s="883"/>
      <c r="Q312" s="57" t="s">
        <v>67</v>
      </c>
      <c r="R312" s="401"/>
      <c r="S312" s="401"/>
      <c r="T312" s="401"/>
      <c r="U312" s="401"/>
      <c r="V312" s="401"/>
      <c r="W312" s="401"/>
      <c r="X312" s="401"/>
      <c r="Y312" s="401"/>
      <c r="Z312" s="401"/>
      <c r="AA312" s="401"/>
      <c r="AB312" s="401"/>
      <c r="AC312" s="401"/>
      <c r="AD312" s="401"/>
      <c r="AE312" s="401"/>
      <c r="AF312" s="401"/>
      <c r="AG312" s="401"/>
      <c r="AH312" s="401"/>
      <c r="AI312" s="401"/>
      <c r="AJ312" s="401"/>
      <c r="AK312" s="401"/>
      <c r="AL312" s="401"/>
      <c r="AM312" s="401"/>
      <c r="AN312" s="401"/>
      <c r="AO312" s="401"/>
      <c r="AP312" s="401"/>
      <c r="AQ312" s="401"/>
      <c r="AR312" s="401"/>
      <c r="AS312" s="401"/>
      <c r="AT312" s="401"/>
      <c r="AU312" s="401"/>
      <c r="AV312" s="401"/>
      <c r="AW312" s="401"/>
      <c r="AX312" s="401"/>
      <c r="AY312" s="401"/>
      <c r="AZ312" s="401"/>
      <c r="BA312" s="401"/>
      <c r="BB312" s="401"/>
      <c r="BC312" s="401"/>
      <c r="BD312" s="401"/>
      <c r="BE312" s="401"/>
      <c r="BF312" s="401"/>
      <c r="BG312" s="401"/>
      <c r="BH312" s="401"/>
      <c r="BI312" s="403"/>
      <c r="BJ312" s="403"/>
      <c r="BK312" s="404">
        <v>28000000</v>
      </c>
      <c r="BL312" s="404">
        <v>25220000</v>
      </c>
      <c r="BM312" s="404">
        <v>23020000</v>
      </c>
      <c r="BN312" s="404"/>
      <c r="BO312" s="404"/>
      <c r="BP312" s="404"/>
      <c r="BQ312" s="401"/>
      <c r="BR312" s="403"/>
      <c r="BS312" s="403"/>
      <c r="BT312" s="403"/>
      <c r="BU312" s="403"/>
      <c r="BV312" s="403"/>
      <c r="BW312" s="403"/>
      <c r="BX312" s="403"/>
      <c r="BY312" s="403"/>
      <c r="BZ312" s="401">
        <f t="shared" si="129"/>
        <v>28000000</v>
      </c>
      <c r="CA312" s="401">
        <f t="shared" si="129"/>
        <v>25220000</v>
      </c>
      <c r="CB312" s="401">
        <f t="shared" si="129"/>
        <v>23020000</v>
      </c>
    </row>
    <row r="313" spans="1:80" ht="132.75" customHeight="1" x14ac:dyDescent="0.2">
      <c r="A313" s="42"/>
      <c r="B313" s="42"/>
      <c r="C313" s="713" t="s">
        <v>1089</v>
      </c>
      <c r="D313" s="707" t="s">
        <v>1088</v>
      </c>
      <c r="E313" s="57" t="s">
        <v>417</v>
      </c>
      <c r="F313" s="57" t="s">
        <v>418</v>
      </c>
      <c r="G313" s="729"/>
      <c r="H313" s="727">
        <v>23</v>
      </c>
      <c r="I313" s="729" t="s">
        <v>423</v>
      </c>
      <c r="J313" s="57">
        <v>0</v>
      </c>
      <c r="K313" s="169">
        <v>1</v>
      </c>
      <c r="L313" s="107">
        <v>1</v>
      </c>
      <c r="M313" s="885"/>
      <c r="N313" s="883"/>
      <c r="O313" s="883"/>
      <c r="P313" s="883"/>
      <c r="Q313" s="57" t="s">
        <v>52</v>
      </c>
      <c r="R313" s="401"/>
      <c r="S313" s="401"/>
      <c r="T313" s="401"/>
      <c r="U313" s="401"/>
      <c r="V313" s="401"/>
      <c r="W313" s="401"/>
      <c r="X313" s="401"/>
      <c r="Y313" s="401"/>
      <c r="Z313" s="401"/>
      <c r="AA313" s="401"/>
      <c r="AB313" s="401"/>
      <c r="AC313" s="401"/>
      <c r="AD313" s="401"/>
      <c r="AE313" s="401"/>
      <c r="AF313" s="401"/>
      <c r="AG313" s="401"/>
      <c r="AH313" s="401"/>
      <c r="AI313" s="401"/>
      <c r="AJ313" s="401"/>
      <c r="AK313" s="401"/>
      <c r="AL313" s="401"/>
      <c r="AM313" s="401"/>
      <c r="AN313" s="401"/>
      <c r="AO313" s="401"/>
      <c r="AP313" s="401"/>
      <c r="AQ313" s="401"/>
      <c r="AR313" s="401"/>
      <c r="AS313" s="401"/>
      <c r="AT313" s="401"/>
      <c r="AU313" s="401"/>
      <c r="AV313" s="401"/>
      <c r="AW313" s="401"/>
      <c r="AX313" s="401"/>
      <c r="AY313" s="401"/>
      <c r="AZ313" s="401"/>
      <c r="BA313" s="401"/>
      <c r="BB313" s="401"/>
      <c r="BC313" s="401"/>
      <c r="BD313" s="401"/>
      <c r="BE313" s="401"/>
      <c r="BF313" s="401"/>
      <c r="BG313" s="401"/>
      <c r="BH313" s="401"/>
      <c r="BI313" s="403"/>
      <c r="BJ313" s="403"/>
      <c r="BK313" s="404">
        <f>114000000+30000000</f>
        <v>144000000</v>
      </c>
      <c r="BL313" s="404">
        <v>134116333</v>
      </c>
      <c r="BM313" s="404">
        <v>102090000</v>
      </c>
      <c r="BN313" s="404"/>
      <c r="BO313" s="404"/>
      <c r="BP313" s="404"/>
      <c r="BQ313" s="401"/>
      <c r="BR313" s="403"/>
      <c r="BS313" s="403"/>
      <c r="BT313" s="403"/>
      <c r="BU313" s="403"/>
      <c r="BV313" s="403"/>
      <c r="BW313" s="403"/>
      <c r="BX313" s="403"/>
      <c r="BY313" s="403"/>
      <c r="BZ313" s="401">
        <f t="shared" si="129"/>
        <v>144000000</v>
      </c>
      <c r="CA313" s="401">
        <f t="shared" si="129"/>
        <v>134116333</v>
      </c>
      <c r="CB313" s="401">
        <f t="shared" si="129"/>
        <v>102090000</v>
      </c>
    </row>
    <row r="314" spans="1:80" ht="111" customHeight="1" x14ac:dyDescent="0.2">
      <c r="A314" s="42"/>
      <c r="B314" s="42"/>
      <c r="C314" s="57" t="s">
        <v>1089</v>
      </c>
      <c r="D314" s="729" t="s">
        <v>1088</v>
      </c>
      <c r="E314" s="713" t="s">
        <v>417</v>
      </c>
      <c r="F314" s="713" t="s">
        <v>418</v>
      </c>
      <c r="G314" s="729"/>
      <c r="H314" s="727">
        <v>24</v>
      </c>
      <c r="I314" s="729" t="s">
        <v>424</v>
      </c>
      <c r="J314" s="57">
        <v>0</v>
      </c>
      <c r="K314" s="775">
        <v>1</v>
      </c>
      <c r="L314" s="107">
        <v>1</v>
      </c>
      <c r="M314" s="886"/>
      <c r="N314" s="898"/>
      <c r="O314" s="898"/>
      <c r="P314" s="898"/>
      <c r="Q314" s="57" t="s">
        <v>52</v>
      </c>
      <c r="R314" s="401"/>
      <c r="S314" s="401"/>
      <c r="T314" s="401"/>
      <c r="U314" s="401"/>
      <c r="V314" s="401"/>
      <c r="W314" s="401"/>
      <c r="X314" s="401"/>
      <c r="Y314" s="401"/>
      <c r="Z314" s="401"/>
      <c r="AA314" s="401"/>
      <c r="AB314" s="401"/>
      <c r="AC314" s="401"/>
      <c r="AD314" s="401"/>
      <c r="AE314" s="401"/>
      <c r="AF314" s="401"/>
      <c r="AG314" s="401"/>
      <c r="AH314" s="401"/>
      <c r="AI314" s="401"/>
      <c r="AJ314" s="401"/>
      <c r="AK314" s="401"/>
      <c r="AL314" s="401"/>
      <c r="AM314" s="401"/>
      <c r="AN314" s="401"/>
      <c r="AO314" s="401"/>
      <c r="AP314" s="401"/>
      <c r="AQ314" s="401"/>
      <c r="AR314" s="401"/>
      <c r="AS314" s="401"/>
      <c r="AT314" s="401"/>
      <c r="AU314" s="401"/>
      <c r="AV314" s="401"/>
      <c r="AW314" s="401"/>
      <c r="AX314" s="401"/>
      <c r="AY314" s="401"/>
      <c r="AZ314" s="401"/>
      <c r="BA314" s="401"/>
      <c r="BB314" s="401"/>
      <c r="BC314" s="401"/>
      <c r="BD314" s="401"/>
      <c r="BE314" s="401"/>
      <c r="BF314" s="401"/>
      <c r="BG314" s="401"/>
      <c r="BH314" s="401"/>
      <c r="BI314" s="403"/>
      <c r="BJ314" s="403"/>
      <c r="BK314" s="404">
        <f>29000000+15000000+50000000</f>
        <v>94000000</v>
      </c>
      <c r="BL314" s="404">
        <f>'[5]METAS Y PROYECTOS'!$P$37+'[5]METAS Y PROYECTOS'!$P$38</f>
        <v>92879333</v>
      </c>
      <c r="BM314" s="404">
        <v>21755000</v>
      </c>
      <c r="BN314" s="404"/>
      <c r="BO314" s="404"/>
      <c r="BP314" s="404"/>
      <c r="BQ314" s="401"/>
      <c r="BR314" s="403"/>
      <c r="BS314" s="403"/>
      <c r="BT314" s="403"/>
      <c r="BU314" s="403"/>
      <c r="BV314" s="403"/>
      <c r="BW314" s="403"/>
      <c r="BX314" s="403"/>
      <c r="BY314" s="403"/>
      <c r="BZ314" s="401">
        <f t="shared" si="129"/>
        <v>94000000</v>
      </c>
      <c r="CA314" s="401">
        <f t="shared" si="129"/>
        <v>92879333</v>
      </c>
      <c r="CB314" s="401">
        <f t="shared" si="129"/>
        <v>21755000</v>
      </c>
    </row>
    <row r="315" spans="1:80" ht="33.75" customHeight="1" x14ac:dyDescent="0.2">
      <c r="A315" s="42"/>
      <c r="B315" s="42"/>
      <c r="C315" s="714"/>
      <c r="D315" s="709"/>
      <c r="E315" s="57"/>
      <c r="F315" s="57"/>
      <c r="G315" s="239"/>
      <c r="H315" s="239"/>
      <c r="I315" s="157"/>
      <c r="J315" s="156"/>
      <c r="K315" s="240"/>
      <c r="L315" s="692"/>
      <c r="M315" s="241"/>
      <c r="N315" s="166"/>
      <c r="O315" s="166"/>
      <c r="P315" s="166"/>
      <c r="Q315" s="156"/>
      <c r="R315" s="435">
        <f t="shared" ref="R315:BY315" si="130">SUM(R311:R314)</f>
        <v>0</v>
      </c>
      <c r="S315" s="435">
        <f t="shared" si="130"/>
        <v>0</v>
      </c>
      <c r="T315" s="435">
        <f t="shared" si="130"/>
        <v>0</v>
      </c>
      <c r="U315" s="435">
        <f t="shared" si="130"/>
        <v>0</v>
      </c>
      <c r="V315" s="435">
        <f t="shared" si="130"/>
        <v>0</v>
      </c>
      <c r="W315" s="435">
        <f t="shared" si="130"/>
        <v>0</v>
      </c>
      <c r="X315" s="435">
        <f t="shared" si="130"/>
        <v>0</v>
      </c>
      <c r="Y315" s="435">
        <f t="shared" si="130"/>
        <v>0</v>
      </c>
      <c r="Z315" s="435">
        <f t="shared" si="130"/>
        <v>0</v>
      </c>
      <c r="AA315" s="435">
        <f t="shared" si="130"/>
        <v>0</v>
      </c>
      <c r="AB315" s="435">
        <f t="shared" si="130"/>
        <v>0</v>
      </c>
      <c r="AC315" s="435">
        <f t="shared" si="130"/>
        <v>0</v>
      </c>
      <c r="AD315" s="435">
        <f t="shared" si="130"/>
        <v>0</v>
      </c>
      <c r="AE315" s="435">
        <f t="shared" si="130"/>
        <v>0</v>
      </c>
      <c r="AF315" s="435">
        <f t="shared" si="130"/>
        <v>0</v>
      </c>
      <c r="AG315" s="435">
        <f t="shared" si="130"/>
        <v>0</v>
      </c>
      <c r="AH315" s="435">
        <f t="shared" si="130"/>
        <v>0</v>
      </c>
      <c r="AI315" s="435">
        <f t="shared" si="130"/>
        <v>0</v>
      </c>
      <c r="AJ315" s="435">
        <f t="shared" si="130"/>
        <v>0</v>
      </c>
      <c r="AK315" s="435">
        <f t="shared" si="130"/>
        <v>0</v>
      </c>
      <c r="AL315" s="435">
        <f t="shared" si="130"/>
        <v>0</v>
      </c>
      <c r="AM315" s="435">
        <f t="shared" si="130"/>
        <v>0</v>
      </c>
      <c r="AN315" s="435">
        <f t="shared" si="130"/>
        <v>0</v>
      </c>
      <c r="AO315" s="435">
        <f t="shared" si="130"/>
        <v>0</v>
      </c>
      <c r="AP315" s="435">
        <f t="shared" si="130"/>
        <v>0</v>
      </c>
      <c r="AQ315" s="435">
        <f t="shared" si="130"/>
        <v>0</v>
      </c>
      <c r="AR315" s="435">
        <f t="shared" si="130"/>
        <v>0</v>
      </c>
      <c r="AS315" s="435">
        <f t="shared" si="130"/>
        <v>0</v>
      </c>
      <c r="AT315" s="435">
        <f t="shared" si="130"/>
        <v>0</v>
      </c>
      <c r="AU315" s="435">
        <f t="shared" si="130"/>
        <v>0</v>
      </c>
      <c r="AV315" s="435">
        <f t="shared" si="130"/>
        <v>0</v>
      </c>
      <c r="AW315" s="435">
        <f t="shared" si="130"/>
        <v>0</v>
      </c>
      <c r="AX315" s="435">
        <f t="shared" si="130"/>
        <v>0</v>
      </c>
      <c r="AY315" s="435">
        <f t="shared" si="130"/>
        <v>0</v>
      </c>
      <c r="AZ315" s="435">
        <f t="shared" si="130"/>
        <v>0</v>
      </c>
      <c r="BA315" s="435">
        <f t="shared" si="130"/>
        <v>0</v>
      </c>
      <c r="BB315" s="435">
        <f t="shared" si="130"/>
        <v>0</v>
      </c>
      <c r="BC315" s="435">
        <f t="shared" si="130"/>
        <v>0</v>
      </c>
      <c r="BD315" s="435">
        <f t="shared" si="130"/>
        <v>0</v>
      </c>
      <c r="BE315" s="435">
        <f t="shared" si="130"/>
        <v>0</v>
      </c>
      <c r="BF315" s="435">
        <f t="shared" si="130"/>
        <v>0</v>
      </c>
      <c r="BG315" s="435">
        <f t="shared" si="130"/>
        <v>0</v>
      </c>
      <c r="BH315" s="435">
        <f t="shared" si="130"/>
        <v>0</v>
      </c>
      <c r="BI315" s="435">
        <f t="shared" si="130"/>
        <v>0</v>
      </c>
      <c r="BJ315" s="435">
        <f t="shared" si="130"/>
        <v>0</v>
      </c>
      <c r="BK315" s="435">
        <f t="shared" si="130"/>
        <v>330000000</v>
      </c>
      <c r="BL315" s="435">
        <f t="shared" si="130"/>
        <v>304667333</v>
      </c>
      <c r="BM315" s="435">
        <f t="shared" si="130"/>
        <v>186885000</v>
      </c>
      <c r="BN315" s="435">
        <f t="shared" si="130"/>
        <v>0</v>
      </c>
      <c r="BO315" s="435">
        <f t="shared" si="130"/>
        <v>0</v>
      </c>
      <c r="BP315" s="435">
        <f t="shared" si="130"/>
        <v>0</v>
      </c>
      <c r="BQ315" s="435">
        <f t="shared" si="130"/>
        <v>0</v>
      </c>
      <c r="BR315" s="435">
        <f t="shared" si="130"/>
        <v>0</v>
      </c>
      <c r="BS315" s="435">
        <f t="shared" si="130"/>
        <v>0</v>
      </c>
      <c r="BT315" s="435">
        <f t="shared" si="130"/>
        <v>0</v>
      </c>
      <c r="BU315" s="435">
        <f t="shared" si="130"/>
        <v>0</v>
      </c>
      <c r="BV315" s="435">
        <f t="shared" si="130"/>
        <v>0</v>
      </c>
      <c r="BW315" s="435">
        <f t="shared" si="130"/>
        <v>0</v>
      </c>
      <c r="BX315" s="435">
        <f t="shared" si="130"/>
        <v>0</v>
      </c>
      <c r="BY315" s="435">
        <f t="shared" si="130"/>
        <v>0</v>
      </c>
      <c r="BZ315" s="435">
        <f t="shared" ref="BZ315:CB315" si="131">SUM(BZ311:BZ314)</f>
        <v>330000000</v>
      </c>
      <c r="CA315" s="435">
        <f t="shared" si="131"/>
        <v>304667333</v>
      </c>
      <c r="CB315" s="435">
        <f t="shared" si="131"/>
        <v>186885000</v>
      </c>
    </row>
    <row r="316" spans="1:80" ht="24.75" customHeight="1" x14ac:dyDescent="0.2">
      <c r="A316" s="42"/>
      <c r="B316" s="42"/>
      <c r="C316" s="727"/>
      <c r="D316" s="729"/>
      <c r="E316" s="57"/>
      <c r="F316" s="57"/>
      <c r="G316" s="709"/>
      <c r="H316" s="192"/>
      <c r="I316" s="729"/>
      <c r="J316" s="57"/>
      <c r="K316" s="220"/>
      <c r="L316" s="693"/>
      <c r="M316" s="242"/>
      <c r="N316" s="858"/>
      <c r="O316" s="714"/>
      <c r="P316" s="714"/>
      <c r="Q316" s="57"/>
      <c r="R316" s="401"/>
      <c r="S316" s="401"/>
      <c r="T316" s="401"/>
      <c r="U316" s="428"/>
      <c r="V316" s="428"/>
      <c r="W316" s="428"/>
      <c r="X316" s="401"/>
      <c r="Y316" s="401"/>
      <c r="Z316" s="401"/>
      <c r="AA316" s="401"/>
      <c r="AB316" s="401"/>
      <c r="AC316" s="401"/>
      <c r="AD316" s="401"/>
      <c r="AE316" s="401"/>
      <c r="AF316" s="401"/>
      <c r="AG316" s="401"/>
      <c r="AH316" s="401"/>
      <c r="AI316" s="401"/>
      <c r="AJ316" s="401"/>
      <c r="AK316" s="401"/>
      <c r="AL316" s="401"/>
      <c r="AM316" s="401"/>
      <c r="AN316" s="401"/>
      <c r="AO316" s="401"/>
      <c r="AP316" s="401"/>
      <c r="AQ316" s="401"/>
      <c r="AR316" s="401"/>
      <c r="AS316" s="401"/>
      <c r="AT316" s="401"/>
      <c r="AU316" s="401"/>
      <c r="AV316" s="401"/>
      <c r="AW316" s="401"/>
      <c r="AX316" s="401"/>
      <c r="AY316" s="401"/>
      <c r="AZ316" s="401"/>
      <c r="BA316" s="401"/>
      <c r="BB316" s="401"/>
      <c r="BC316" s="401"/>
      <c r="BD316" s="401"/>
      <c r="BE316" s="401"/>
      <c r="BF316" s="401"/>
      <c r="BG316" s="401"/>
      <c r="BH316" s="401"/>
      <c r="BI316" s="403"/>
      <c r="BJ316" s="403"/>
      <c r="BK316" s="404" t="s">
        <v>69</v>
      </c>
      <c r="BL316" s="404"/>
      <c r="BM316" s="404"/>
      <c r="BN316" s="404"/>
      <c r="BO316" s="404"/>
      <c r="BP316" s="404"/>
      <c r="BQ316" s="403"/>
      <c r="BR316" s="403"/>
      <c r="BS316" s="403"/>
      <c r="BT316" s="403"/>
      <c r="BU316" s="403"/>
      <c r="BV316" s="403"/>
      <c r="BW316" s="403"/>
      <c r="BX316" s="403"/>
      <c r="BY316" s="403"/>
      <c r="BZ316" s="403" t="s">
        <v>69</v>
      </c>
      <c r="CA316" s="403" t="s">
        <v>69</v>
      </c>
      <c r="CB316" s="401" t="s">
        <v>69</v>
      </c>
    </row>
    <row r="317" spans="1:80" ht="32.25" customHeight="1" x14ac:dyDescent="0.2">
      <c r="A317" s="42"/>
      <c r="B317" s="42"/>
      <c r="C317" s="713"/>
      <c r="D317" s="707"/>
      <c r="E317" s="713"/>
      <c r="F317" s="713"/>
      <c r="G317" s="239">
        <v>5</v>
      </c>
      <c r="H317" s="243" t="s">
        <v>425</v>
      </c>
      <c r="I317" s="157"/>
      <c r="J317" s="156"/>
      <c r="K317" s="240"/>
      <c r="L317" s="694"/>
      <c r="M317" s="240"/>
      <c r="N317" s="156"/>
      <c r="O317" s="156"/>
      <c r="P317" s="156"/>
      <c r="Q317" s="156"/>
      <c r="R317" s="435"/>
      <c r="S317" s="435"/>
      <c r="T317" s="435"/>
      <c r="U317" s="435"/>
      <c r="V317" s="435"/>
      <c r="W317" s="435"/>
      <c r="X317" s="435"/>
      <c r="Y317" s="435"/>
      <c r="Z317" s="435"/>
      <c r="AA317" s="435"/>
      <c r="AB317" s="435"/>
      <c r="AC317" s="435"/>
      <c r="AD317" s="435"/>
      <c r="AE317" s="435"/>
      <c r="AF317" s="435"/>
      <c r="AG317" s="435"/>
      <c r="AH317" s="435"/>
      <c r="AI317" s="435"/>
      <c r="AJ317" s="435"/>
      <c r="AK317" s="435"/>
      <c r="AL317" s="435"/>
      <c r="AM317" s="435"/>
      <c r="AN317" s="435"/>
      <c r="AO317" s="435"/>
      <c r="AP317" s="435"/>
      <c r="AQ317" s="435"/>
      <c r="AR317" s="435"/>
      <c r="AS317" s="435"/>
      <c r="AT317" s="435"/>
      <c r="AU317" s="435"/>
      <c r="AV317" s="435"/>
      <c r="AW317" s="435"/>
      <c r="AX317" s="435"/>
      <c r="AY317" s="435"/>
      <c r="AZ317" s="435"/>
      <c r="BA317" s="435"/>
      <c r="BB317" s="435"/>
      <c r="BC317" s="435"/>
      <c r="BD317" s="435"/>
      <c r="BE317" s="435"/>
      <c r="BF317" s="435"/>
      <c r="BG317" s="435"/>
      <c r="BH317" s="435"/>
      <c r="BI317" s="435"/>
      <c r="BJ317" s="435"/>
      <c r="BK317" s="466"/>
      <c r="BL317" s="466"/>
      <c r="BM317" s="466"/>
      <c r="BN317" s="466"/>
      <c r="BO317" s="466"/>
      <c r="BP317" s="466"/>
      <c r="BQ317" s="466">
        <f>SUM(BQ311:BQ314)</f>
        <v>0</v>
      </c>
      <c r="BR317" s="466"/>
      <c r="BS317" s="466"/>
      <c r="BT317" s="466"/>
      <c r="BU317" s="466"/>
      <c r="BV317" s="466"/>
      <c r="BW317" s="466"/>
      <c r="BX317" s="466"/>
      <c r="BY317" s="466"/>
      <c r="BZ317" s="466"/>
      <c r="CA317" s="466"/>
      <c r="CB317" s="466"/>
    </row>
    <row r="318" spans="1:80" ht="120.75" customHeight="1" x14ac:dyDescent="0.2">
      <c r="A318" s="42"/>
      <c r="B318" s="42"/>
      <c r="C318" s="713" t="s">
        <v>1089</v>
      </c>
      <c r="D318" s="707" t="s">
        <v>1088</v>
      </c>
      <c r="E318" s="714" t="s">
        <v>417</v>
      </c>
      <c r="F318" s="714" t="s">
        <v>418</v>
      </c>
      <c r="G318" s="143"/>
      <c r="H318" s="57">
        <v>25</v>
      </c>
      <c r="I318" s="729" t="s">
        <v>426</v>
      </c>
      <c r="J318" s="57" t="s">
        <v>43</v>
      </c>
      <c r="K318" s="169">
        <v>2</v>
      </c>
      <c r="L318" s="107">
        <v>2</v>
      </c>
      <c r="M318" s="884">
        <v>2017003630061</v>
      </c>
      <c r="N318" s="895" t="s">
        <v>102</v>
      </c>
      <c r="O318" s="895" t="s">
        <v>427</v>
      </c>
      <c r="P318" s="895" t="s">
        <v>981</v>
      </c>
      <c r="Q318" s="57" t="s">
        <v>67</v>
      </c>
      <c r="R318" s="401"/>
      <c r="S318" s="401"/>
      <c r="T318" s="401"/>
      <c r="U318" s="401"/>
      <c r="V318" s="401"/>
      <c r="W318" s="401"/>
      <c r="X318" s="401"/>
      <c r="Y318" s="401"/>
      <c r="Z318" s="401"/>
      <c r="AA318" s="401"/>
      <c r="AB318" s="401"/>
      <c r="AC318" s="401"/>
      <c r="AD318" s="401"/>
      <c r="AE318" s="401"/>
      <c r="AF318" s="401"/>
      <c r="AG318" s="401"/>
      <c r="AH318" s="401"/>
      <c r="AI318" s="401"/>
      <c r="AJ318" s="401"/>
      <c r="AK318" s="401"/>
      <c r="AL318" s="401"/>
      <c r="AM318" s="401"/>
      <c r="AN318" s="401"/>
      <c r="AO318" s="401"/>
      <c r="AP318" s="401"/>
      <c r="AQ318" s="401"/>
      <c r="AR318" s="401"/>
      <c r="AS318" s="401"/>
      <c r="AT318" s="401"/>
      <c r="AU318" s="401"/>
      <c r="AV318" s="401"/>
      <c r="AW318" s="401"/>
      <c r="AX318" s="401"/>
      <c r="AY318" s="401"/>
      <c r="AZ318" s="401"/>
      <c r="BA318" s="401"/>
      <c r="BB318" s="401"/>
      <c r="BC318" s="401"/>
      <c r="BD318" s="401"/>
      <c r="BE318" s="401"/>
      <c r="BF318" s="401"/>
      <c r="BG318" s="401"/>
      <c r="BH318" s="401"/>
      <c r="BI318" s="403"/>
      <c r="BJ318" s="403"/>
      <c r="BK318" s="404">
        <v>150000000</v>
      </c>
      <c r="BL318" s="404">
        <v>144727836</v>
      </c>
      <c r="BM318" s="404">
        <v>123116000</v>
      </c>
      <c r="BN318" s="404"/>
      <c r="BO318" s="404"/>
      <c r="BP318" s="404"/>
      <c r="BQ318" s="401"/>
      <c r="BR318" s="403"/>
      <c r="BS318" s="403"/>
      <c r="BT318" s="676">
        <f>600000000-600000000</f>
        <v>0</v>
      </c>
      <c r="BU318" s="403"/>
      <c r="BV318" s="403"/>
      <c r="BW318" s="403"/>
      <c r="BX318" s="403"/>
      <c r="BY318" s="403"/>
      <c r="BZ318" s="401">
        <f t="shared" ref="BZ318:CB323" si="132">R318+U318+X318+AA318+AD318+AG318+AJ318+AM318+AP318+AS318+AV318+AY318+BB318+BE318+BH318+BK318+BN318+BQ318+BT318+BW318</f>
        <v>150000000</v>
      </c>
      <c r="CA318" s="401">
        <f t="shared" si="132"/>
        <v>144727836</v>
      </c>
      <c r="CB318" s="401">
        <f t="shared" si="132"/>
        <v>123116000</v>
      </c>
    </row>
    <row r="319" spans="1:80" ht="120.75" customHeight="1" x14ac:dyDescent="0.2">
      <c r="A319" s="42"/>
      <c r="B319" s="42"/>
      <c r="C319" s="713" t="s">
        <v>1089</v>
      </c>
      <c r="D319" s="707" t="s">
        <v>1088</v>
      </c>
      <c r="E319" s="57" t="s">
        <v>417</v>
      </c>
      <c r="F319" s="57" t="s">
        <v>418</v>
      </c>
      <c r="G319" s="143"/>
      <c r="H319" s="57">
        <v>26</v>
      </c>
      <c r="I319" s="729" t="s">
        <v>428</v>
      </c>
      <c r="J319" s="57" t="s">
        <v>43</v>
      </c>
      <c r="K319" s="169">
        <v>2</v>
      </c>
      <c r="L319" s="107">
        <v>2</v>
      </c>
      <c r="M319" s="885"/>
      <c r="N319" s="883"/>
      <c r="O319" s="883"/>
      <c r="P319" s="883"/>
      <c r="Q319" s="57" t="s">
        <v>67</v>
      </c>
      <c r="R319" s="401"/>
      <c r="S319" s="401"/>
      <c r="T319" s="401"/>
      <c r="U319" s="401"/>
      <c r="V319" s="401"/>
      <c r="W319" s="401"/>
      <c r="X319" s="401"/>
      <c r="Y319" s="401"/>
      <c r="Z319" s="401"/>
      <c r="AA319" s="401"/>
      <c r="AB319" s="401"/>
      <c r="AC319" s="401"/>
      <c r="AD319" s="401"/>
      <c r="AE319" s="401"/>
      <c r="AF319" s="401"/>
      <c r="AG319" s="401"/>
      <c r="AH319" s="401"/>
      <c r="AI319" s="401"/>
      <c r="AJ319" s="401"/>
      <c r="AK319" s="401"/>
      <c r="AL319" s="401"/>
      <c r="AM319" s="401"/>
      <c r="AN319" s="401"/>
      <c r="AO319" s="401"/>
      <c r="AP319" s="401"/>
      <c r="AQ319" s="401"/>
      <c r="AR319" s="401"/>
      <c r="AS319" s="401"/>
      <c r="AT319" s="401"/>
      <c r="AU319" s="401"/>
      <c r="AV319" s="401"/>
      <c r="AW319" s="401"/>
      <c r="AX319" s="401"/>
      <c r="AY319" s="401"/>
      <c r="AZ319" s="401"/>
      <c r="BA319" s="401"/>
      <c r="BB319" s="401"/>
      <c r="BC319" s="401"/>
      <c r="BD319" s="401"/>
      <c r="BE319" s="401"/>
      <c r="BF319" s="401"/>
      <c r="BG319" s="401"/>
      <c r="BH319" s="401"/>
      <c r="BI319" s="403"/>
      <c r="BJ319" s="403"/>
      <c r="BK319" s="404">
        <v>28000000</v>
      </c>
      <c r="BL319" s="404">
        <v>26235000</v>
      </c>
      <c r="BM319" s="404">
        <v>23065000</v>
      </c>
      <c r="BN319" s="404"/>
      <c r="BO319" s="404"/>
      <c r="BP319" s="404"/>
      <c r="BQ319" s="401"/>
      <c r="BR319" s="403"/>
      <c r="BS319" s="403"/>
      <c r="BT319" s="676">
        <f>400000000-400000000</f>
        <v>0</v>
      </c>
      <c r="BU319" s="403"/>
      <c r="BV319" s="403"/>
      <c r="BW319" s="403"/>
      <c r="BX319" s="403"/>
      <c r="BY319" s="403"/>
      <c r="BZ319" s="401">
        <f t="shared" si="132"/>
        <v>28000000</v>
      </c>
      <c r="CA319" s="401">
        <f t="shared" si="132"/>
        <v>26235000</v>
      </c>
      <c r="CB319" s="401">
        <f t="shared" si="132"/>
        <v>23065000</v>
      </c>
    </row>
    <row r="320" spans="1:80" ht="120.75" customHeight="1" x14ac:dyDescent="0.2">
      <c r="A320" s="42"/>
      <c r="B320" s="42"/>
      <c r="C320" s="713" t="s">
        <v>1089</v>
      </c>
      <c r="D320" s="707" t="s">
        <v>1088</v>
      </c>
      <c r="E320" s="57" t="s">
        <v>417</v>
      </c>
      <c r="F320" s="57" t="s">
        <v>418</v>
      </c>
      <c r="G320" s="143"/>
      <c r="H320" s="57">
        <v>27</v>
      </c>
      <c r="I320" s="729" t="s">
        <v>429</v>
      </c>
      <c r="J320" s="57">
        <v>0</v>
      </c>
      <c r="K320" s="169">
        <v>2</v>
      </c>
      <c r="L320" s="108">
        <v>0.5</v>
      </c>
      <c r="M320" s="885"/>
      <c r="N320" s="883"/>
      <c r="O320" s="883"/>
      <c r="P320" s="883"/>
      <c r="Q320" s="57" t="s">
        <v>67</v>
      </c>
      <c r="R320" s="401"/>
      <c r="S320" s="401"/>
      <c r="T320" s="401"/>
      <c r="U320" s="401"/>
      <c r="V320" s="401"/>
      <c r="W320" s="401"/>
      <c r="X320" s="401"/>
      <c r="Y320" s="401"/>
      <c r="Z320" s="401"/>
      <c r="AA320" s="401"/>
      <c r="AB320" s="401"/>
      <c r="AC320" s="401"/>
      <c r="AD320" s="401"/>
      <c r="AE320" s="401"/>
      <c r="AF320" s="401"/>
      <c r="AG320" s="401"/>
      <c r="AH320" s="401"/>
      <c r="AI320" s="401"/>
      <c r="AJ320" s="401"/>
      <c r="AK320" s="401"/>
      <c r="AL320" s="401"/>
      <c r="AM320" s="401"/>
      <c r="AN320" s="401"/>
      <c r="AO320" s="401"/>
      <c r="AP320" s="401"/>
      <c r="AQ320" s="401"/>
      <c r="AR320" s="401"/>
      <c r="AS320" s="401"/>
      <c r="AT320" s="401"/>
      <c r="AU320" s="401"/>
      <c r="AV320" s="401"/>
      <c r="AW320" s="401"/>
      <c r="AX320" s="401"/>
      <c r="AY320" s="401"/>
      <c r="AZ320" s="401"/>
      <c r="BA320" s="401"/>
      <c r="BB320" s="401"/>
      <c r="BC320" s="401"/>
      <c r="BD320" s="401"/>
      <c r="BE320" s="401"/>
      <c r="BF320" s="401"/>
      <c r="BG320" s="401"/>
      <c r="BH320" s="401"/>
      <c r="BI320" s="403"/>
      <c r="BJ320" s="403"/>
      <c r="BK320" s="404"/>
      <c r="BL320" s="404"/>
      <c r="BM320" s="404"/>
      <c r="BN320" s="404"/>
      <c r="BO320" s="404"/>
      <c r="BP320" s="404"/>
      <c r="BQ320" s="401"/>
      <c r="BR320" s="403"/>
      <c r="BS320" s="403"/>
      <c r="BT320" s="403"/>
      <c r="BU320" s="403"/>
      <c r="BV320" s="403"/>
      <c r="BW320" s="403"/>
      <c r="BX320" s="403"/>
      <c r="BY320" s="403"/>
      <c r="BZ320" s="401">
        <f t="shared" si="132"/>
        <v>0</v>
      </c>
      <c r="CA320" s="401">
        <f t="shared" si="132"/>
        <v>0</v>
      </c>
      <c r="CB320" s="401">
        <f t="shared" si="132"/>
        <v>0</v>
      </c>
    </row>
    <row r="321" spans="1:80" ht="120.75" customHeight="1" x14ac:dyDescent="0.2">
      <c r="A321" s="42"/>
      <c r="B321" s="42"/>
      <c r="C321" s="713" t="s">
        <v>1089</v>
      </c>
      <c r="D321" s="707" t="s">
        <v>1088</v>
      </c>
      <c r="E321" s="57" t="s">
        <v>417</v>
      </c>
      <c r="F321" s="57" t="s">
        <v>418</v>
      </c>
      <c r="G321" s="143"/>
      <c r="H321" s="57">
        <v>28</v>
      </c>
      <c r="I321" s="729" t="s">
        <v>430</v>
      </c>
      <c r="J321" s="57" t="s">
        <v>43</v>
      </c>
      <c r="K321" s="169">
        <v>2</v>
      </c>
      <c r="L321" s="107">
        <v>2</v>
      </c>
      <c r="M321" s="886"/>
      <c r="N321" s="883"/>
      <c r="O321" s="898"/>
      <c r="P321" s="898"/>
      <c r="Q321" s="57" t="s">
        <v>67</v>
      </c>
      <c r="R321" s="401"/>
      <c r="S321" s="401"/>
      <c r="T321" s="401"/>
      <c r="U321" s="401"/>
      <c r="V321" s="401"/>
      <c r="W321" s="401"/>
      <c r="X321" s="401"/>
      <c r="Y321" s="401"/>
      <c r="Z321" s="401"/>
      <c r="AA321" s="401"/>
      <c r="AB321" s="401"/>
      <c r="AC321" s="401"/>
      <c r="AD321" s="401"/>
      <c r="AE321" s="401"/>
      <c r="AF321" s="401"/>
      <c r="AG321" s="401"/>
      <c r="AH321" s="401"/>
      <c r="AI321" s="401"/>
      <c r="AJ321" s="401"/>
      <c r="AK321" s="401"/>
      <c r="AL321" s="401"/>
      <c r="AM321" s="401"/>
      <c r="AN321" s="401"/>
      <c r="AO321" s="401"/>
      <c r="AP321" s="401"/>
      <c r="AQ321" s="401"/>
      <c r="AR321" s="401"/>
      <c r="AS321" s="401"/>
      <c r="AT321" s="401"/>
      <c r="AU321" s="401"/>
      <c r="AV321" s="401"/>
      <c r="AW321" s="401"/>
      <c r="AX321" s="401"/>
      <c r="AY321" s="401"/>
      <c r="AZ321" s="401"/>
      <c r="BA321" s="401"/>
      <c r="BB321" s="401"/>
      <c r="BC321" s="401"/>
      <c r="BD321" s="401"/>
      <c r="BE321" s="401"/>
      <c r="BF321" s="401"/>
      <c r="BG321" s="401"/>
      <c r="BH321" s="401"/>
      <c r="BI321" s="403"/>
      <c r="BJ321" s="403"/>
      <c r="BK321" s="404">
        <v>21000000</v>
      </c>
      <c r="BL321" s="404">
        <v>4110000</v>
      </c>
      <c r="BM321" s="404"/>
      <c r="BN321" s="404"/>
      <c r="BO321" s="404"/>
      <c r="BP321" s="404"/>
      <c r="BQ321" s="401"/>
      <c r="BR321" s="403"/>
      <c r="BS321" s="403"/>
      <c r="BT321" s="403"/>
      <c r="BU321" s="403"/>
      <c r="BV321" s="403"/>
      <c r="BW321" s="403"/>
      <c r="BX321" s="403"/>
      <c r="BY321" s="403"/>
      <c r="BZ321" s="401">
        <f t="shared" si="132"/>
        <v>21000000</v>
      </c>
      <c r="CA321" s="401">
        <f t="shared" si="132"/>
        <v>4110000</v>
      </c>
      <c r="CB321" s="401">
        <f t="shared" si="132"/>
        <v>0</v>
      </c>
    </row>
    <row r="322" spans="1:80" ht="120.75" customHeight="1" x14ac:dyDescent="0.2">
      <c r="A322" s="42"/>
      <c r="B322" s="42"/>
      <c r="C322" s="713" t="s">
        <v>1089</v>
      </c>
      <c r="D322" s="707" t="s">
        <v>1088</v>
      </c>
      <c r="E322" s="57" t="s">
        <v>417</v>
      </c>
      <c r="F322" s="57" t="s">
        <v>418</v>
      </c>
      <c r="G322" s="143"/>
      <c r="H322" s="57">
        <v>29</v>
      </c>
      <c r="I322" s="729" t="s">
        <v>431</v>
      </c>
      <c r="J322" s="57">
        <v>0</v>
      </c>
      <c r="K322" s="169">
        <v>1</v>
      </c>
      <c r="L322" s="108">
        <v>0.4</v>
      </c>
      <c r="M322" s="46">
        <v>2017003630076</v>
      </c>
      <c r="N322" s="883"/>
      <c r="O322" s="714" t="s">
        <v>432</v>
      </c>
      <c r="P322" s="714" t="s">
        <v>433</v>
      </c>
      <c r="Q322" s="57" t="s">
        <v>52</v>
      </c>
      <c r="R322" s="401"/>
      <c r="S322" s="401"/>
      <c r="T322" s="401"/>
      <c r="U322" s="401"/>
      <c r="V322" s="401"/>
      <c r="W322" s="401"/>
      <c r="X322" s="401"/>
      <c r="Y322" s="401"/>
      <c r="Z322" s="401"/>
      <c r="AA322" s="401"/>
      <c r="AB322" s="401"/>
      <c r="AC322" s="401"/>
      <c r="AD322" s="401"/>
      <c r="AE322" s="401"/>
      <c r="AF322" s="401"/>
      <c r="AG322" s="401"/>
      <c r="AH322" s="401"/>
      <c r="AI322" s="401"/>
      <c r="AJ322" s="401"/>
      <c r="AK322" s="401"/>
      <c r="AL322" s="401"/>
      <c r="AM322" s="401"/>
      <c r="AN322" s="401"/>
      <c r="AO322" s="401"/>
      <c r="AP322" s="401"/>
      <c r="AQ322" s="401"/>
      <c r="AR322" s="401"/>
      <c r="AS322" s="401"/>
      <c r="AT322" s="401"/>
      <c r="AU322" s="401"/>
      <c r="AV322" s="401"/>
      <c r="AW322" s="401"/>
      <c r="AX322" s="401"/>
      <c r="AY322" s="401"/>
      <c r="AZ322" s="401"/>
      <c r="BA322" s="401"/>
      <c r="BB322" s="401"/>
      <c r="BC322" s="401"/>
      <c r="BD322" s="401"/>
      <c r="BE322" s="401"/>
      <c r="BF322" s="401"/>
      <c r="BG322" s="401"/>
      <c r="BH322" s="401"/>
      <c r="BI322" s="403"/>
      <c r="BJ322" s="403"/>
      <c r="BK322" s="404">
        <v>14000000</v>
      </c>
      <c r="BL322" s="404">
        <v>14000000</v>
      </c>
      <c r="BM322" s="404">
        <v>6340000</v>
      </c>
      <c r="BN322" s="404"/>
      <c r="BO322" s="404"/>
      <c r="BP322" s="404"/>
      <c r="BQ322" s="401"/>
      <c r="BR322" s="403"/>
      <c r="BS322" s="403"/>
      <c r="BT322" s="403"/>
      <c r="BU322" s="403"/>
      <c r="BV322" s="403"/>
      <c r="BW322" s="403"/>
      <c r="BX322" s="403"/>
      <c r="BY322" s="403"/>
      <c r="BZ322" s="401">
        <f t="shared" si="132"/>
        <v>14000000</v>
      </c>
      <c r="CA322" s="401">
        <f t="shared" si="132"/>
        <v>14000000</v>
      </c>
      <c r="CB322" s="401">
        <f t="shared" si="132"/>
        <v>6340000</v>
      </c>
    </row>
    <row r="323" spans="1:80" ht="132" customHeight="1" x14ac:dyDescent="0.2">
      <c r="A323" s="42"/>
      <c r="B323" s="42"/>
      <c r="C323" s="713" t="s">
        <v>1089</v>
      </c>
      <c r="D323" s="707" t="s">
        <v>1088</v>
      </c>
      <c r="E323" s="713" t="s">
        <v>417</v>
      </c>
      <c r="F323" s="713" t="s">
        <v>418</v>
      </c>
      <c r="G323" s="244"/>
      <c r="H323" s="57">
        <v>30</v>
      </c>
      <c r="I323" s="729" t="s">
        <v>434</v>
      </c>
      <c r="J323" s="57">
        <v>1</v>
      </c>
      <c r="K323" s="169">
        <v>1</v>
      </c>
      <c r="L323" s="107">
        <v>1</v>
      </c>
      <c r="M323" s="46">
        <v>2017003630065</v>
      </c>
      <c r="N323" s="898"/>
      <c r="O323" s="44" t="s">
        <v>435</v>
      </c>
      <c r="P323" s="729" t="s">
        <v>436</v>
      </c>
      <c r="Q323" s="57" t="s">
        <v>52</v>
      </c>
      <c r="R323" s="401"/>
      <c r="S323" s="401"/>
      <c r="T323" s="401"/>
      <c r="U323" s="401"/>
      <c r="V323" s="401"/>
      <c r="W323" s="401"/>
      <c r="X323" s="401"/>
      <c r="Y323" s="401"/>
      <c r="Z323" s="401"/>
      <c r="AA323" s="401"/>
      <c r="AB323" s="401"/>
      <c r="AC323" s="401"/>
      <c r="AD323" s="401"/>
      <c r="AE323" s="401"/>
      <c r="AF323" s="401"/>
      <c r="AG323" s="401"/>
      <c r="AH323" s="401"/>
      <c r="AI323" s="401"/>
      <c r="AJ323" s="401"/>
      <c r="AK323" s="401"/>
      <c r="AL323" s="401"/>
      <c r="AM323" s="401"/>
      <c r="AN323" s="401"/>
      <c r="AO323" s="401"/>
      <c r="AP323" s="401"/>
      <c r="AQ323" s="401"/>
      <c r="AR323" s="401"/>
      <c r="AS323" s="401"/>
      <c r="AT323" s="401"/>
      <c r="AU323" s="401"/>
      <c r="AV323" s="401"/>
      <c r="AW323" s="401"/>
      <c r="AX323" s="401"/>
      <c r="AY323" s="401"/>
      <c r="AZ323" s="401"/>
      <c r="BA323" s="401"/>
      <c r="BB323" s="401"/>
      <c r="BC323" s="401"/>
      <c r="BD323" s="401"/>
      <c r="BE323" s="401"/>
      <c r="BF323" s="401"/>
      <c r="BG323" s="401"/>
      <c r="BH323" s="401"/>
      <c r="BI323" s="403"/>
      <c r="BJ323" s="403"/>
      <c r="BK323" s="404">
        <f>14000000+50000000</f>
        <v>64000000</v>
      </c>
      <c r="BL323" s="404">
        <v>50343038</v>
      </c>
      <c r="BM323" s="404">
        <v>12400000</v>
      </c>
      <c r="BN323" s="404"/>
      <c r="BO323" s="404"/>
      <c r="BP323" s="404"/>
      <c r="BQ323" s="401"/>
      <c r="BR323" s="401"/>
      <c r="BS323" s="401"/>
      <c r="BT323" s="401"/>
      <c r="BU323" s="401"/>
      <c r="BV323" s="401"/>
      <c r="BW323" s="401"/>
      <c r="BX323" s="401"/>
      <c r="BY323" s="401"/>
      <c r="BZ323" s="401">
        <f t="shared" si="132"/>
        <v>64000000</v>
      </c>
      <c r="CA323" s="401">
        <f t="shared" si="132"/>
        <v>50343038</v>
      </c>
      <c r="CB323" s="401">
        <f t="shared" si="132"/>
        <v>12400000</v>
      </c>
    </row>
    <row r="324" spans="1:80" ht="30" customHeight="1" x14ac:dyDescent="0.2">
      <c r="A324" s="42"/>
      <c r="B324" s="42"/>
      <c r="C324" s="714"/>
      <c r="D324" s="709"/>
      <c r="E324" s="714"/>
      <c r="F324" s="714"/>
      <c r="G324" s="78"/>
      <c r="H324" s="245"/>
      <c r="I324" s="246"/>
      <c r="J324" s="247"/>
      <c r="K324" s="248"/>
      <c r="L324" s="695"/>
      <c r="M324" s="248"/>
      <c r="N324" s="247"/>
      <c r="O324" s="247"/>
      <c r="P324" s="246"/>
      <c r="Q324" s="247"/>
      <c r="R324" s="410">
        <f t="shared" ref="R324:BY324" si="133">SUM(R318:R323)</f>
        <v>0</v>
      </c>
      <c r="S324" s="410">
        <f t="shared" si="133"/>
        <v>0</v>
      </c>
      <c r="T324" s="410">
        <f t="shared" si="133"/>
        <v>0</v>
      </c>
      <c r="U324" s="410">
        <f t="shared" si="133"/>
        <v>0</v>
      </c>
      <c r="V324" s="410">
        <f t="shared" si="133"/>
        <v>0</v>
      </c>
      <c r="W324" s="410">
        <f t="shared" si="133"/>
        <v>0</v>
      </c>
      <c r="X324" s="410">
        <f t="shared" si="133"/>
        <v>0</v>
      </c>
      <c r="Y324" s="410">
        <f t="shared" si="133"/>
        <v>0</v>
      </c>
      <c r="Z324" s="410">
        <f t="shared" si="133"/>
        <v>0</v>
      </c>
      <c r="AA324" s="410">
        <f t="shared" si="133"/>
        <v>0</v>
      </c>
      <c r="AB324" s="410">
        <f t="shared" si="133"/>
        <v>0</v>
      </c>
      <c r="AC324" s="410">
        <f t="shared" si="133"/>
        <v>0</v>
      </c>
      <c r="AD324" s="410">
        <f t="shared" si="133"/>
        <v>0</v>
      </c>
      <c r="AE324" s="410">
        <f t="shared" si="133"/>
        <v>0</v>
      </c>
      <c r="AF324" s="410">
        <f t="shared" si="133"/>
        <v>0</v>
      </c>
      <c r="AG324" s="410">
        <f t="shared" si="133"/>
        <v>0</v>
      </c>
      <c r="AH324" s="410">
        <f t="shared" si="133"/>
        <v>0</v>
      </c>
      <c r="AI324" s="410">
        <f t="shared" si="133"/>
        <v>0</v>
      </c>
      <c r="AJ324" s="410">
        <f t="shared" si="133"/>
        <v>0</v>
      </c>
      <c r="AK324" s="410">
        <f t="shared" si="133"/>
        <v>0</v>
      </c>
      <c r="AL324" s="410">
        <f t="shared" si="133"/>
        <v>0</v>
      </c>
      <c r="AM324" s="410">
        <f t="shared" si="133"/>
        <v>0</v>
      </c>
      <c r="AN324" s="410">
        <f t="shared" si="133"/>
        <v>0</v>
      </c>
      <c r="AO324" s="410">
        <f t="shared" si="133"/>
        <v>0</v>
      </c>
      <c r="AP324" s="410">
        <f t="shared" si="133"/>
        <v>0</v>
      </c>
      <c r="AQ324" s="410">
        <f t="shared" si="133"/>
        <v>0</v>
      </c>
      <c r="AR324" s="410">
        <f t="shared" si="133"/>
        <v>0</v>
      </c>
      <c r="AS324" s="410">
        <f t="shared" si="133"/>
        <v>0</v>
      </c>
      <c r="AT324" s="410">
        <f t="shared" si="133"/>
        <v>0</v>
      </c>
      <c r="AU324" s="410">
        <f t="shared" si="133"/>
        <v>0</v>
      </c>
      <c r="AV324" s="410">
        <f t="shared" si="133"/>
        <v>0</v>
      </c>
      <c r="AW324" s="410">
        <f t="shared" si="133"/>
        <v>0</v>
      </c>
      <c r="AX324" s="410">
        <f t="shared" si="133"/>
        <v>0</v>
      </c>
      <c r="AY324" s="410">
        <f t="shared" si="133"/>
        <v>0</v>
      </c>
      <c r="AZ324" s="410">
        <f t="shared" si="133"/>
        <v>0</v>
      </c>
      <c r="BA324" s="410">
        <f t="shared" si="133"/>
        <v>0</v>
      </c>
      <c r="BB324" s="410">
        <f t="shared" si="133"/>
        <v>0</v>
      </c>
      <c r="BC324" s="410">
        <f t="shared" si="133"/>
        <v>0</v>
      </c>
      <c r="BD324" s="410">
        <f t="shared" si="133"/>
        <v>0</v>
      </c>
      <c r="BE324" s="410">
        <f t="shared" si="133"/>
        <v>0</v>
      </c>
      <c r="BF324" s="410">
        <f t="shared" si="133"/>
        <v>0</v>
      </c>
      <c r="BG324" s="410">
        <f t="shared" si="133"/>
        <v>0</v>
      </c>
      <c r="BH324" s="410">
        <f t="shared" si="133"/>
        <v>0</v>
      </c>
      <c r="BI324" s="410">
        <f t="shared" si="133"/>
        <v>0</v>
      </c>
      <c r="BJ324" s="410">
        <f t="shared" si="133"/>
        <v>0</v>
      </c>
      <c r="BK324" s="410">
        <f t="shared" si="133"/>
        <v>277000000</v>
      </c>
      <c r="BL324" s="410">
        <f t="shared" si="133"/>
        <v>239415874</v>
      </c>
      <c r="BM324" s="410">
        <f t="shared" si="133"/>
        <v>164921000</v>
      </c>
      <c r="BN324" s="410">
        <f t="shared" si="133"/>
        <v>0</v>
      </c>
      <c r="BO324" s="410">
        <f t="shared" si="133"/>
        <v>0</v>
      </c>
      <c r="BP324" s="410">
        <f t="shared" si="133"/>
        <v>0</v>
      </c>
      <c r="BQ324" s="410">
        <f t="shared" si="133"/>
        <v>0</v>
      </c>
      <c r="BR324" s="410">
        <f t="shared" si="133"/>
        <v>0</v>
      </c>
      <c r="BS324" s="410">
        <f t="shared" si="133"/>
        <v>0</v>
      </c>
      <c r="BT324" s="410">
        <f t="shared" si="133"/>
        <v>0</v>
      </c>
      <c r="BU324" s="410">
        <f t="shared" si="133"/>
        <v>0</v>
      </c>
      <c r="BV324" s="410">
        <f t="shared" si="133"/>
        <v>0</v>
      </c>
      <c r="BW324" s="410">
        <f t="shared" si="133"/>
        <v>0</v>
      </c>
      <c r="BX324" s="410">
        <f t="shared" si="133"/>
        <v>0</v>
      </c>
      <c r="BY324" s="410">
        <f t="shared" si="133"/>
        <v>0</v>
      </c>
      <c r="BZ324" s="410">
        <f t="shared" ref="BZ324:CB324" si="134">SUM(BZ318:BZ323)</f>
        <v>277000000</v>
      </c>
      <c r="CA324" s="410">
        <f t="shared" si="134"/>
        <v>239415874</v>
      </c>
      <c r="CB324" s="410">
        <f t="shared" si="134"/>
        <v>164921000</v>
      </c>
    </row>
    <row r="325" spans="1:80" ht="30" customHeight="1" x14ac:dyDescent="0.2">
      <c r="A325" s="42"/>
      <c r="B325" s="42"/>
      <c r="C325" s="150"/>
      <c r="D325" s="72"/>
      <c r="E325" s="150"/>
      <c r="F325" s="150"/>
      <c r="G325" s="249"/>
      <c r="H325" s="127"/>
      <c r="I325" s="72"/>
      <c r="J325" s="150"/>
      <c r="K325" s="223"/>
      <c r="L325" s="255"/>
      <c r="M325" s="223"/>
      <c r="N325" s="150"/>
      <c r="O325" s="150"/>
      <c r="P325" s="72"/>
      <c r="Q325" s="150"/>
      <c r="R325" s="405"/>
      <c r="S325" s="405"/>
      <c r="T325" s="405"/>
      <c r="U325" s="406"/>
      <c r="V325" s="406"/>
      <c r="W325" s="406"/>
      <c r="X325" s="405"/>
      <c r="Y325" s="405"/>
      <c r="Z325" s="405"/>
      <c r="AA325" s="405"/>
      <c r="AB325" s="405"/>
      <c r="AC325" s="405"/>
      <c r="AD325" s="405"/>
      <c r="AE325" s="405"/>
      <c r="AF325" s="405"/>
      <c r="AG325" s="405"/>
      <c r="AH325" s="405"/>
      <c r="AI325" s="405"/>
      <c r="AJ325" s="405"/>
      <c r="AK325" s="405"/>
      <c r="AL325" s="405"/>
      <c r="AM325" s="405"/>
      <c r="AN325" s="405"/>
      <c r="AO325" s="405"/>
      <c r="AP325" s="405"/>
      <c r="AQ325" s="405"/>
      <c r="AR325" s="405"/>
      <c r="AS325" s="405"/>
      <c r="AT325" s="405"/>
      <c r="AU325" s="405"/>
      <c r="AV325" s="405"/>
      <c r="AW325" s="405"/>
      <c r="AX325" s="405"/>
      <c r="AY325" s="405"/>
      <c r="AZ325" s="405"/>
      <c r="BA325" s="405"/>
      <c r="BB325" s="405"/>
      <c r="BC325" s="405"/>
      <c r="BD325" s="405"/>
      <c r="BE325" s="405"/>
      <c r="BF325" s="405"/>
      <c r="BG325" s="405"/>
      <c r="BH325" s="405"/>
      <c r="BI325" s="405"/>
      <c r="BJ325" s="405"/>
      <c r="BK325" s="407"/>
      <c r="BL325" s="407"/>
      <c r="BM325" s="407"/>
      <c r="BN325" s="405"/>
      <c r="BO325" s="405"/>
      <c r="BP325" s="405"/>
      <c r="BQ325" s="405"/>
      <c r="BR325" s="405"/>
      <c r="BS325" s="405"/>
      <c r="BT325" s="405"/>
      <c r="BU325" s="405"/>
      <c r="BV325" s="405"/>
      <c r="BW325" s="406"/>
      <c r="BX325" s="406"/>
      <c r="BY325" s="406"/>
      <c r="BZ325" s="405"/>
      <c r="CA325" s="405"/>
      <c r="CB325" s="409"/>
    </row>
    <row r="326" spans="1:80" ht="30" customHeight="1" x14ac:dyDescent="0.2">
      <c r="A326" s="42"/>
      <c r="B326" s="42"/>
      <c r="C326" s="713"/>
      <c r="D326" s="707"/>
      <c r="E326" s="713"/>
      <c r="F326" s="713"/>
      <c r="G326" s="140">
        <v>6</v>
      </c>
      <c r="H326" s="141" t="s">
        <v>437</v>
      </c>
      <c r="I326" s="80"/>
      <c r="J326" s="80"/>
      <c r="K326" s="221"/>
      <c r="L326" s="91"/>
      <c r="M326" s="221"/>
      <c r="N326" s="173"/>
      <c r="O326" s="173"/>
      <c r="P326" s="80"/>
      <c r="Q326" s="80"/>
      <c r="R326" s="267"/>
      <c r="S326" s="267"/>
      <c r="T326" s="267"/>
      <c r="U326" s="267"/>
      <c r="V326" s="267"/>
      <c r="W326" s="267"/>
      <c r="X326" s="267"/>
      <c r="Y326" s="267"/>
      <c r="Z326" s="267"/>
      <c r="AA326" s="267"/>
      <c r="AB326" s="267"/>
      <c r="AC326" s="267"/>
      <c r="AD326" s="267"/>
      <c r="AE326" s="267"/>
      <c r="AF326" s="267"/>
      <c r="AG326" s="267"/>
      <c r="AH326" s="267"/>
      <c r="AI326" s="267"/>
      <c r="AJ326" s="267"/>
      <c r="AK326" s="267"/>
      <c r="AL326" s="267"/>
      <c r="AM326" s="267"/>
      <c r="AN326" s="267"/>
      <c r="AO326" s="267"/>
      <c r="AP326" s="267"/>
      <c r="AQ326" s="267"/>
      <c r="AR326" s="267"/>
      <c r="AS326" s="267"/>
      <c r="AT326" s="267"/>
      <c r="AU326" s="267"/>
      <c r="AV326" s="267"/>
      <c r="AW326" s="267"/>
      <c r="AX326" s="267"/>
      <c r="AY326" s="267"/>
      <c r="AZ326" s="267"/>
      <c r="BA326" s="267"/>
      <c r="BB326" s="267"/>
      <c r="BC326" s="267"/>
      <c r="BD326" s="267"/>
      <c r="BE326" s="267"/>
      <c r="BF326" s="267"/>
      <c r="BG326" s="267"/>
      <c r="BH326" s="267"/>
      <c r="BI326" s="267"/>
      <c r="BJ326" s="267"/>
      <c r="BK326" s="414"/>
      <c r="BL326" s="414"/>
      <c r="BM326" s="414"/>
      <c r="BN326" s="267"/>
      <c r="BO326" s="267"/>
      <c r="BP326" s="267"/>
      <c r="BQ326" s="267"/>
      <c r="BR326" s="267"/>
      <c r="BS326" s="267"/>
      <c r="BT326" s="267"/>
      <c r="BU326" s="267"/>
      <c r="BV326" s="267"/>
      <c r="BW326" s="267"/>
      <c r="BX326" s="267"/>
      <c r="BY326" s="267"/>
      <c r="BZ326" s="269"/>
      <c r="CA326" s="269"/>
      <c r="CB326" s="269"/>
    </row>
    <row r="327" spans="1:80" ht="57.75" customHeight="1" x14ac:dyDescent="0.2">
      <c r="A327" s="42"/>
      <c r="B327" s="42"/>
      <c r="C327" s="714">
        <v>5</v>
      </c>
      <c r="D327" s="709" t="s">
        <v>438</v>
      </c>
      <c r="E327" s="714">
        <v>12.9</v>
      </c>
      <c r="F327" s="714">
        <v>8.9</v>
      </c>
      <c r="G327" s="250"/>
      <c r="H327" s="44">
        <v>31</v>
      </c>
      <c r="I327" s="729" t="s">
        <v>439</v>
      </c>
      <c r="J327" s="57" t="s">
        <v>43</v>
      </c>
      <c r="K327" s="615">
        <v>4</v>
      </c>
      <c r="L327" s="107">
        <v>4</v>
      </c>
      <c r="M327" s="884">
        <v>2017003630073</v>
      </c>
      <c r="N327" s="895" t="s">
        <v>102</v>
      </c>
      <c r="O327" s="895" t="s">
        <v>440</v>
      </c>
      <c r="P327" s="890" t="s">
        <v>982</v>
      </c>
      <c r="Q327" s="57" t="s">
        <v>52</v>
      </c>
      <c r="R327" s="401"/>
      <c r="S327" s="401"/>
      <c r="T327" s="401"/>
      <c r="U327" s="401"/>
      <c r="V327" s="401"/>
      <c r="W327" s="401"/>
      <c r="X327" s="401"/>
      <c r="Y327" s="401"/>
      <c r="Z327" s="401"/>
      <c r="AA327" s="401"/>
      <c r="AB327" s="401"/>
      <c r="AC327" s="401"/>
      <c r="AD327" s="401"/>
      <c r="AE327" s="401"/>
      <c r="AF327" s="401"/>
      <c r="AG327" s="401"/>
      <c r="AH327" s="401"/>
      <c r="AI327" s="401"/>
      <c r="AJ327" s="401"/>
      <c r="AK327" s="401"/>
      <c r="AL327" s="401"/>
      <c r="AM327" s="401"/>
      <c r="AN327" s="401"/>
      <c r="AO327" s="401"/>
      <c r="AP327" s="401"/>
      <c r="AQ327" s="401"/>
      <c r="AR327" s="401"/>
      <c r="AS327" s="401"/>
      <c r="AT327" s="401"/>
      <c r="AU327" s="401"/>
      <c r="AV327" s="401"/>
      <c r="AW327" s="401"/>
      <c r="AX327" s="401"/>
      <c r="AY327" s="401"/>
      <c r="AZ327" s="401"/>
      <c r="BA327" s="401"/>
      <c r="BB327" s="401"/>
      <c r="BC327" s="401"/>
      <c r="BD327" s="401"/>
      <c r="BE327" s="401"/>
      <c r="BF327" s="401"/>
      <c r="BG327" s="401"/>
      <c r="BH327" s="401"/>
      <c r="BI327" s="401"/>
      <c r="BJ327" s="401"/>
      <c r="BK327" s="672">
        <f>60000000+44000000+15000000</f>
        <v>119000000</v>
      </c>
      <c r="BL327" s="402">
        <v>91980000</v>
      </c>
      <c r="BM327" s="402">
        <v>83120000</v>
      </c>
      <c r="BN327" s="402"/>
      <c r="BO327" s="402"/>
      <c r="BP327" s="402"/>
      <c r="BQ327" s="401"/>
      <c r="BR327" s="403"/>
      <c r="BS327" s="403"/>
      <c r="BT327" s="403"/>
      <c r="BU327" s="403"/>
      <c r="BV327" s="403"/>
      <c r="BW327" s="403"/>
      <c r="BX327" s="403"/>
      <c r="BY327" s="403"/>
      <c r="BZ327" s="401">
        <f t="shared" ref="BZ327:CB330" si="135">R327+U327+X327+AA327+AD327+AG327+AJ327+AM327+AP327+AS327+AV327+AY327+BB327+BE327+BH327+BK327+BN327+BQ327+BT327+BW327</f>
        <v>119000000</v>
      </c>
      <c r="CA327" s="401">
        <f t="shared" si="135"/>
        <v>91980000</v>
      </c>
      <c r="CB327" s="401">
        <f t="shared" si="135"/>
        <v>83120000</v>
      </c>
    </row>
    <row r="328" spans="1:80" ht="57.75" customHeight="1" x14ac:dyDescent="0.2">
      <c r="A328" s="42"/>
      <c r="B328" s="42"/>
      <c r="C328" s="720">
        <v>6</v>
      </c>
      <c r="D328" s="708" t="s">
        <v>442</v>
      </c>
      <c r="E328" s="702">
        <v>3.4</v>
      </c>
      <c r="F328" s="702">
        <v>4.5999999999999996</v>
      </c>
      <c r="G328" s="250"/>
      <c r="H328" s="44">
        <v>32</v>
      </c>
      <c r="I328" s="729" t="s">
        <v>443</v>
      </c>
      <c r="J328" s="57" t="s">
        <v>43</v>
      </c>
      <c r="K328" s="169">
        <v>30</v>
      </c>
      <c r="L328" s="107">
        <v>30</v>
      </c>
      <c r="M328" s="885"/>
      <c r="N328" s="883"/>
      <c r="O328" s="883"/>
      <c r="P328" s="891"/>
      <c r="Q328" s="57" t="s">
        <v>67</v>
      </c>
      <c r="R328" s="401">
        <v>0</v>
      </c>
      <c r="S328" s="401"/>
      <c r="T328" s="401"/>
      <c r="U328" s="401">
        <v>0</v>
      </c>
      <c r="V328" s="401"/>
      <c r="W328" s="401"/>
      <c r="X328" s="401">
        <v>0</v>
      </c>
      <c r="Y328" s="401"/>
      <c r="Z328" s="401"/>
      <c r="AA328" s="401">
        <v>0</v>
      </c>
      <c r="AB328" s="401"/>
      <c r="AC328" s="401"/>
      <c r="AD328" s="401">
        <v>0</v>
      </c>
      <c r="AE328" s="401"/>
      <c r="AF328" s="401"/>
      <c r="AG328" s="401">
        <v>0</v>
      </c>
      <c r="AH328" s="401"/>
      <c r="AI328" s="401"/>
      <c r="AJ328" s="401">
        <v>0</v>
      </c>
      <c r="AK328" s="401"/>
      <c r="AL328" s="401"/>
      <c r="AM328" s="401"/>
      <c r="AN328" s="401"/>
      <c r="AO328" s="401"/>
      <c r="AP328" s="401"/>
      <c r="AQ328" s="401"/>
      <c r="AR328" s="401"/>
      <c r="AS328" s="401">
        <v>0</v>
      </c>
      <c r="AT328" s="401"/>
      <c r="AU328" s="401"/>
      <c r="AV328" s="401">
        <v>0</v>
      </c>
      <c r="AW328" s="401"/>
      <c r="AX328" s="401"/>
      <c r="AY328" s="401"/>
      <c r="AZ328" s="401"/>
      <c r="BA328" s="401"/>
      <c r="BB328" s="401"/>
      <c r="BC328" s="401"/>
      <c r="BD328" s="401"/>
      <c r="BE328" s="401">
        <v>0</v>
      </c>
      <c r="BF328" s="401"/>
      <c r="BG328" s="401"/>
      <c r="BH328" s="401">
        <v>0</v>
      </c>
      <c r="BI328" s="401"/>
      <c r="BJ328" s="401"/>
      <c r="BK328" s="672">
        <f>106000000+34000000+30000000+35000000</f>
        <v>205000000</v>
      </c>
      <c r="BL328" s="402">
        <v>139883333</v>
      </c>
      <c r="BM328" s="402">
        <v>71920000</v>
      </c>
      <c r="BN328" s="402"/>
      <c r="BO328" s="402"/>
      <c r="BP328" s="402"/>
      <c r="BQ328" s="401">
        <v>0</v>
      </c>
      <c r="BR328" s="403"/>
      <c r="BS328" s="403"/>
      <c r="BT328" s="403"/>
      <c r="BU328" s="403"/>
      <c r="BV328" s="403"/>
      <c r="BW328" s="403">
        <v>0</v>
      </c>
      <c r="BX328" s="403"/>
      <c r="BY328" s="403"/>
      <c r="BZ328" s="401">
        <f t="shared" si="135"/>
        <v>205000000</v>
      </c>
      <c r="CA328" s="401">
        <f t="shared" si="135"/>
        <v>139883333</v>
      </c>
      <c r="CB328" s="401">
        <f t="shared" si="135"/>
        <v>71920000</v>
      </c>
    </row>
    <row r="329" spans="1:80" ht="57.75" customHeight="1" x14ac:dyDescent="0.2">
      <c r="A329" s="42"/>
      <c r="B329" s="42"/>
      <c r="C329" s="189">
        <v>7</v>
      </c>
      <c r="D329" s="709" t="s">
        <v>444</v>
      </c>
      <c r="E329" s="714">
        <v>31.7</v>
      </c>
      <c r="F329" s="714">
        <v>27</v>
      </c>
      <c r="G329" s="250"/>
      <c r="H329" s="44">
        <v>33</v>
      </c>
      <c r="I329" s="729" t="s">
        <v>445</v>
      </c>
      <c r="J329" s="57" t="s">
        <v>43</v>
      </c>
      <c r="K329" s="169">
        <v>400</v>
      </c>
      <c r="L329" s="107">
        <v>350</v>
      </c>
      <c r="M329" s="885"/>
      <c r="N329" s="883"/>
      <c r="O329" s="883"/>
      <c r="P329" s="891"/>
      <c r="Q329" s="57" t="s">
        <v>67</v>
      </c>
      <c r="R329" s="467">
        <v>0</v>
      </c>
      <c r="S329" s="467"/>
      <c r="T329" s="467"/>
      <c r="U329" s="401">
        <v>0</v>
      </c>
      <c r="V329" s="401"/>
      <c r="W329" s="401"/>
      <c r="X329" s="401">
        <v>0</v>
      </c>
      <c r="Y329" s="401"/>
      <c r="Z329" s="401"/>
      <c r="AA329" s="401">
        <v>0</v>
      </c>
      <c r="AB329" s="401"/>
      <c r="AC329" s="401"/>
      <c r="AD329" s="401">
        <v>0</v>
      </c>
      <c r="AE329" s="401"/>
      <c r="AF329" s="401"/>
      <c r="AG329" s="401">
        <v>0</v>
      </c>
      <c r="AH329" s="401"/>
      <c r="AI329" s="401"/>
      <c r="AJ329" s="401">
        <v>0</v>
      </c>
      <c r="AK329" s="401"/>
      <c r="AL329" s="401"/>
      <c r="AM329" s="401"/>
      <c r="AN329" s="401"/>
      <c r="AO329" s="401"/>
      <c r="AP329" s="401"/>
      <c r="AQ329" s="401"/>
      <c r="AR329" s="401"/>
      <c r="AS329" s="401">
        <v>0</v>
      </c>
      <c r="AT329" s="401"/>
      <c r="AU329" s="401"/>
      <c r="AV329" s="401">
        <v>0</v>
      </c>
      <c r="AW329" s="401"/>
      <c r="AX329" s="401"/>
      <c r="AY329" s="401"/>
      <c r="AZ329" s="401"/>
      <c r="BA329" s="401"/>
      <c r="BB329" s="401"/>
      <c r="BC329" s="401"/>
      <c r="BD329" s="401"/>
      <c r="BE329" s="401">
        <v>0</v>
      </c>
      <c r="BF329" s="401"/>
      <c r="BG329" s="401"/>
      <c r="BH329" s="401">
        <v>0</v>
      </c>
      <c r="BI329" s="401"/>
      <c r="BJ329" s="401"/>
      <c r="BK329" s="672">
        <f>16000000+12000000</f>
        <v>28000000</v>
      </c>
      <c r="BL329" s="402">
        <v>28000000</v>
      </c>
      <c r="BM329" s="402">
        <v>23280000</v>
      </c>
      <c r="BN329" s="402"/>
      <c r="BO329" s="402"/>
      <c r="BP329" s="402"/>
      <c r="BQ329" s="401">
        <v>0</v>
      </c>
      <c r="BR329" s="403"/>
      <c r="BS329" s="403"/>
      <c r="BT329" s="403"/>
      <c r="BU329" s="403"/>
      <c r="BV329" s="403"/>
      <c r="BW329" s="403">
        <v>0</v>
      </c>
      <c r="BX329" s="403"/>
      <c r="BY329" s="403"/>
      <c r="BZ329" s="401">
        <f t="shared" si="135"/>
        <v>28000000</v>
      </c>
      <c r="CA329" s="401">
        <f t="shared" si="135"/>
        <v>28000000</v>
      </c>
      <c r="CB329" s="401">
        <f t="shared" si="135"/>
        <v>23280000</v>
      </c>
    </row>
    <row r="330" spans="1:80" ht="101.25" customHeight="1" x14ac:dyDescent="0.2">
      <c r="A330" s="42"/>
      <c r="B330" s="42"/>
      <c r="C330" s="713"/>
      <c r="D330" s="707"/>
      <c r="E330" s="713"/>
      <c r="F330" s="713"/>
      <c r="G330" s="251"/>
      <c r="H330" s="44">
        <v>34</v>
      </c>
      <c r="I330" s="729" t="s">
        <v>446</v>
      </c>
      <c r="J330" s="57" t="s">
        <v>43</v>
      </c>
      <c r="K330" s="169">
        <v>600</v>
      </c>
      <c r="L330" s="107">
        <v>530</v>
      </c>
      <c r="M330" s="886"/>
      <c r="N330" s="898"/>
      <c r="O330" s="898"/>
      <c r="P330" s="892"/>
      <c r="Q330" s="57" t="s">
        <v>67</v>
      </c>
      <c r="R330" s="401">
        <v>0</v>
      </c>
      <c r="S330" s="401"/>
      <c r="T330" s="401"/>
      <c r="U330" s="401">
        <v>0</v>
      </c>
      <c r="V330" s="401"/>
      <c r="W330" s="401"/>
      <c r="X330" s="401">
        <v>0</v>
      </c>
      <c r="Y330" s="401"/>
      <c r="Z330" s="401"/>
      <c r="AA330" s="401">
        <v>0</v>
      </c>
      <c r="AB330" s="401"/>
      <c r="AC330" s="401"/>
      <c r="AD330" s="401">
        <v>0</v>
      </c>
      <c r="AE330" s="401"/>
      <c r="AF330" s="401"/>
      <c r="AG330" s="401">
        <v>0</v>
      </c>
      <c r="AH330" s="401"/>
      <c r="AI330" s="401"/>
      <c r="AJ330" s="401">
        <v>0</v>
      </c>
      <c r="AK330" s="401"/>
      <c r="AL330" s="401"/>
      <c r="AM330" s="401"/>
      <c r="AN330" s="401"/>
      <c r="AO330" s="401"/>
      <c r="AP330" s="401"/>
      <c r="AQ330" s="401"/>
      <c r="AR330" s="401"/>
      <c r="AS330" s="401">
        <v>0</v>
      </c>
      <c r="AT330" s="401"/>
      <c r="AU330" s="401"/>
      <c r="AV330" s="401">
        <v>0</v>
      </c>
      <c r="AW330" s="401"/>
      <c r="AX330" s="401"/>
      <c r="AY330" s="401"/>
      <c r="AZ330" s="401"/>
      <c r="BA330" s="401"/>
      <c r="BB330" s="401"/>
      <c r="BC330" s="401"/>
      <c r="BD330" s="401"/>
      <c r="BE330" s="401">
        <v>0</v>
      </c>
      <c r="BF330" s="401"/>
      <c r="BG330" s="401"/>
      <c r="BH330" s="401">
        <v>0</v>
      </c>
      <c r="BI330" s="401"/>
      <c r="BJ330" s="401"/>
      <c r="BK330" s="672">
        <f>17000000+11000000</f>
        <v>28000000</v>
      </c>
      <c r="BL330" s="402">
        <v>27500000</v>
      </c>
      <c r="BM330" s="402">
        <v>26620000</v>
      </c>
      <c r="BN330" s="402"/>
      <c r="BO330" s="402"/>
      <c r="BP330" s="402"/>
      <c r="BQ330" s="401">
        <v>0</v>
      </c>
      <c r="BR330" s="403"/>
      <c r="BS330" s="403"/>
      <c r="BT330" s="403"/>
      <c r="BU330" s="403"/>
      <c r="BV330" s="403"/>
      <c r="BW330" s="403">
        <v>0</v>
      </c>
      <c r="BX330" s="403"/>
      <c r="BY330" s="403"/>
      <c r="BZ330" s="401">
        <f t="shared" si="135"/>
        <v>28000000</v>
      </c>
      <c r="CA330" s="401">
        <f t="shared" si="135"/>
        <v>27500000</v>
      </c>
      <c r="CB330" s="401">
        <f t="shared" si="135"/>
        <v>26620000</v>
      </c>
    </row>
    <row r="331" spans="1:80" ht="30" customHeight="1" x14ac:dyDescent="0.2">
      <c r="A331" s="42"/>
      <c r="B331" s="42"/>
      <c r="C331" s="92"/>
      <c r="D331" s="92"/>
      <c r="E331" s="92"/>
      <c r="F331" s="92"/>
      <c r="G331" s="188"/>
      <c r="H331" s="60"/>
      <c r="I331" s="188"/>
      <c r="J331" s="188"/>
      <c r="K331" s="614"/>
      <c r="L331" s="696"/>
      <c r="M331" s="188"/>
      <c r="N331" s="60"/>
      <c r="O331" s="60"/>
      <c r="P331" s="188"/>
      <c r="Q331" s="60"/>
      <c r="R331" s="410">
        <f t="shared" ref="R331:BY331" si="136">SUM(R327:R330)</f>
        <v>0</v>
      </c>
      <c r="S331" s="410">
        <f t="shared" si="136"/>
        <v>0</v>
      </c>
      <c r="T331" s="410">
        <f t="shared" si="136"/>
        <v>0</v>
      </c>
      <c r="U331" s="410">
        <f t="shared" si="136"/>
        <v>0</v>
      </c>
      <c r="V331" s="410">
        <f t="shared" si="136"/>
        <v>0</v>
      </c>
      <c r="W331" s="410">
        <f t="shared" si="136"/>
        <v>0</v>
      </c>
      <c r="X331" s="410">
        <f t="shared" si="136"/>
        <v>0</v>
      </c>
      <c r="Y331" s="410">
        <f t="shared" si="136"/>
        <v>0</v>
      </c>
      <c r="Z331" s="410">
        <f t="shared" si="136"/>
        <v>0</v>
      </c>
      <c r="AA331" s="410">
        <f t="shared" si="136"/>
        <v>0</v>
      </c>
      <c r="AB331" s="410">
        <f t="shared" si="136"/>
        <v>0</v>
      </c>
      <c r="AC331" s="410">
        <f t="shared" si="136"/>
        <v>0</v>
      </c>
      <c r="AD331" s="410">
        <f t="shared" si="136"/>
        <v>0</v>
      </c>
      <c r="AE331" s="410">
        <f t="shared" si="136"/>
        <v>0</v>
      </c>
      <c r="AF331" s="410">
        <f t="shared" si="136"/>
        <v>0</v>
      </c>
      <c r="AG331" s="410">
        <f t="shared" si="136"/>
        <v>0</v>
      </c>
      <c r="AH331" s="410">
        <f t="shared" si="136"/>
        <v>0</v>
      </c>
      <c r="AI331" s="410">
        <f t="shared" si="136"/>
        <v>0</v>
      </c>
      <c r="AJ331" s="410">
        <f t="shared" si="136"/>
        <v>0</v>
      </c>
      <c r="AK331" s="410">
        <f t="shared" si="136"/>
        <v>0</v>
      </c>
      <c r="AL331" s="410">
        <f t="shared" si="136"/>
        <v>0</v>
      </c>
      <c r="AM331" s="410">
        <f t="shared" si="136"/>
        <v>0</v>
      </c>
      <c r="AN331" s="410">
        <f t="shared" si="136"/>
        <v>0</v>
      </c>
      <c r="AO331" s="410">
        <f t="shared" si="136"/>
        <v>0</v>
      </c>
      <c r="AP331" s="410">
        <f t="shared" si="136"/>
        <v>0</v>
      </c>
      <c r="AQ331" s="410">
        <f t="shared" si="136"/>
        <v>0</v>
      </c>
      <c r="AR331" s="410">
        <f t="shared" si="136"/>
        <v>0</v>
      </c>
      <c r="AS331" s="410">
        <f t="shared" si="136"/>
        <v>0</v>
      </c>
      <c r="AT331" s="410">
        <f t="shared" si="136"/>
        <v>0</v>
      </c>
      <c r="AU331" s="410">
        <f t="shared" si="136"/>
        <v>0</v>
      </c>
      <c r="AV331" s="410">
        <f t="shared" si="136"/>
        <v>0</v>
      </c>
      <c r="AW331" s="410">
        <f t="shared" si="136"/>
        <v>0</v>
      </c>
      <c r="AX331" s="410">
        <f t="shared" si="136"/>
        <v>0</v>
      </c>
      <c r="AY331" s="410">
        <f t="shared" si="136"/>
        <v>0</v>
      </c>
      <c r="AZ331" s="410">
        <f t="shared" si="136"/>
        <v>0</v>
      </c>
      <c r="BA331" s="410">
        <f t="shared" si="136"/>
        <v>0</v>
      </c>
      <c r="BB331" s="410">
        <f t="shared" si="136"/>
        <v>0</v>
      </c>
      <c r="BC331" s="410">
        <f t="shared" si="136"/>
        <v>0</v>
      </c>
      <c r="BD331" s="410">
        <f t="shared" si="136"/>
        <v>0</v>
      </c>
      <c r="BE331" s="410">
        <f t="shared" si="136"/>
        <v>0</v>
      </c>
      <c r="BF331" s="410">
        <f t="shared" si="136"/>
        <v>0</v>
      </c>
      <c r="BG331" s="410">
        <f t="shared" si="136"/>
        <v>0</v>
      </c>
      <c r="BH331" s="410">
        <f t="shared" si="136"/>
        <v>0</v>
      </c>
      <c r="BI331" s="410">
        <f t="shared" si="136"/>
        <v>0</v>
      </c>
      <c r="BJ331" s="410">
        <f t="shared" si="136"/>
        <v>0</v>
      </c>
      <c r="BK331" s="410">
        <f t="shared" si="136"/>
        <v>380000000</v>
      </c>
      <c r="BL331" s="410">
        <f t="shared" si="136"/>
        <v>287363333</v>
      </c>
      <c r="BM331" s="410">
        <f t="shared" si="136"/>
        <v>204940000</v>
      </c>
      <c r="BN331" s="410">
        <f t="shared" si="136"/>
        <v>0</v>
      </c>
      <c r="BO331" s="410">
        <f t="shared" si="136"/>
        <v>0</v>
      </c>
      <c r="BP331" s="410">
        <f t="shared" si="136"/>
        <v>0</v>
      </c>
      <c r="BQ331" s="410">
        <f t="shared" si="136"/>
        <v>0</v>
      </c>
      <c r="BR331" s="410">
        <f t="shared" si="136"/>
        <v>0</v>
      </c>
      <c r="BS331" s="410">
        <f t="shared" si="136"/>
        <v>0</v>
      </c>
      <c r="BT331" s="410">
        <f t="shared" si="136"/>
        <v>0</v>
      </c>
      <c r="BU331" s="410">
        <f t="shared" si="136"/>
        <v>0</v>
      </c>
      <c r="BV331" s="410">
        <f t="shared" si="136"/>
        <v>0</v>
      </c>
      <c r="BW331" s="410">
        <f t="shared" si="136"/>
        <v>0</v>
      </c>
      <c r="BX331" s="410">
        <f t="shared" si="136"/>
        <v>0</v>
      </c>
      <c r="BY331" s="410">
        <f t="shared" si="136"/>
        <v>0</v>
      </c>
      <c r="BZ331" s="410">
        <f t="shared" ref="BZ331:CB331" si="137">SUM(BZ327:BZ330)</f>
        <v>380000000</v>
      </c>
      <c r="CA331" s="410">
        <f t="shared" si="137"/>
        <v>287363333</v>
      </c>
      <c r="CB331" s="410">
        <f t="shared" si="137"/>
        <v>204940000</v>
      </c>
    </row>
    <row r="332" spans="1:80" ht="30" customHeight="1" x14ac:dyDescent="0.2">
      <c r="A332" s="42"/>
      <c r="B332" s="42"/>
      <c r="C332" s="150"/>
      <c r="D332" s="150"/>
      <c r="E332" s="150"/>
      <c r="F332" s="150"/>
      <c r="G332" s="89"/>
      <c r="H332" s="73"/>
      <c r="I332" s="89"/>
      <c r="J332" s="89"/>
      <c r="K332" s="89"/>
      <c r="L332" s="697"/>
      <c r="M332" s="89"/>
      <c r="N332" s="73"/>
      <c r="O332" s="73"/>
      <c r="P332" s="89"/>
      <c r="Q332" s="73"/>
      <c r="R332" s="405"/>
      <c r="S332" s="405"/>
      <c r="T332" s="405"/>
      <c r="U332" s="406"/>
      <c r="V332" s="406"/>
      <c r="W332" s="406"/>
      <c r="X332" s="405"/>
      <c r="Y332" s="405"/>
      <c r="Z332" s="405"/>
      <c r="AA332" s="405"/>
      <c r="AB332" s="405"/>
      <c r="AC332" s="405"/>
      <c r="AD332" s="405"/>
      <c r="AE332" s="405"/>
      <c r="AF332" s="405"/>
      <c r="AG332" s="405"/>
      <c r="AH332" s="405"/>
      <c r="AI332" s="405"/>
      <c r="AJ332" s="405"/>
      <c r="AK332" s="405"/>
      <c r="AL332" s="405"/>
      <c r="AM332" s="405"/>
      <c r="AN332" s="405"/>
      <c r="AO332" s="405"/>
      <c r="AP332" s="405"/>
      <c r="AQ332" s="405"/>
      <c r="AR332" s="405"/>
      <c r="AS332" s="405"/>
      <c r="AT332" s="405"/>
      <c r="AU332" s="405"/>
      <c r="AV332" s="405"/>
      <c r="AW332" s="405"/>
      <c r="AX332" s="405"/>
      <c r="AY332" s="405"/>
      <c r="AZ332" s="405"/>
      <c r="BA332" s="405"/>
      <c r="BB332" s="405"/>
      <c r="BC332" s="405"/>
      <c r="BD332" s="405"/>
      <c r="BE332" s="405"/>
      <c r="BF332" s="405"/>
      <c r="BG332" s="405"/>
      <c r="BH332" s="405"/>
      <c r="BI332" s="405"/>
      <c r="BJ332" s="405"/>
      <c r="BK332" s="407" t="s">
        <v>69</v>
      </c>
      <c r="BL332" s="407"/>
      <c r="BM332" s="407"/>
      <c r="BN332" s="408"/>
      <c r="BO332" s="408"/>
      <c r="BP332" s="408"/>
      <c r="BQ332" s="405"/>
      <c r="BR332" s="405"/>
      <c r="BS332" s="405"/>
      <c r="BT332" s="405"/>
      <c r="BU332" s="405"/>
      <c r="BV332" s="405"/>
      <c r="BW332" s="406"/>
      <c r="BX332" s="406"/>
      <c r="BY332" s="406"/>
      <c r="BZ332" s="405" t="s">
        <v>69</v>
      </c>
      <c r="CA332" s="405" t="s">
        <v>69</v>
      </c>
      <c r="CB332" s="409" t="s">
        <v>69</v>
      </c>
    </row>
    <row r="333" spans="1:80" ht="30" customHeight="1" x14ac:dyDescent="0.2">
      <c r="A333" s="42"/>
      <c r="B333" s="42"/>
      <c r="C333" s="713"/>
      <c r="D333" s="713"/>
      <c r="E333" s="57"/>
      <c r="F333" s="57"/>
      <c r="G333" s="252">
        <v>7</v>
      </c>
      <c r="H333" s="141" t="s">
        <v>447</v>
      </c>
      <c r="I333" s="80"/>
      <c r="J333" s="80"/>
      <c r="K333" s="80"/>
      <c r="L333" s="91"/>
      <c r="M333" s="80"/>
      <c r="N333" s="173"/>
      <c r="O333" s="173"/>
      <c r="P333" s="80"/>
      <c r="Q333" s="80"/>
      <c r="R333" s="267"/>
      <c r="S333" s="267"/>
      <c r="T333" s="267"/>
      <c r="U333" s="267"/>
      <c r="V333" s="267"/>
      <c r="W333" s="267"/>
      <c r="X333" s="267"/>
      <c r="Y333" s="267"/>
      <c r="Z333" s="267"/>
      <c r="AA333" s="267"/>
      <c r="AB333" s="267"/>
      <c r="AC333" s="267"/>
      <c r="AD333" s="267"/>
      <c r="AE333" s="267"/>
      <c r="AF333" s="267"/>
      <c r="AG333" s="267"/>
      <c r="AH333" s="267"/>
      <c r="AI333" s="267"/>
      <c r="AJ333" s="267"/>
      <c r="AK333" s="267"/>
      <c r="AL333" s="267"/>
      <c r="AM333" s="267"/>
      <c r="AN333" s="267"/>
      <c r="AO333" s="267"/>
      <c r="AP333" s="267"/>
      <c r="AQ333" s="267"/>
      <c r="AR333" s="267"/>
      <c r="AS333" s="267"/>
      <c r="AT333" s="267"/>
      <c r="AU333" s="267"/>
      <c r="AV333" s="267"/>
      <c r="AW333" s="267"/>
      <c r="AX333" s="267"/>
      <c r="AY333" s="267"/>
      <c r="AZ333" s="267"/>
      <c r="BA333" s="267"/>
      <c r="BB333" s="267"/>
      <c r="BC333" s="267"/>
      <c r="BD333" s="267"/>
      <c r="BE333" s="267"/>
      <c r="BF333" s="267"/>
      <c r="BG333" s="267"/>
      <c r="BH333" s="267"/>
      <c r="BI333" s="267"/>
      <c r="BJ333" s="267"/>
      <c r="BK333" s="414"/>
      <c r="BL333" s="414"/>
      <c r="BM333" s="414"/>
      <c r="BN333" s="267"/>
      <c r="BO333" s="267"/>
      <c r="BP333" s="267"/>
      <c r="BQ333" s="267"/>
      <c r="BR333" s="267"/>
      <c r="BS333" s="267"/>
      <c r="BT333" s="267"/>
      <c r="BU333" s="267"/>
      <c r="BV333" s="267"/>
      <c r="BW333" s="267"/>
      <c r="BX333" s="267"/>
      <c r="BY333" s="267"/>
      <c r="BZ333" s="269"/>
      <c r="CA333" s="269"/>
      <c r="CB333" s="269"/>
    </row>
    <row r="334" spans="1:80" ht="127.5" customHeight="1" x14ac:dyDescent="0.2">
      <c r="A334" s="42"/>
      <c r="B334" s="42"/>
      <c r="C334" s="713" t="s">
        <v>1089</v>
      </c>
      <c r="D334" s="707" t="s">
        <v>1088</v>
      </c>
      <c r="E334" s="714" t="s">
        <v>417</v>
      </c>
      <c r="F334" s="714" t="s">
        <v>418</v>
      </c>
      <c r="G334" s="49"/>
      <c r="H334" s="57">
        <v>35</v>
      </c>
      <c r="I334" s="729" t="s">
        <v>448</v>
      </c>
      <c r="J334" s="57">
        <v>0</v>
      </c>
      <c r="K334" s="718">
        <v>5</v>
      </c>
      <c r="L334" s="107">
        <v>5</v>
      </c>
      <c r="M334" s="884">
        <v>2017003630074</v>
      </c>
      <c r="N334" s="895" t="s">
        <v>102</v>
      </c>
      <c r="O334" s="895" t="s">
        <v>449</v>
      </c>
      <c r="P334" s="890" t="s">
        <v>450</v>
      </c>
      <c r="Q334" s="57" t="s">
        <v>52</v>
      </c>
      <c r="R334" s="401"/>
      <c r="S334" s="401"/>
      <c r="T334" s="401"/>
      <c r="U334" s="401"/>
      <c r="V334" s="401"/>
      <c r="W334" s="401"/>
      <c r="X334" s="401"/>
      <c r="Y334" s="401"/>
      <c r="Z334" s="401"/>
      <c r="AA334" s="401"/>
      <c r="AB334" s="401"/>
      <c r="AC334" s="401"/>
      <c r="AD334" s="401"/>
      <c r="AE334" s="401"/>
      <c r="AF334" s="401"/>
      <c r="AG334" s="401"/>
      <c r="AH334" s="401"/>
      <c r="AI334" s="401"/>
      <c r="AJ334" s="401"/>
      <c r="AK334" s="401"/>
      <c r="AL334" s="401"/>
      <c r="AM334" s="401"/>
      <c r="AN334" s="401"/>
      <c r="AO334" s="401"/>
      <c r="AP334" s="401"/>
      <c r="AQ334" s="401"/>
      <c r="AR334" s="401"/>
      <c r="AS334" s="401"/>
      <c r="AT334" s="401"/>
      <c r="AU334" s="401"/>
      <c r="AV334" s="401"/>
      <c r="AW334" s="401"/>
      <c r="AX334" s="401"/>
      <c r="AY334" s="401"/>
      <c r="AZ334" s="401"/>
      <c r="BA334" s="401"/>
      <c r="BB334" s="401"/>
      <c r="BC334" s="401"/>
      <c r="BD334" s="401"/>
      <c r="BE334" s="401"/>
      <c r="BF334" s="401"/>
      <c r="BG334" s="401"/>
      <c r="BH334" s="401"/>
      <c r="BI334" s="401"/>
      <c r="BJ334" s="401"/>
      <c r="BK334" s="402">
        <f>34000000+10000000</f>
        <v>44000000</v>
      </c>
      <c r="BL334" s="402">
        <v>43025667</v>
      </c>
      <c r="BM334" s="402">
        <v>30115000</v>
      </c>
      <c r="BN334" s="402"/>
      <c r="BO334" s="402"/>
      <c r="BP334" s="402"/>
      <c r="BQ334" s="401"/>
      <c r="BR334" s="403"/>
      <c r="BS334" s="403"/>
      <c r="BT334" s="403"/>
      <c r="BU334" s="403"/>
      <c r="BV334" s="403"/>
      <c r="BW334" s="403"/>
      <c r="BX334" s="403"/>
      <c r="BY334" s="403"/>
      <c r="BZ334" s="401">
        <f t="shared" ref="BZ334:CB336" si="138">R334+U334+X334+AA334+AD334+AG334+AJ334+AM334+AP334+AS334+AV334+AY334+BB334+BE334+BH334+BK334+BN334+BQ334+BT334+BW334</f>
        <v>44000000</v>
      </c>
      <c r="CA334" s="401">
        <f t="shared" si="138"/>
        <v>43025667</v>
      </c>
      <c r="CB334" s="401">
        <f t="shared" si="138"/>
        <v>30115000</v>
      </c>
    </row>
    <row r="335" spans="1:80" ht="127.5" customHeight="1" x14ac:dyDescent="0.2">
      <c r="A335" s="42"/>
      <c r="B335" s="42"/>
      <c r="C335" s="713" t="s">
        <v>1089</v>
      </c>
      <c r="D335" s="707" t="s">
        <v>1088</v>
      </c>
      <c r="E335" s="57" t="s">
        <v>417</v>
      </c>
      <c r="F335" s="57" t="s">
        <v>418</v>
      </c>
      <c r="G335" s="92"/>
      <c r="H335" s="57">
        <v>36</v>
      </c>
      <c r="I335" s="729" t="s">
        <v>451</v>
      </c>
      <c r="J335" s="57">
        <v>0</v>
      </c>
      <c r="K335" s="107">
        <v>1</v>
      </c>
      <c r="L335" s="107">
        <v>1</v>
      </c>
      <c r="M335" s="885"/>
      <c r="N335" s="883"/>
      <c r="O335" s="883"/>
      <c r="P335" s="891"/>
      <c r="Q335" s="57" t="s">
        <v>67</v>
      </c>
      <c r="R335" s="401">
        <v>0</v>
      </c>
      <c r="S335" s="401"/>
      <c r="T335" s="401"/>
      <c r="U335" s="401">
        <v>0</v>
      </c>
      <c r="V335" s="401"/>
      <c r="W335" s="401"/>
      <c r="X335" s="401">
        <v>0</v>
      </c>
      <c r="Y335" s="401"/>
      <c r="Z335" s="401"/>
      <c r="AA335" s="401">
        <v>0</v>
      </c>
      <c r="AB335" s="401"/>
      <c r="AC335" s="401"/>
      <c r="AD335" s="401">
        <v>0</v>
      </c>
      <c r="AE335" s="401"/>
      <c r="AF335" s="401"/>
      <c r="AG335" s="401">
        <v>0</v>
      </c>
      <c r="AH335" s="401"/>
      <c r="AI335" s="401"/>
      <c r="AJ335" s="401">
        <v>0</v>
      </c>
      <c r="AK335" s="401"/>
      <c r="AL335" s="401"/>
      <c r="AM335" s="401"/>
      <c r="AN335" s="401"/>
      <c r="AO335" s="401"/>
      <c r="AP335" s="401"/>
      <c r="AQ335" s="401"/>
      <c r="AR335" s="401"/>
      <c r="AS335" s="401">
        <v>0</v>
      </c>
      <c r="AT335" s="401"/>
      <c r="AU335" s="401"/>
      <c r="AV335" s="401">
        <v>0</v>
      </c>
      <c r="AW335" s="401"/>
      <c r="AX335" s="401"/>
      <c r="AY335" s="401"/>
      <c r="AZ335" s="401"/>
      <c r="BA335" s="401"/>
      <c r="BB335" s="401"/>
      <c r="BC335" s="401"/>
      <c r="BD335" s="401"/>
      <c r="BE335" s="401">
        <v>0</v>
      </c>
      <c r="BF335" s="401"/>
      <c r="BG335" s="401"/>
      <c r="BH335" s="401">
        <v>0</v>
      </c>
      <c r="BI335" s="401"/>
      <c r="BJ335" s="401"/>
      <c r="BK335" s="402">
        <f>19000000+10000000</f>
        <v>29000000</v>
      </c>
      <c r="BL335" s="402">
        <v>27350000</v>
      </c>
      <c r="BM335" s="402">
        <v>9510000</v>
      </c>
      <c r="BN335" s="402"/>
      <c r="BO335" s="402"/>
      <c r="BP335" s="402"/>
      <c r="BQ335" s="401">
        <v>0</v>
      </c>
      <c r="BR335" s="403"/>
      <c r="BS335" s="403"/>
      <c r="BT335" s="403"/>
      <c r="BU335" s="403"/>
      <c r="BV335" s="403"/>
      <c r="BW335" s="403"/>
      <c r="BX335" s="403"/>
      <c r="BY335" s="403"/>
      <c r="BZ335" s="401">
        <f t="shared" si="138"/>
        <v>29000000</v>
      </c>
      <c r="CA335" s="401">
        <f t="shared" si="138"/>
        <v>27350000</v>
      </c>
      <c r="CB335" s="401">
        <f t="shared" si="138"/>
        <v>9510000</v>
      </c>
    </row>
    <row r="336" spans="1:80" ht="127.5" customHeight="1" x14ac:dyDescent="0.2">
      <c r="A336" s="42"/>
      <c r="B336" s="42"/>
      <c r="C336" s="713" t="s">
        <v>1089</v>
      </c>
      <c r="D336" s="707" t="s">
        <v>1088</v>
      </c>
      <c r="E336" s="713" t="s">
        <v>417</v>
      </c>
      <c r="F336" s="713" t="s">
        <v>418</v>
      </c>
      <c r="G336" s="92"/>
      <c r="H336" s="57">
        <v>37</v>
      </c>
      <c r="I336" s="729" t="s">
        <v>452</v>
      </c>
      <c r="J336" s="57">
        <v>0</v>
      </c>
      <c r="K336" s="107">
        <v>1</v>
      </c>
      <c r="L336" s="107">
        <v>1</v>
      </c>
      <c r="M336" s="886"/>
      <c r="N336" s="898"/>
      <c r="O336" s="898"/>
      <c r="P336" s="892"/>
      <c r="Q336" s="57" t="s">
        <v>52</v>
      </c>
      <c r="R336" s="401"/>
      <c r="S336" s="401"/>
      <c r="T336" s="401"/>
      <c r="U336" s="401"/>
      <c r="V336" s="401"/>
      <c r="W336" s="401"/>
      <c r="X336" s="401"/>
      <c r="Y336" s="401"/>
      <c r="Z336" s="401"/>
      <c r="AA336" s="401"/>
      <c r="AB336" s="401"/>
      <c r="AC336" s="401"/>
      <c r="AD336" s="401"/>
      <c r="AE336" s="401"/>
      <c r="AF336" s="401"/>
      <c r="AG336" s="401"/>
      <c r="AH336" s="401"/>
      <c r="AI336" s="401"/>
      <c r="AJ336" s="401"/>
      <c r="AK336" s="401"/>
      <c r="AL336" s="401"/>
      <c r="AM336" s="401"/>
      <c r="AN336" s="401"/>
      <c r="AO336" s="401"/>
      <c r="AP336" s="401"/>
      <c r="AQ336" s="401"/>
      <c r="AR336" s="401"/>
      <c r="AS336" s="401"/>
      <c r="AT336" s="401"/>
      <c r="AU336" s="401"/>
      <c r="AV336" s="401"/>
      <c r="AW336" s="401"/>
      <c r="AX336" s="401"/>
      <c r="AY336" s="401"/>
      <c r="AZ336" s="401"/>
      <c r="BA336" s="401"/>
      <c r="BB336" s="401"/>
      <c r="BC336" s="401"/>
      <c r="BD336" s="401"/>
      <c r="BE336" s="401"/>
      <c r="BF336" s="401"/>
      <c r="BG336" s="401"/>
      <c r="BH336" s="401"/>
      <c r="BI336" s="401"/>
      <c r="BJ336" s="401"/>
      <c r="BK336" s="401">
        <f>15000000+37000000</f>
        <v>52000000</v>
      </c>
      <c r="BL336" s="401">
        <v>46400000</v>
      </c>
      <c r="BM336" s="401">
        <v>32860000</v>
      </c>
      <c r="BN336" s="401"/>
      <c r="BO336" s="401"/>
      <c r="BP336" s="401"/>
      <c r="BQ336" s="401"/>
      <c r="BR336" s="403"/>
      <c r="BS336" s="403"/>
      <c r="BT336" s="403"/>
      <c r="BU336" s="403"/>
      <c r="BV336" s="403"/>
      <c r="BW336" s="403"/>
      <c r="BX336" s="403"/>
      <c r="BY336" s="403"/>
      <c r="BZ336" s="401">
        <f t="shared" si="138"/>
        <v>52000000</v>
      </c>
      <c r="CA336" s="401">
        <f t="shared" si="138"/>
        <v>46400000</v>
      </c>
      <c r="CB336" s="401">
        <f t="shared" si="138"/>
        <v>32860000</v>
      </c>
    </row>
    <row r="337" spans="1:80" ht="30" customHeight="1" x14ac:dyDescent="0.2">
      <c r="A337" s="42"/>
      <c r="B337" s="55"/>
      <c r="C337" s="57"/>
      <c r="D337" s="729"/>
      <c r="E337" s="57"/>
      <c r="F337" s="57"/>
      <c r="G337" s="58"/>
      <c r="H337" s="59"/>
      <c r="I337" s="58"/>
      <c r="J337" s="59"/>
      <c r="K337" s="253"/>
      <c r="L337" s="253"/>
      <c r="M337" s="253"/>
      <c r="N337" s="59"/>
      <c r="O337" s="59"/>
      <c r="P337" s="58"/>
      <c r="Q337" s="59"/>
      <c r="R337" s="410">
        <f t="shared" ref="R337:BY337" si="139">SUM(R334:R336)</f>
        <v>0</v>
      </c>
      <c r="S337" s="410">
        <f t="shared" si="139"/>
        <v>0</v>
      </c>
      <c r="T337" s="410">
        <f t="shared" si="139"/>
        <v>0</v>
      </c>
      <c r="U337" s="410">
        <f t="shared" si="139"/>
        <v>0</v>
      </c>
      <c r="V337" s="410">
        <f t="shared" si="139"/>
        <v>0</v>
      </c>
      <c r="W337" s="410">
        <f t="shared" si="139"/>
        <v>0</v>
      </c>
      <c r="X337" s="410">
        <f t="shared" si="139"/>
        <v>0</v>
      </c>
      <c r="Y337" s="410">
        <f t="shared" si="139"/>
        <v>0</v>
      </c>
      <c r="Z337" s="410">
        <f t="shared" si="139"/>
        <v>0</v>
      </c>
      <c r="AA337" s="410">
        <f t="shared" si="139"/>
        <v>0</v>
      </c>
      <c r="AB337" s="410">
        <f t="shared" si="139"/>
        <v>0</v>
      </c>
      <c r="AC337" s="410">
        <f t="shared" si="139"/>
        <v>0</v>
      </c>
      <c r="AD337" s="410">
        <f t="shared" si="139"/>
        <v>0</v>
      </c>
      <c r="AE337" s="410">
        <f t="shared" si="139"/>
        <v>0</v>
      </c>
      <c r="AF337" s="410">
        <f t="shared" si="139"/>
        <v>0</v>
      </c>
      <c r="AG337" s="410">
        <f t="shared" si="139"/>
        <v>0</v>
      </c>
      <c r="AH337" s="410">
        <f t="shared" si="139"/>
        <v>0</v>
      </c>
      <c r="AI337" s="410">
        <f t="shared" si="139"/>
        <v>0</v>
      </c>
      <c r="AJ337" s="410">
        <f t="shared" si="139"/>
        <v>0</v>
      </c>
      <c r="AK337" s="410">
        <f t="shared" si="139"/>
        <v>0</v>
      </c>
      <c r="AL337" s="410">
        <f t="shared" si="139"/>
        <v>0</v>
      </c>
      <c r="AM337" s="410">
        <f t="shared" si="139"/>
        <v>0</v>
      </c>
      <c r="AN337" s="410">
        <f t="shared" si="139"/>
        <v>0</v>
      </c>
      <c r="AO337" s="410">
        <f t="shared" si="139"/>
        <v>0</v>
      </c>
      <c r="AP337" s="410">
        <f t="shared" si="139"/>
        <v>0</v>
      </c>
      <c r="AQ337" s="410">
        <f t="shared" si="139"/>
        <v>0</v>
      </c>
      <c r="AR337" s="410">
        <f t="shared" si="139"/>
        <v>0</v>
      </c>
      <c r="AS337" s="410">
        <f t="shared" si="139"/>
        <v>0</v>
      </c>
      <c r="AT337" s="410">
        <f t="shared" si="139"/>
        <v>0</v>
      </c>
      <c r="AU337" s="410">
        <f t="shared" si="139"/>
        <v>0</v>
      </c>
      <c r="AV337" s="410">
        <f t="shared" si="139"/>
        <v>0</v>
      </c>
      <c r="AW337" s="410">
        <f t="shared" si="139"/>
        <v>0</v>
      </c>
      <c r="AX337" s="410">
        <f t="shared" si="139"/>
        <v>0</v>
      </c>
      <c r="AY337" s="410">
        <f t="shared" si="139"/>
        <v>0</v>
      </c>
      <c r="AZ337" s="410">
        <f t="shared" si="139"/>
        <v>0</v>
      </c>
      <c r="BA337" s="410">
        <f t="shared" si="139"/>
        <v>0</v>
      </c>
      <c r="BB337" s="410">
        <f t="shared" si="139"/>
        <v>0</v>
      </c>
      <c r="BC337" s="410">
        <f t="shared" si="139"/>
        <v>0</v>
      </c>
      <c r="BD337" s="410">
        <f t="shared" si="139"/>
        <v>0</v>
      </c>
      <c r="BE337" s="410">
        <f t="shared" si="139"/>
        <v>0</v>
      </c>
      <c r="BF337" s="410">
        <f t="shared" si="139"/>
        <v>0</v>
      </c>
      <c r="BG337" s="410">
        <f t="shared" si="139"/>
        <v>0</v>
      </c>
      <c r="BH337" s="410">
        <f t="shared" si="139"/>
        <v>0</v>
      </c>
      <c r="BI337" s="410">
        <f t="shared" si="139"/>
        <v>0</v>
      </c>
      <c r="BJ337" s="410">
        <f t="shared" si="139"/>
        <v>0</v>
      </c>
      <c r="BK337" s="410">
        <f t="shared" si="139"/>
        <v>125000000</v>
      </c>
      <c r="BL337" s="410">
        <f t="shared" si="139"/>
        <v>116775667</v>
      </c>
      <c r="BM337" s="410">
        <f t="shared" si="139"/>
        <v>72485000</v>
      </c>
      <c r="BN337" s="410">
        <f t="shared" si="139"/>
        <v>0</v>
      </c>
      <c r="BO337" s="410">
        <f t="shared" si="139"/>
        <v>0</v>
      </c>
      <c r="BP337" s="410">
        <f t="shared" si="139"/>
        <v>0</v>
      </c>
      <c r="BQ337" s="410">
        <f t="shared" si="139"/>
        <v>0</v>
      </c>
      <c r="BR337" s="410">
        <f t="shared" si="139"/>
        <v>0</v>
      </c>
      <c r="BS337" s="410">
        <f t="shared" si="139"/>
        <v>0</v>
      </c>
      <c r="BT337" s="410">
        <f t="shared" si="139"/>
        <v>0</v>
      </c>
      <c r="BU337" s="410">
        <f t="shared" si="139"/>
        <v>0</v>
      </c>
      <c r="BV337" s="410">
        <f t="shared" si="139"/>
        <v>0</v>
      </c>
      <c r="BW337" s="410">
        <f t="shared" si="139"/>
        <v>0</v>
      </c>
      <c r="BX337" s="410">
        <f t="shared" si="139"/>
        <v>0</v>
      </c>
      <c r="BY337" s="410">
        <f t="shared" si="139"/>
        <v>0</v>
      </c>
      <c r="BZ337" s="410">
        <f t="shared" ref="BZ337:CB337" si="140">SUM(BZ334:BZ336)</f>
        <v>125000000</v>
      </c>
      <c r="CA337" s="410">
        <f t="shared" si="140"/>
        <v>116775667</v>
      </c>
      <c r="CB337" s="410">
        <f t="shared" si="140"/>
        <v>72485000</v>
      </c>
    </row>
    <row r="338" spans="1:80" ht="30" customHeight="1" x14ac:dyDescent="0.2">
      <c r="A338" s="42"/>
      <c r="B338" s="258"/>
      <c r="C338" s="99"/>
      <c r="D338" s="98"/>
      <c r="E338" s="99"/>
      <c r="F338" s="99" t="s">
        <v>453</v>
      </c>
      <c r="G338" s="98"/>
      <c r="H338" s="99"/>
      <c r="I338" s="98"/>
      <c r="J338" s="99"/>
      <c r="K338" s="259"/>
      <c r="L338" s="259"/>
      <c r="M338" s="259"/>
      <c r="N338" s="99"/>
      <c r="O338" s="99"/>
      <c r="P338" s="98"/>
      <c r="Q338" s="99"/>
      <c r="R338" s="470">
        <f t="shared" ref="R338:CB338" si="141">R337+R331+R324+R315</f>
        <v>0</v>
      </c>
      <c r="S338" s="470">
        <f t="shared" si="141"/>
        <v>0</v>
      </c>
      <c r="T338" s="470">
        <f t="shared" si="141"/>
        <v>0</v>
      </c>
      <c r="U338" s="470">
        <f t="shared" si="141"/>
        <v>0</v>
      </c>
      <c r="V338" s="470">
        <f t="shared" si="141"/>
        <v>0</v>
      </c>
      <c r="W338" s="470">
        <f t="shared" si="141"/>
        <v>0</v>
      </c>
      <c r="X338" s="470">
        <f t="shared" si="141"/>
        <v>0</v>
      </c>
      <c r="Y338" s="470">
        <f t="shared" si="141"/>
        <v>0</v>
      </c>
      <c r="Z338" s="470">
        <f t="shared" si="141"/>
        <v>0</v>
      </c>
      <c r="AA338" s="470">
        <f t="shared" si="141"/>
        <v>0</v>
      </c>
      <c r="AB338" s="470">
        <f t="shared" si="141"/>
        <v>0</v>
      </c>
      <c r="AC338" s="470">
        <f t="shared" si="141"/>
        <v>0</v>
      </c>
      <c r="AD338" s="470">
        <f t="shared" si="141"/>
        <v>0</v>
      </c>
      <c r="AE338" s="470">
        <f t="shared" si="141"/>
        <v>0</v>
      </c>
      <c r="AF338" s="470">
        <f t="shared" si="141"/>
        <v>0</v>
      </c>
      <c r="AG338" s="470">
        <f t="shared" si="141"/>
        <v>0</v>
      </c>
      <c r="AH338" s="470">
        <f t="shared" si="141"/>
        <v>0</v>
      </c>
      <c r="AI338" s="470">
        <f t="shared" si="141"/>
        <v>0</v>
      </c>
      <c r="AJ338" s="470">
        <f t="shared" si="141"/>
        <v>0</v>
      </c>
      <c r="AK338" s="470">
        <f t="shared" si="141"/>
        <v>0</v>
      </c>
      <c r="AL338" s="470">
        <f t="shared" si="141"/>
        <v>0</v>
      </c>
      <c r="AM338" s="470">
        <f t="shared" si="141"/>
        <v>0</v>
      </c>
      <c r="AN338" s="470">
        <f t="shared" si="141"/>
        <v>0</v>
      </c>
      <c r="AO338" s="470">
        <f t="shared" si="141"/>
        <v>0</v>
      </c>
      <c r="AP338" s="470">
        <f t="shared" si="141"/>
        <v>0</v>
      </c>
      <c r="AQ338" s="470">
        <f t="shared" si="141"/>
        <v>0</v>
      </c>
      <c r="AR338" s="470">
        <f t="shared" si="141"/>
        <v>0</v>
      </c>
      <c r="AS338" s="470">
        <f t="shared" si="141"/>
        <v>0</v>
      </c>
      <c r="AT338" s="470">
        <f t="shared" si="141"/>
        <v>0</v>
      </c>
      <c r="AU338" s="470">
        <f t="shared" si="141"/>
        <v>0</v>
      </c>
      <c r="AV338" s="470">
        <f t="shared" si="141"/>
        <v>0</v>
      </c>
      <c r="AW338" s="470">
        <f t="shared" si="141"/>
        <v>0</v>
      </c>
      <c r="AX338" s="470">
        <f t="shared" si="141"/>
        <v>0</v>
      </c>
      <c r="AY338" s="470">
        <f t="shared" si="141"/>
        <v>0</v>
      </c>
      <c r="AZ338" s="470">
        <f t="shared" si="141"/>
        <v>0</v>
      </c>
      <c r="BA338" s="470">
        <f t="shared" si="141"/>
        <v>0</v>
      </c>
      <c r="BB338" s="470">
        <f t="shared" si="141"/>
        <v>0</v>
      </c>
      <c r="BC338" s="470">
        <f t="shared" si="141"/>
        <v>0</v>
      </c>
      <c r="BD338" s="470">
        <f t="shared" si="141"/>
        <v>0</v>
      </c>
      <c r="BE338" s="470">
        <f t="shared" si="141"/>
        <v>0</v>
      </c>
      <c r="BF338" s="470">
        <f t="shared" si="141"/>
        <v>0</v>
      </c>
      <c r="BG338" s="470">
        <f t="shared" si="141"/>
        <v>0</v>
      </c>
      <c r="BH338" s="470">
        <f t="shared" si="141"/>
        <v>0</v>
      </c>
      <c r="BI338" s="470">
        <f t="shared" si="141"/>
        <v>0</v>
      </c>
      <c r="BJ338" s="470">
        <f t="shared" si="141"/>
        <v>0</v>
      </c>
      <c r="BK338" s="470">
        <f t="shared" si="141"/>
        <v>1112000000</v>
      </c>
      <c r="BL338" s="470">
        <f t="shared" si="141"/>
        <v>948222207</v>
      </c>
      <c r="BM338" s="470">
        <f t="shared" si="141"/>
        <v>629231000</v>
      </c>
      <c r="BN338" s="470">
        <f t="shared" si="141"/>
        <v>0</v>
      </c>
      <c r="BO338" s="470">
        <f t="shared" si="141"/>
        <v>0</v>
      </c>
      <c r="BP338" s="470">
        <f t="shared" si="141"/>
        <v>0</v>
      </c>
      <c r="BQ338" s="470">
        <f t="shared" si="141"/>
        <v>0</v>
      </c>
      <c r="BR338" s="470">
        <f t="shared" si="141"/>
        <v>0</v>
      </c>
      <c r="BS338" s="470">
        <f t="shared" si="141"/>
        <v>0</v>
      </c>
      <c r="BT338" s="470">
        <f t="shared" si="141"/>
        <v>0</v>
      </c>
      <c r="BU338" s="470">
        <f t="shared" si="141"/>
        <v>0</v>
      </c>
      <c r="BV338" s="470">
        <f t="shared" si="141"/>
        <v>0</v>
      </c>
      <c r="BW338" s="470">
        <f t="shared" si="141"/>
        <v>0</v>
      </c>
      <c r="BX338" s="470">
        <f t="shared" si="141"/>
        <v>0</v>
      </c>
      <c r="BY338" s="470">
        <f t="shared" si="141"/>
        <v>0</v>
      </c>
      <c r="BZ338" s="470">
        <f t="shared" si="141"/>
        <v>1112000000</v>
      </c>
      <c r="CA338" s="470">
        <f t="shared" si="141"/>
        <v>948222207</v>
      </c>
      <c r="CB338" s="470">
        <f t="shared" si="141"/>
        <v>629231000</v>
      </c>
    </row>
    <row r="339" spans="1:80" s="698" customFormat="1" ht="30" customHeight="1" x14ac:dyDescent="0.25">
      <c r="A339" s="776"/>
      <c r="B339" s="777"/>
      <c r="C339" s="778"/>
      <c r="D339" s="777"/>
      <c r="E339" s="778"/>
      <c r="F339" s="778"/>
      <c r="G339" s="777"/>
      <c r="H339" s="66"/>
      <c r="I339" s="65"/>
      <c r="J339" s="66"/>
      <c r="K339" s="254"/>
      <c r="L339" s="254"/>
      <c r="M339" s="254"/>
      <c r="N339" s="66"/>
      <c r="O339" s="66"/>
      <c r="P339" s="65"/>
      <c r="Q339" s="66"/>
      <c r="R339" s="422">
        <f t="shared" ref="R339:CB339" si="142">R338</f>
        <v>0</v>
      </c>
      <c r="S339" s="422">
        <f t="shared" si="142"/>
        <v>0</v>
      </c>
      <c r="T339" s="422">
        <f t="shared" si="142"/>
        <v>0</v>
      </c>
      <c r="U339" s="422">
        <f t="shared" si="142"/>
        <v>0</v>
      </c>
      <c r="V339" s="422">
        <f t="shared" si="142"/>
        <v>0</v>
      </c>
      <c r="W339" s="422">
        <f t="shared" si="142"/>
        <v>0</v>
      </c>
      <c r="X339" s="422">
        <f t="shared" si="142"/>
        <v>0</v>
      </c>
      <c r="Y339" s="422">
        <f t="shared" si="142"/>
        <v>0</v>
      </c>
      <c r="Z339" s="422">
        <f t="shared" si="142"/>
        <v>0</v>
      </c>
      <c r="AA339" s="422">
        <f t="shared" si="142"/>
        <v>0</v>
      </c>
      <c r="AB339" s="422">
        <f t="shared" si="142"/>
        <v>0</v>
      </c>
      <c r="AC339" s="422">
        <f t="shared" si="142"/>
        <v>0</v>
      </c>
      <c r="AD339" s="422">
        <f t="shared" si="142"/>
        <v>0</v>
      </c>
      <c r="AE339" s="422">
        <f t="shared" si="142"/>
        <v>0</v>
      </c>
      <c r="AF339" s="422">
        <f t="shared" si="142"/>
        <v>0</v>
      </c>
      <c r="AG339" s="422">
        <f t="shared" si="142"/>
        <v>0</v>
      </c>
      <c r="AH339" s="422">
        <f t="shared" si="142"/>
        <v>0</v>
      </c>
      <c r="AI339" s="422">
        <f t="shared" si="142"/>
        <v>0</v>
      </c>
      <c r="AJ339" s="422">
        <f t="shared" si="142"/>
        <v>0</v>
      </c>
      <c r="AK339" s="422">
        <f t="shared" si="142"/>
        <v>0</v>
      </c>
      <c r="AL339" s="422">
        <f t="shared" si="142"/>
        <v>0</v>
      </c>
      <c r="AM339" s="422">
        <f t="shared" si="142"/>
        <v>0</v>
      </c>
      <c r="AN339" s="422">
        <f t="shared" si="142"/>
        <v>0</v>
      </c>
      <c r="AO339" s="422">
        <f t="shared" si="142"/>
        <v>0</v>
      </c>
      <c r="AP339" s="422">
        <f t="shared" si="142"/>
        <v>0</v>
      </c>
      <c r="AQ339" s="422">
        <f t="shared" si="142"/>
        <v>0</v>
      </c>
      <c r="AR339" s="422">
        <f t="shared" si="142"/>
        <v>0</v>
      </c>
      <c r="AS339" s="422">
        <f t="shared" si="142"/>
        <v>0</v>
      </c>
      <c r="AT339" s="422">
        <f t="shared" si="142"/>
        <v>0</v>
      </c>
      <c r="AU339" s="422">
        <f t="shared" si="142"/>
        <v>0</v>
      </c>
      <c r="AV339" s="422">
        <f t="shared" si="142"/>
        <v>0</v>
      </c>
      <c r="AW339" s="422">
        <f t="shared" si="142"/>
        <v>0</v>
      </c>
      <c r="AX339" s="422">
        <f t="shared" si="142"/>
        <v>0</v>
      </c>
      <c r="AY339" s="422">
        <f t="shared" si="142"/>
        <v>0</v>
      </c>
      <c r="AZ339" s="422">
        <f t="shared" si="142"/>
        <v>0</v>
      </c>
      <c r="BA339" s="422">
        <f t="shared" si="142"/>
        <v>0</v>
      </c>
      <c r="BB339" s="422">
        <f t="shared" si="142"/>
        <v>0</v>
      </c>
      <c r="BC339" s="422">
        <f t="shared" si="142"/>
        <v>0</v>
      </c>
      <c r="BD339" s="422">
        <f t="shared" si="142"/>
        <v>0</v>
      </c>
      <c r="BE339" s="422">
        <f t="shared" si="142"/>
        <v>0</v>
      </c>
      <c r="BF339" s="422">
        <f t="shared" si="142"/>
        <v>0</v>
      </c>
      <c r="BG339" s="422">
        <f t="shared" si="142"/>
        <v>0</v>
      </c>
      <c r="BH339" s="422">
        <f t="shared" si="142"/>
        <v>0</v>
      </c>
      <c r="BI339" s="422">
        <f t="shared" si="142"/>
        <v>0</v>
      </c>
      <c r="BJ339" s="422">
        <f t="shared" si="142"/>
        <v>0</v>
      </c>
      <c r="BK339" s="422">
        <f t="shared" si="142"/>
        <v>1112000000</v>
      </c>
      <c r="BL339" s="422">
        <f t="shared" si="142"/>
        <v>948222207</v>
      </c>
      <c r="BM339" s="422">
        <f t="shared" si="142"/>
        <v>629231000</v>
      </c>
      <c r="BN339" s="422">
        <f t="shared" si="142"/>
        <v>0</v>
      </c>
      <c r="BO339" s="422">
        <f t="shared" si="142"/>
        <v>0</v>
      </c>
      <c r="BP339" s="422">
        <f t="shared" si="142"/>
        <v>0</v>
      </c>
      <c r="BQ339" s="422">
        <f t="shared" si="142"/>
        <v>0</v>
      </c>
      <c r="BR339" s="422">
        <f t="shared" si="142"/>
        <v>0</v>
      </c>
      <c r="BS339" s="422">
        <f t="shared" si="142"/>
        <v>0</v>
      </c>
      <c r="BT339" s="422">
        <f t="shared" si="142"/>
        <v>0</v>
      </c>
      <c r="BU339" s="422">
        <f t="shared" si="142"/>
        <v>0</v>
      </c>
      <c r="BV339" s="422">
        <f t="shared" si="142"/>
        <v>0</v>
      </c>
      <c r="BW339" s="422">
        <f t="shared" si="142"/>
        <v>0</v>
      </c>
      <c r="BX339" s="422">
        <f t="shared" si="142"/>
        <v>0</v>
      </c>
      <c r="BY339" s="422">
        <f t="shared" si="142"/>
        <v>0</v>
      </c>
      <c r="BZ339" s="422">
        <f t="shared" si="142"/>
        <v>1112000000</v>
      </c>
      <c r="CA339" s="422">
        <f t="shared" si="142"/>
        <v>948222207</v>
      </c>
      <c r="CB339" s="422">
        <f t="shared" si="142"/>
        <v>629231000</v>
      </c>
    </row>
    <row r="340" spans="1:80" s="2" customFormat="1" ht="30" customHeight="1" x14ac:dyDescent="0.25">
      <c r="A340" s="800"/>
      <c r="B340" s="280"/>
      <c r="C340" s="192"/>
      <c r="D340" s="280"/>
      <c r="E340" s="192"/>
      <c r="F340" s="192"/>
      <c r="G340" s="280"/>
      <c r="H340" s="192"/>
      <c r="I340" s="280"/>
      <c r="J340" s="192"/>
      <c r="K340" s="756"/>
      <c r="L340" s="756"/>
      <c r="M340" s="756"/>
      <c r="N340" s="192"/>
      <c r="O340" s="747"/>
      <c r="P340" s="748"/>
      <c r="Q340" s="192"/>
      <c r="R340" s="442"/>
      <c r="S340" s="442"/>
      <c r="T340" s="442"/>
      <c r="U340" s="494"/>
      <c r="V340" s="494"/>
      <c r="W340" s="494"/>
      <c r="X340" s="442"/>
      <c r="Y340" s="442"/>
      <c r="Z340" s="442"/>
      <c r="AA340" s="442"/>
      <c r="AB340" s="442"/>
      <c r="AC340" s="442"/>
      <c r="AD340" s="442"/>
      <c r="AE340" s="442"/>
      <c r="AF340" s="442"/>
      <c r="AG340" s="442"/>
      <c r="AH340" s="442"/>
      <c r="AI340" s="442"/>
      <c r="AJ340" s="442"/>
      <c r="AK340" s="442"/>
      <c r="AL340" s="442"/>
      <c r="AM340" s="442"/>
      <c r="AN340" s="442"/>
      <c r="AO340" s="442"/>
      <c r="AP340" s="442"/>
      <c r="AQ340" s="442"/>
      <c r="AR340" s="442"/>
      <c r="AS340" s="442"/>
      <c r="AT340" s="442"/>
      <c r="AU340" s="442"/>
      <c r="AV340" s="442"/>
      <c r="AW340" s="442"/>
      <c r="AX340" s="442"/>
      <c r="AY340" s="442"/>
      <c r="AZ340" s="442"/>
      <c r="BA340" s="442"/>
      <c r="BB340" s="442"/>
      <c r="BC340" s="442"/>
      <c r="BD340" s="442"/>
      <c r="BE340" s="442"/>
      <c r="BF340" s="442"/>
      <c r="BG340" s="442"/>
      <c r="BH340" s="442"/>
      <c r="BI340" s="442"/>
      <c r="BJ340" s="442"/>
      <c r="BK340" s="443"/>
      <c r="BL340" s="443"/>
      <c r="BM340" s="443"/>
      <c r="BN340" s="442"/>
      <c r="BO340" s="442"/>
      <c r="BP340" s="442"/>
      <c r="BQ340" s="442"/>
      <c r="BR340" s="442"/>
      <c r="BS340" s="442"/>
      <c r="BT340" s="442"/>
      <c r="BU340" s="442"/>
      <c r="BV340" s="442"/>
      <c r="BW340" s="494"/>
      <c r="BX340" s="494"/>
      <c r="BY340" s="494"/>
      <c r="BZ340" s="442"/>
      <c r="CA340" s="442"/>
      <c r="CB340" s="495"/>
    </row>
    <row r="341" spans="1:80" s="2" customFormat="1" ht="30" customHeight="1" x14ac:dyDescent="0.25">
      <c r="A341" s="787">
        <v>3</v>
      </c>
      <c r="B341" s="34" t="s">
        <v>454</v>
      </c>
      <c r="C341" s="35"/>
      <c r="D341" s="34"/>
      <c r="E341" s="34"/>
      <c r="F341" s="34"/>
      <c r="G341" s="34"/>
      <c r="H341" s="35"/>
      <c r="I341" s="34"/>
      <c r="J341" s="34"/>
      <c r="K341" s="132"/>
      <c r="L341" s="132"/>
      <c r="M341" s="132"/>
      <c r="N341" s="35"/>
      <c r="O341" s="35"/>
      <c r="P341" s="34"/>
      <c r="Q341" s="34"/>
      <c r="R341" s="432"/>
      <c r="S341" s="432"/>
      <c r="T341" s="432"/>
      <c r="U341" s="432"/>
      <c r="V341" s="432"/>
      <c r="W341" s="432"/>
      <c r="X341" s="432"/>
      <c r="Y341" s="432"/>
      <c r="Z341" s="432"/>
      <c r="AA341" s="432"/>
      <c r="AB341" s="432"/>
      <c r="AC341" s="432"/>
      <c r="AD341" s="432"/>
      <c r="AE341" s="432"/>
      <c r="AF341" s="432"/>
      <c r="AG341" s="432"/>
      <c r="AH341" s="432"/>
      <c r="AI341" s="432"/>
      <c r="AJ341" s="432"/>
      <c r="AK341" s="432"/>
      <c r="AL341" s="432"/>
      <c r="AM341" s="432"/>
      <c r="AN341" s="432"/>
      <c r="AO341" s="432"/>
      <c r="AP341" s="432"/>
      <c r="AQ341" s="432"/>
      <c r="AR341" s="432"/>
      <c r="AS341" s="432"/>
      <c r="AT341" s="432"/>
      <c r="AU341" s="432"/>
      <c r="AV341" s="432"/>
      <c r="AW341" s="432"/>
      <c r="AX341" s="432"/>
      <c r="AY341" s="432"/>
      <c r="AZ341" s="432"/>
      <c r="BA341" s="432"/>
      <c r="BB341" s="432"/>
      <c r="BC341" s="432"/>
      <c r="BD341" s="432"/>
      <c r="BE341" s="432"/>
      <c r="BF341" s="432"/>
      <c r="BG341" s="432"/>
      <c r="BH341" s="432"/>
      <c r="BI341" s="432"/>
      <c r="BJ341" s="432"/>
      <c r="BK341" s="433"/>
      <c r="BL341" s="433"/>
      <c r="BM341" s="433"/>
      <c r="BN341" s="432"/>
      <c r="BO341" s="432"/>
      <c r="BP341" s="432"/>
      <c r="BQ341" s="432"/>
      <c r="BR341" s="432"/>
      <c r="BS341" s="432"/>
      <c r="BT341" s="432"/>
      <c r="BU341" s="432"/>
      <c r="BV341" s="432"/>
      <c r="BW341" s="432"/>
      <c r="BX341" s="432"/>
      <c r="BY341" s="432"/>
      <c r="BZ341" s="434"/>
      <c r="CA341" s="434"/>
      <c r="CB341" s="434"/>
    </row>
    <row r="342" spans="1:80" s="2" customFormat="1" ht="30" customHeight="1" x14ac:dyDescent="0.25">
      <c r="A342" s="76"/>
      <c r="B342" s="125">
        <v>11</v>
      </c>
      <c r="C342" s="40" t="s">
        <v>455</v>
      </c>
      <c r="D342" s="39"/>
      <c r="E342" s="39"/>
      <c r="F342" s="39"/>
      <c r="G342" s="39"/>
      <c r="H342" s="40"/>
      <c r="I342" s="39"/>
      <c r="J342" s="39"/>
      <c r="K342" s="90"/>
      <c r="L342" s="90"/>
      <c r="M342" s="90"/>
      <c r="N342" s="40"/>
      <c r="O342" s="40"/>
      <c r="P342" s="39"/>
      <c r="Q342" s="39"/>
      <c r="R342" s="412"/>
      <c r="S342" s="412"/>
      <c r="T342" s="412"/>
      <c r="U342" s="412"/>
      <c r="V342" s="412"/>
      <c r="W342" s="412"/>
      <c r="X342" s="412"/>
      <c r="Y342" s="412"/>
      <c r="Z342" s="412"/>
      <c r="AA342" s="412"/>
      <c r="AB342" s="412"/>
      <c r="AC342" s="412"/>
      <c r="AD342" s="412"/>
      <c r="AE342" s="412"/>
      <c r="AF342" s="412"/>
      <c r="AG342" s="412"/>
      <c r="AH342" s="412"/>
      <c r="AI342" s="412"/>
      <c r="AJ342" s="412"/>
      <c r="AK342" s="412"/>
      <c r="AL342" s="412"/>
      <c r="AM342" s="412"/>
      <c r="AN342" s="412"/>
      <c r="AO342" s="412"/>
      <c r="AP342" s="412"/>
      <c r="AQ342" s="412"/>
      <c r="AR342" s="412"/>
      <c r="AS342" s="412"/>
      <c r="AT342" s="412"/>
      <c r="AU342" s="412"/>
      <c r="AV342" s="412"/>
      <c r="AW342" s="412"/>
      <c r="AX342" s="412"/>
      <c r="AY342" s="412"/>
      <c r="AZ342" s="412"/>
      <c r="BA342" s="412"/>
      <c r="BB342" s="412"/>
      <c r="BC342" s="412"/>
      <c r="BD342" s="412"/>
      <c r="BE342" s="412"/>
      <c r="BF342" s="412"/>
      <c r="BG342" s="412"/>
      <c r="BH342" s="412"/>
      <c r="BI342" s="412"/>
      <c r="BJ342" s="412"/>
      <c r="BK342" s="413"/>
      <c r="BL342" s="413"/>
      <c r="BM342" s="413"/>
      <c r="BN342" s="412"/>
      <c r="BO342" s="412"/>
      <c r="BP342" s="412"/>
      <c r="BQ342" s="412"/>
      <c r="BR342" s="412"/>
      <c r="BS342" s="412"/>
      <c r="BT342" s="412"/>
      <c r="BU342" s="412"/>
      <c r="BV342" s="412"/>
      <c r="BW342" s="412"/>
      <c r="BX342" s="412"/>
      <c r="BY342" s="412"/>
      <c r="BZ342" s="417"/>
      <c r="CA342" s="417"/>
      <c r="CB342" s="417"/>
    </row>
    <row r="343" spans="1:80" s="2" customFormat="1" ht="30" customHeight="1" x14ac:dyDescent="0.25">
      <c r="A343" s="42"/>
      <c r="B343" s="159"/>
      <c r="C343" s="713"/>
      <c r="D343" s="707"/>
      <c r="E343" s="713"/>
      <c r="F343" s="713"/>
      <c r="G343" s="219">
        <v>34</v>
      </c>
      <c r="H343" s="79" t="s">
        <v>456</v>
      </c>
      <c r="I343" s="80"/>
      <c r="J343" s="80"/>
      <c r="K343" s="91"/>
      <c r="L343" s="91"/>
      <c r="M343" s="91"/>
      <c r="N343" s="173"/>
      <c r="O343" s="173"/>
      <c r="P343" s="80"/>
      <c r="Q343" s="80"/>
      <c r="R343" s="267"/>
      <c r="S343" s="267"/>
      <c r="T343" s="267"/>
      <c r="U343" s="267"/>
      <c r="V343" s="267"/>
      <c r="W343" s="267"/>
      <c r="X343" s="267"/>
      <c r="Y343" s="267"/>
      <c r="Z343" s="267"/>
      <c r="AA343" s="267"/>
      <c r="AB343" s="267"/>
      <c r="AC343" s="267"/>
      <c r="AD343" s="267"/>
      <c r="AE343" s="267"/>
      <c r="AF343" s="267"/>
      <c r="AG343" s="267"/>
      <c r="AH343" s="267"/>
      <c r="AI343" s="267"/>
      <c r="AJ343" s="267"/>
      <c r="AK343" s="267"/>
      <c r="AL343" s="267"/>
      <c r="AM343" s="267"/>
      <c r="AN343" s="267"/>
      <c r="AO343" s="267"/>
      <c r="AP343" s="267"/>
      <c r="AQ343" s="267"/>
      <c r="AR343" s="267"/>
      <c r="AS343" s="267"/>
      <c r="AT343" s="267"/>
      <c r="AU343" s="267"/>
      <c r="AV343" s="267"/>
      <c r="AW343" s="267"/>
      <c r="AX343" s="267"/>
      <c r="AY343" s="267"/>
      <c r="AZ343" s="267"/>
      <c r="BA343" s="267"/>
      <c r="BB343" s="267"/>
      <c r="BC343" s="267"/>
      <c r="BD343" s="267"/>
      <c r="BE343" s="267"/>
      <c r="BF343" s="267"/>
      <c r="BG343" s="267"/>
      <c r="BH343" s="267"/>
      <c r="BI343" s="267"/>
      <c r="BJ343" s="267"/>
      <c r="BK343" s="414"/>
      <c r="BL343" s="414"/>
      <c r="BM343" s="414"/>
      <c r="BN343" s="267"/>
      <c r="BO343" s="267"/>
      <c r="BP343" s="267"/>
      <c r="BQ343" s="267"/>
      <c r="BR343" s="267"/>
      <c r="BS343" s="267"/>
      <c r="BT343" s="267"/>
      <c r="BU343" s="267"/>
      <c r="BV343" s="267"/>
      <c r="BW343" s="267"/>
      <c r="BX343" s="267"/>
      <c r="BY343" s="267"/>
      <c r="BZ343" s="269"/>
      <c r="CA343" s="269"/>
      <c r="CB343" s="269"/>
    </row>
    <row r="344" spans="1:80" ht="71.25" customHeight="1" x14ac:dyDescent="0.2">
      <c r="A344" s="42"/>
      <c r="B344" s="205"/>
      <c r="C344" s="714">
        <v>23</v>
      </c>
      <c r="D344" s="709" t="s">
        <v>457</v>
      </c>
      <c r="E344" s="715">
        <v>0.92</v>
      </c>
      <c r="F344" s="715">
        <v>0.85</v>
      </c>
      <c r="G344" s="43"/>
      <c r="H344" s="57">
        <v>122</v>
      </c>
      <c r="I344" s="729" t="s">
        <v>458</v>
      </c>
      <c r="J344" s="57">
        <v>0</v>
      </c>
      <c r="K344" s="107">
        <v>1</v>
      </c>
      <c r="L344" s="107">
        <v>1</v>
      </c>
      <c r="M344" s="884">
        <v>2017003630071</v>
      </c>
      <c r="N344" s="895" t="s">
        <v>459</v>
      </c>
      <c r="O344" s="895" t="s">
        <v>460</v>
      </c>
      <c r="P344" s="890" t="s">
        <v>983</v>
      </c>
      <c r="Q344" s="137" t="s">
        <v>52</v>
      </c>
      <c r="R344" s="401">
        <v>0</v>
      </c>
      <c r="S344" s="401"/>
      <c r="T344" s="401"/>
      <c r="U344" s="401">
        <v>0</v>
      </c>
      <c r="V344" s="401"/>
      <c r="W344" s="401"/>
      <c r="X344" s="401">
        <v>0</v>
      </c>
      <c r="Y344" s="401"/>
      <c r="Z344" s="401"/>
      <c r="AA344" s="401">
        <v>0</v>
      </c>
      <c r="AB344" s="401"/>
      <c r="AC344" s="401"/>
      <c r="AD344" s="401">
        <v>0</v>
      </c>
      <c r="AE344" s="401"/>
      <c r="AF344" s="401"/>
      <c r="AG344" s="401">
        <v>0</v>
      </c>
      <c r="AH344" s="401"/>
      <c r="AI344" s="401"/>
      <c r="AJ344" s="401">
        <v>0</v>
      </c>
      <c r="AK344" s="401"/>
      <c r="AL344" s="401"/>
      <c r="AM344" s="401"/>
      <c r="AN344" s="401"/>
      <c r="AO344" s="401"/>
      <c r="AP344" s="401"/>
      <c r="AQ344" s="401"/>
      <c r="AR344" s="401"/>
      <c r="AS344" s="401">
        <v>0</v>
      </c>
      <c r="AT344" s="401"/>
      <c r="AU344" s="401"/>
      <c r="AV344" s="401">
        <v>0</v>
      </c>
      <c r="AW344" s="401"/>
      <c r="AX344" s="401"/>
      <c r="AY344" s="401"/>
      <c r="AZ344" s="401"/>
      <c r="BA344" s="401"/>
      <c r="BB344" s="401"/>
      <c r="BC344" s="401"/>
      <c r="BD344" s="401"/>
      <c r="BE344" s="401">
        <v>0</v>
      </c>
      <c r="BF344" s="401"/>
      <c r="BG344" s="401"/>
      <c r="BH344" s="401">
        <v>0</v>
      </c>
      <c r="BI344" s="401"/>
      <c r="BJ344" s="401"/>
      <c r="BK344" s="402">
        <f>6000000+20174667+70000000</f>
        <v>96174667</v>
      </c>
      <c r="BL344" s="402">
        <v>71028866</v>
      </c>
      <c r="BM344" s="402">
        <v>17800000</v>
      </c>
      <c r="BN344" s="402"/>
      <c r="BO344" s="402"/>
      <c r="BP344" s="402"/>
      <c r="BQ344" s="401">
        <v>0</v>
      </c>
      <c r="BR344" s="403"/>
      <c r="BS344" s="403"/>
      <c r="BT344" s="403"/>
      <c r="BU344" s="403"/>
      <c r="BV344" s="403"/>
      <c r="BW344" s="403"/>
      <c r="BX344" s="403"/>
      <c r="BY344" s="403"/>
      <c r="BZ344" s="401">
        <f t="shared" ref="BZ344:CB348" si="143">R344+U344+X344+AA344+AD344+AG344+AJ344+AM344+AP344+AS344+AV344+AY344+BB344+BE344+BH344+BK344+BN344+BQ344+BT344+BW344</f>
        <v>96174667</v>
      </c>
      <c r="CA344" s="401">
        <f t="shared" si="143"/>
        <v>71028866</v>
      </c>
      <c r="CB344" s="401">
        <f t="shared" si="143"/>
        <v>17800000</v>
      </c>
    </row>
    <row r="345" spans="1:80" ht="88.5" customHeight="1" x14ac:dyDescent="0.2">
      <c r="A345" s="42"/>
      <c r="B345" s="205"/>
      <c r="C345" s="57"/>
      <c r="D345" s="729"/>
      <c r="E345" s="256"/>
      <c r="F345" s="256"/>
      <c r="G345" s="49"/>
      <c r="H345" s="57">
        <v>123</v>
      </c>
      <c r="I345" s="729" t="s">
        <v>462</v>
      </c>
      <c r="J345" s="57" t="s">
        <v>43</v>
      </c>
      <c r="K345" s="107">
        <v>4</v>
      </c>
      <c r="L345" s="107">
        <v>8</v>
      </c>
      <c r="M345" s="885"/>
      <c r="N345" s="883"/>
      <c r="O345" s="883"/>
      <c r="P345" s="891"/>
      <c r="Q345" s="137" t="s">
        <v>52</v>
      </c>
      <c r="R345" s="440"/>
      <c r="S345" s="440"/>
      <c r="T345" s="440"/>
      <c r="U345" s="440"/>
      <c r="V345" s="440"/>
      <c r="W345" s="440"/>
      <c r="X345" s="440"/>
      <c r="Y345" s="440"/>
      <c r="Z345" s="440"/>
      <c r="AA345" s="440"/>
      <c r="AB345" s="440"/>
      <c r="AC345" s="440"/>
      <c r="AD345" s="440"/>
      <c r="AE345" s="440"/>
      <c r="AF345" s="440"/>
      <c r="AG345" s="440"/>
      <c r="AH345" s="440"/>
      <c r="AI345" s="440"/>
      <c r="AJ345" s="440"/>
      <c r="AK345" s="440"/>
      <c r="AL345" s="440"/>
      <c r="AM345" s="440"/>
      <c r="AN345" s="440"/>
      <c r="AO345" s="440"/>
      <c r="AP345" s="440"/>
      <c r="AQ345" s="440"/>
      <c r="AR345" s="440"/>
      <c r="AS345" s="440"/>
      <c r="AT345" s="440"/>
      <c r="AU345" s="440"/>
      <c r="AV345" s="440"/>
      <c r="AW345" s="440"/>
      <c r="AX345" s="440"/>
      <c r="AY345" s="440"/>
      <c r="AZ345" s="440"/>
      <c r="BA345" s="440"/>
      <c r="BB345" s="440"/>
      <c r="BC345" s="440"/>
      <c r="BD345" s="440"/>
      <c r="BE345" s="440"/>
      <c r="BF345" s="440"/>
      <c r="BG345" s="440"/>
      <c r="BH345" s="440"/>
      <c r="BI345" s="468"/>
      <c r="BJ345" s="468"/>
      <c r="BK345" s="404">
        <v>12000000</v>
      </c>
      <c r="BL345" s="469">
        <v>12000000</v>
      </c>
      <c r="BM345" s="469">
        <v>7000000</v>
      </c>
      <c r="BN345" s="469"/>
      <c r="BO345" s="469"/>
      <c r="BP345" s="469"/>
      <c r="BQ345" s="440"/>
      <c r="BR345" s="468"/>
      <c r="BS345" s="468"/>
      <c r="BT345" s="468"/>
      <c r="BU345" s="468"/>
      <c r="BV345" s="468"/>
      <c r="BW345" s="468"/>
      <c r="BX345" s="468"/>
      <c r="BY345" s="468"/>
      <c r="BZ345" s="401">
        <f t="shared" si="143"/>
        <v>12000000</v>
      </c>
      <c r="CA345" s="401">
        <f t="shared" si="143"/>
        <v>12000000</v>
      </c>
      <c r="CB345" s="401">
        <f t="shared" si="143"/>
        <v>7000000</v>
      </c>
    </row>
    <row r="346" spans="1:80" ht="71.25" customHeight="1" x14ac:dyDescent="0.2">
      <c r="A346" s="42"/>
      <c r="B346" s="205"/>
      <c r="C346" s="57"/>
      <c r="D346" s="729"/>
      <c r="E346" s="256"/>
      <c r="F346" s="256"/>
      <c r="G346" s="49"/>
      <c r="H346" s="57">
        <v>124</v>
      </c>
      <c r="I346" s="729" t="s">
        <v>463</v>
      </c>
      <c r="J346" s="57">
        <v>40</v>
      </c>
      <c r="K346" s="107">
        <v>200</v>
      </c>
      <c r="L346" s="108">
        <v>402</v>
      </c>
      <c r="M346" s="885"/>
      <c r="N346" s="883"/>
      <c r="O346" s="883"/>
      <c r="P346" s="891"/>
      <c r="Q346" s="137" t="s">
        <v>67</v>
      </c>
      <c r="R346" s="440"/>
      <c r="S346" s="440"/>
      <c r="T346" s="440"/>
      <c r="U346" s="440"/>
      <c r="V346" s="440"/>
      <c r="W346" s="440"/>
      <c r="X346" s="440"/>
      <c r="Y346" s="440"/>
      <c r="Z346" s="440"/>
      <c r="AA346" s="440"/>
      <c r="AB346" s="440"/>
      <c r="AC346" s="440"/>
      <c r="AD346" s="440"/>
      <c r="AE346" s="440"/>
      <c r="AF346" s="440"/>
      <c r="AG346" s="440"/>
      <c r="AH346" s="440"/>
      <c r="AI346" s="440"/>
      <c r="AJ346" s="440"/>
      <c r="AK346" s="440"/>
      <c r="AL346" s="440"/>
      <c r="AM346" s="440"/>
      <c r="AN346" s="440"/>
      <c r="AO346" s="440"/>
      <c r="AP346" s="440"/>
      <c r="AQ346" s="440"/>
      <c r="AR346" s="440"/>
      <c r="AS346" s="440"/>
      <c r="AT346" s="440"/>
      <c r="AU346" s="440"/>
      <c r="AV346" s="440"/>
      <c r="AW346" s="440"/>
      <c r="AX346" s="440"/>
      <c r="AY346" s="440"/>
      <c r="AZ346" s="440"/>
      <c r="BA346" s="440"/>
      <c r="BB346" s="440"/>
      <c r="BC346" s="440"/>
      <c r="BD346" s="440"/>
      <c r="BE346" s="440"/>
      <c r="BF346" s="440"/>
      <c r="BG346" s="440"/>
      <c r="BH346" s="440"/>
      <c r="BI346" s="468"/>
      <c r="BJ346" s="468"/>
      <c r="BK346" s="404">
        <f>12000000+16000000+30000000</f>
        <v>58000000</v>
      </c>
      <c r="BL346" s="469">
        <v>28844000</v>
      </c>
      <c r="BM346" s="469">
        <v>19640000</v>
      </c>
      <c r="BN346" s="469"/>
      <c r="BO346" s="469"/>
      <c r="BP346" s="469"/>
      <c r="BQ346" s="440"/>
      <c r="BR346" s="468"/>
      <c r="BS346" s="468"/>
      <c r="BT346" s="468"/>
      <c r="BU346" s="468"/>
      <c r="BV346" s="468"/>
      <c r="BW346" s="468"/>
      <c r="BX346" s="468"/>
      <c r="BY346" s="468"/>
      <c r="BZ346" s="401">
        <f t="shared" si="143"/>
        <v>58000000</v>
      </c>
      <c r="CA346" s="401">
        <f t="shared" si="143"/>
        <v>28844000</v>
      </c>
      <c r="CB346" s="401">
        <f t="shared" si="143"/>
        <v>19640000</v>
      </c>
    </row>
    <row r="347" spans="1:80" ht="71.25" customHeight="1" x14ac:dyDescent="0.2">
      <c r="A347" s="42"/>
      <c r="B347" s="205"/>
      <c r="C347" s="57"/>
      <c r="D347" s="729"/>
      <c r="E347" s="256"/>
      <c r="F347" s="256"/>
      <c r="G347" s="49"/>
      <c r="H347" s="57">
        <v>126</v>
      </c>
      <c r="I347" s="729" t="s">
        <v>464</v>
      </c>
      <c r="J347" s="57" t="s">
        <v>43</v>
      </c>
      <c r="K347" s="107">
        <f>1795+1531</f>
        <v>3326</v>
      </c>
      <c r="L347" s="107">
        <v>1066</v>
      </c>
      <c r="M347" s="885"/>
      <c r="N347" s="883"/>
      <c r="O347" s="883"/>
      <c r="P347" s="891"/>
      <c r="Q347" s="137" t="s">
        <v>52</v>
      </c>
      <c r="R347" s="440"/>
      <c r="S347" s="440"/>
      <c r="T347" s="440"/>
      <c r="U347" s="440"/>
      <c r="V347" s="440"/>
      <c r="W347" s="440"/>
      <c r="X347" s="440"/>
      <c r="Y347" s="440"/>
      <c r="Z347" s="440"/>
      <c r="AA347" s="440"/>
      <c r="AB347" s="440"/>
      <c r="AC347" s="440"/>
      <c r="AD347" s="440"/>
      <c r="AE347" s="440"/>
      <c r="AF347" s="440"/>
      <c r="AG347" s="440"/>
      <c r="AH347" s="440"/>
      <c r="AI347" s="440"/>
      <c r="AJ347" s="440"/>
      <c r="AK347" s="440"/>
      <c r="AL347" s="440"/>
      <c r="AM347" s="440"/>
      <c r="AN347" s="440"/>
      <c r="AO347" s="440"/>
      <c r="AP347" s="440"/>
      <c r="AQ347" s="440"/>
      <c r="AR347" s="440"/>
      <c r="AS347" s="440"/>
      <c r="AT347" s="440"/>
      <c r="AU347" s="440"/>
      <c r="AV347" s="440"/>
      <c r="AW347" s="440"/>
      <c r="AX347" s="440"/>
      <c r="AY347" s="440"/>
      <c r="AZ347" s="440"/>
      <c r="BA347" s="440"/>
      <c r="BB347" s="440"/>
      <c r="BC347" s="440"/>
      <c r="BD347" s="440"/>
      <c r="BE347" s="440"/>
      <c r="BF347" s="440"/>
      <c r="BG347" s="440"/>
      <c r="BH347" s="440"/>
      <c r="BI347" s="440"/>
      <c r="BJ347" s="440"/>
      <c r="BK347" s="402">
        <v>6000000</v>
      </c>
      <c r="BL347" s="469">
        <v>5390000</v>
      </c>
      <c r="BM347" s="469">
        <v>3000000</v>
      </c>
      <c r="BN347" s="469"/>
      <c r="BO347" s="469"/>
      <c r="BP347" s="469"/>
      <c r="BQ347" s="440"/>
      <c r="BR347" s="468"/>
      <c r="BS347" s="468"/>
      <c r="BT347" s="468"/>
      <c r="BU347" s="468"/>
      <c r="BV347" s="468"/>
      <c r="BW347" s="468"/>
      <c r="BX347" s="468"/>
      <c r="BY347" s="468"/>
      <c r="BZ347" s="401">
        <f t="shared" si="143"/>
        <v>6000000</v>
      </c>
      <c r="CA347" s="401">
        <f t="shared" si="143"/>
        <v>5390000</v>
      </c>
      <c r="CB347" s="401">
        <f t="shared" si="143"/>
        <v>3000000</v>
      </c>
    </row>
    <row r="348" spans="1:80" ht="71.25" customHeight="1" x14ac:dyDescent="0.2">
      <c r="A348" s="42"/>
      <c r="B348" s="205"/>
      <c r="C348" s="713">
        <v>23</v>
      </c>
      <c r="D348" s="707" t="s">
        <v>457</v>
      </c>
      <c r="E348" s="731">
        <v>0.92</v>
      </c>
      <c r="F348" s="731">
        <v>0.85</v>
      </c>
      <c r="G348" s="92"/>
      <c r="H348" s="57">
        <v>125</v>
      </c>
      <c r="I348" s="729" t="s">
        <v>465</v>
      </c>
      <c r="J348" s="44">
        <v>1200</v>
      </c>
      <c r="K348" s="45">
        <v>761</v>
      </c>
      <c r="L348" s="45">
        <v>774</v>
      </c>
      <c r="M348" s="886"/>
      <c r="N348" s="898"/>
      <c r="O348" s="898"/>
      <c r="P348" s="892"/>
      <c r="Q348" s="713" t="s">
        <v>67</v>
      </c>
      <c r="R348" s="440"/>
      <c r="S348" s="440"/>
      <c r="T348" s="440"/>
      <c r="U348" s="440"/>
      <c r="V348" s="440"/>
      <c r="W348" s="440"/>
      <c r="X348" s="440"/>
      <c r="Y348" s="440"/>
      <c r="Z348" s="440"/>
      <c r="AA348" s="440"/>
      <c r="AB348" s="440"/>
      <c r="AC348" s="440"/>
      <c r="AD348" s="440"/>
      <c r="AE348" s="440"/>
      <c r="AF348" s="440"/>
      <c r="AG348" s="440"/>
      <c r="AH348" s="440"/>
      <c r="AI348" s="440"/>
      <c r="AJ348" s="440"/>
      <c r="AK348" s="440"/>
      <c r="AL348" s="440"/>
      <c r="AM348" s="440"/>
      <c r="AN348" s="440"/>
      <c r="AO348" s="440"/>
      <c r="AP348" s="440"/>
      <c r="AQ348" s="440"/>
      <c r="AR348" s="440"/>
      <c r="AS348" s="440"/>
      <c r="AT348" s="440"/>
      <c r="AU348" s="440"/>
      <c r="AV348" s="440"/>
      <c r="AW348" s="440"/>
      <c r="AX348" s="440"/>
      <c r="AY348" s="440"/>
      <c r="AZ348" s="440"/>
      <c r="BA348" s="440"/>
      <c r="BB348" s="440"/>
      <c r="BC348" s="440"/>
      <c r="BD348" s="440"/>
      <c r="BE348" s="440"/>
      <c r="BF348" s="440"/>
      <c r="BG348" s="440"/>
      <c r="BH348" s="440"/>
      <c r="BI348" s="468"/>
      <c r="BJ348" s="468"/>
      <c r="BK348" s="404">
        <f>10825324+17000000+9</f>
        <v>27825333</v>
      </c>
      <c r="BL348" s="469">
        <v>21654000</v>
      </c>
      <c r="BM348" s="469">
        <v>9410000</v>
      </c>
      <c r="BN348" s="441"/>
      <c r="BO348" s="441"/>
      <c r="BP348" s="441"/>
      <c r="BQ348" s="440"/>
      <c r="BR348" s="468"/>
      <c r="BS348" s="468"/>
      <c r="BT348" s="468"/>
      <c r="BU348" s="468"/>
      <c r="BV348" s="468"/>
      <c r="BW348" s="468"/>
      <c r="BX348" s="468"/>
      <c r="BY348" s="468"/>
      <c r="BZ348" s="401">
        <f t="shared" si="143"/>
        <v>27825333</v>
      </c>
      <c r="CA348" s="401">
        <f t="shared" si="143"/>
        <v>21654000</v>
      </c>
      <c r="CB348" s="401">
        <f t="shared" si="143"/>
        <v>9410000</v>
      </c>
    </row>
    <row r="349" spans="1:80" ht="30" customHeight="1" x14ac:dyDescent="0.2">
      <c r="A349" s="42"/>
      <c r="B349" s="207"/>
      <c r="C349" s="714"/>
      <c r="D349" s="709"/>
      <c r="E349" s="714"/>
      <c r="F349" s="714"/>
      <c r="G349" s="93"/>
      <c r="H349" s="94"/>
      <c r="I349" s="93"/>
      <c r="J349" s="94"/>
      <c r="K349" s="257"/>
      <c r="L349" s="257"/>
      <c r="M349" s="257"/>
      <c r="N349" s="94"/>
      <c r="O349" s="94"/>
      <c r="P349" s="93"/>
      <c r="Q349" s="94"/>
      <c r="R349" s="450">
        <f t="shared" ref="R349:BY349" si="144">SUM(R344:R348)</f>
        <v>0</v>
      </c>
      <c r="S349" s="450">
        <f t="shared" si="144"/>
        <v>0</v>
      </c>
      <c r="T349" s="450">
        <f t="shared" si="144"/>
        <v>0</v>
      </c>
      <c r="U349" s="450">
        <f t="shared" si="144"/>
        <v>0</v>
      </c>
      <c r="V349" s="450">
        <f t="shared" si="144"/>
        <v>0</v>
      </c>
      <c r="W349" s="450">
        <f t="shared" si="144"/>
        <v>0</v>
      </c>
      <c r="X349" s="450">
        <f t="shared" si="144"/>
        <v>0</v>
      </c>
      <c r="Y349" s="450">
        <f t="shared" si="144"/>
        <v>0</v>
      </c>
      <c r="Z349" s="450">
        <f t="shared" si="144"/>
        <v>0</v>
      </c>
      <c r="AA349" s="450">
        <f t="shared" si="144"/>
        <v>0</v>
      </c>
      <c r="AB349" s="450">
        <f t="shared" si="144"/>
        <v>0</v>
      </c>
      <c r="AC349" s="450">
        <f t="shared" si="144"/>
        <v>0</v>
      </c>
      <c r="AD349" s="450">
        <f t="shared" si="144"/>
        <v>0</v>
      </c>
      <c r="AE349" s="450">
        <f t="shared" si="144"/>
        <v>0</v>
      </c>
      <c r="AF349" s="450">
        <f t="shared" si="144"/>
        <v>0</v>
      </c>
      <c r="AG349" s="450">
        <f t="shared" si="144"/>
        <v>0</v>
      </c>
      <c r="AH349" s="450">
        <f t="shared" si="144"/>
        <v>0</v>
      </c>
      <c r="AI349" s="450">
        <f t="shared" si="144"/>
        <v>0</v>
      </c>
      <c r="AJ349" s="450">
        <f t="shared" si="144"/>
        <v>0</v>
      </c>
      <c r="AK349" s="450">
        <f t="shared" si="144"/>
        <v>0</v>
      </c>
      <c r="AL349" s="450">
        <f t="shared" si="144"/>
        <v>0</v>
      </c>
      <c r="AM349" s="450">
        <f t="shared" si="144"/>
        <v>0</v>
      </c>
      <c r="AN349" s="450">
        <f t="shared" si="144"/>
        <v>0</v>
      </c>
      <c r="AO349" s="450">
        <f t="shared" si="144"/>
        <v>0</v>
      </c>
      <c r="AP349" s="450">
        <f t="shared" si="144"/>
        <v>0</v>
      </c>
      <c r="AQ349" s="450">
        <f t="shared" si="144"/>
        <v>0</v>
      </c>
      <c r="AR349" s="450">
        <f t="shared" si="144"/>
        <v>0</v>
      </c>
      <c r="AS349" s="450">
        <f t="shared" si="144"/>
        <v>0</v>
      </c>
      <c r="AT349" s="450">
        <f t="shared" si="144"/>
        <v>0</v>
      </c>
      <c r="AU349" s="450">
        <f t="shared" si="144"/>
        <v>0</v>
      </c>
      <c r="AV349" s="450">
        <f t="shared" si="144"/>
        <v>0</v>
      </c>
      <c r="AW349" s="450">
        <f t="shared" si="144"/>
        <v>0</v>
      </c>
      <c r="AX349" s="450">
        <f t="shared" si="144"/>
        <v>0</v>
      </c>
      <c r="AY349" s="450">
        <f t="shared" si="144"/>
        <v>0</v>
      </c>
      <c r="AZ349" s="450">
        <f t="shared" si="144"/>
        <v>0</v>
      </c>
      <c r="BA349" s="450">
        <f t="shared" si="144"/>
        <v>0</v>
      </c>
      <c r="BB349" s="450">
        <f t="shared" si="144"/>
        <v>0</v>
      </c>
      <c r="BC349" s="450">
        <f t="shared" si="144"/>
        <v>0</v>
      </c>
      <c r="BD349" s="450">
        <f t="shared" si="144"/>
        <v>0</v>
      </c>
      <c r="BE349" s="450">
        <f t="shared" si="144"/>
        <v>0</v>
      </c>
      <c r="BF349" s="450">
        <f t="shared" si="144"/>
        <v>0</v>
      </c>
      <c r="BG349" s="450">
        <f t="shared" si="144"/>
        <v>0</v>
      </c>
      <c r="BH349" s="450">
        <f t="shared" si="144"/>
        <v>0</v>
      </c>
      <c r="BI349" s="450">
        <f t="shared" si="144"/>
        <v>0</v>
      </c>
      <c r="BJ349" s="450">
        <f t="shared" si="144"/>
        <v>0</v>
      </c>
      <c r="BK349" s="450">
        <f t="shared" si="144"/>
        <v>200000000</v>
      </c>
      <c r="BL349" s="450">
        <f t="shared" si="144"/>
        <v>138916866</v>
      </c>
      <c r="BM349" s="450">
        <f t="shared" si="144"/>
        <v>56850000</v>
      </c>
      <c r="BN349" s="450">
        <f t="shared" si="144"/>
        <v>0</v>
      </c>
      <c r="BO349" s="450">
        <f t="shared" si="144"/>
        <v>0</v>
      </c>
      <c r="BP349" s="450">
        <f t="shared" si="144"/>
        <v>0</v>
      </c>
      <c r="BQ349" s="450">
        <f t="shared" si="144"/>
        <v>0</v>
      </c>
      <c r="BR349" s="450">
        <f t="shared" si="144"/>
        <v>0</v>
      </c>
      <c r="BS349" s="450">
        <f t="shared" si="144"/>
        <v>0</v>
      </c>
      <c r="BT349" s="450">
        <f t="shared" si="144"/>
        <v>0</v>
      </c>
      <c r="BU349" s="450">
        <f t="shared" si="144"/>
        <v>0</v>
      </c>
      <c r="BV349" s="450">
        <f t="shared" si="144"/>
        <v>0</v>
      </c>
      <c r="BW349" s="450">
        <f t="shared" si="144"/>
        <v>0</v>
      </c>
      <c r="BX349" s="450">
        <f t="shared" si="144"/>
        <v>0</v>
      </c>
      <c r="BY349" s="450">
        <f t="shared" si="144"/>
        <v>0</v>
      </c>
      <c r="BZ349" s="450">
        <f t="shared" ref="BZ349:CB349" si="145">SUM(BZ344:BZ348)</f>
        <v>200000000</v>
      </c>
      <c r="CA349" s="450">
        <f t="shared" si="145"/>
        <v>138916866</v>
      </c>
      <c r="CB349" s="450">
        <f t="shared" si="145"/>
        <v>56850000</v>
      </c>
    </row>
    <row r="350" spans="1:80" ht="30" customHeight="1" x14ac:dyDescent="0.2">
      <c r="A350" s="55"/>
      <c r="B350" s="258"/>
      <c r="C350" s="99"/>
      <c r="D350" s="98"/>
      <c r="E350" s="99"/>
      <c r="F350" s="99"/>
      <c r="G350" s="98"/>
      <c r="H350" s="99"/>
      <c r="I350" s="98"/>
      <c r="J350" s="99"/>
      <c r="K350" s="259"/>
      <c r="L350" s="259"/>
      <c r="M350" s="259"/>
      <c r="N350" s="99"/>
      <c r="O350" s="99"/>
      <c r="P350" s="98"/>
      <c r="Q350" s="99"/>
      <c r="R350" s="470">
        <f t="shared" ref="R350:CB351" si="146">R349</f>
        <v>0</v>
      </c>
      <c r="S350" s="470">
        <f t="shared" si="146"/>
        <v>0</v>
      </c>
      <c r="T350" s="470">
        <f t="shared" si="146"/>
        <v>0</v>
      </c>
      <c r="U350" s="470">
        <f t="shared" si="146"/>
        <v>0</v>
      </c>
      <c r="V350" s="470">
        <f t="shared" si="146"/>
        <v>0</v>
      </c>
      <c r="W350" s="470">
        <f t="shared" si="146"/>
        <v>0</v>
      </c>
      <c r="X350" s="470">
        <f t="shared" si="146"/>
        <v>0</v>
      </c>
      <c r="Y350" s="470">
        <f t="shared" si="146"/>
        <v>0</v>
      </c>
      <c r="Z350" s="470">
        <f t="shared" si="146"/>
        <v>0</v>
      </c>
      <c r="AA350" s="470">
        <f t="shared" si="146"/>
        <v>0</v>
      </c>
      <c r="AB350" s="470">
        <f t="shared" si="146"/>
        <v>0</v>
      </c>
      <c r="AC350" s="470">
        <f t="shared" si="146"/>
        <v>0</v>
      </c>
      <c r="AD350" s="470">
        <f t="shared" si="146"/>
        <v>0</v>
      </c>
      <c r="AE350" s="470">
        <f t="shared" si="146"/>
        <v>0</v>
      </c>
      <c r="AF350" s="470">
        <f t="shared" si="146"/>
        <v>0</v>
      </c>
      <c r="AG350" s="470">
        <f t="shared" si="146"/>
        <v>0</v>
      </c>
      <c r="AH350" s="470">
        <f t="shared" si="146"/>
        <v>0</v>
      </c>
      <c r="AI350" s="470">
        <f t="shared" si="146"/>
        <v>0</v>
      </c>
      <c r="AJ350" s="470">
        <f t="shared" si="146"/>
        <v>0</v>
      </c>
      <c r="AK350" s="470">
        <f t="shared" si="146"/>
        <v>0</v>
      </c>
      <c r="AL350" s="470">
        <f t="shared" si="146"/>
        <v>0</v>
      </c>
      <c r="AM350" s="470">
        <f t="shared" si="146"/>
        <v>0</v>
      </c>
      <c r="AN350" s="470">
        <f t="shared" si="146"/>
        <v>0</v>
      </c>
      <c r="AO350" s="470">
        <f t="shared" si="146"/>
        <v>0</v>
      </c>
      <c r="AP350" s="470">
        <f t="shared" si="146"/>
        <v>0</v>
      </c>
      <c r="AQ350" s="470">
        <f t="shared" si="146"/>
        <v>0</v>
      </c>
      <c r="AR350" s="470">
        <f t="shared" si="146"/>
        <v>0</v>
      </c>
      <c r="AS350" s="470">
        <f t="shared" si="146"/>
        <v>0</v>
      </c>
      <c r="AT350" s="470">
        <f t="shared" si="146"/>
        <v>0</v>
      </c>
      <c r="AU350" s="470">
        <f t="shared" si="146"/>
        <v>0</v>
      </c>
      <c r="AV350" s="470">
        <f t="shared" si="146"/>
        <v>0</v>
      </c>
      <c r="AW350" s="470">
        <f t="shared" si="146"/>
        <v>0</v>
      </c>
      <c r="AX350" s="470">
        <f t="shared" si="146"/>
        <v>0</v>
      </c>
      <c r="AY350" s="470">
        <f t="shared" si="146"/>
        <v>0</v>
      </c>
      <c r="AZ350" s="470">
        <f t="shared" si="146"/>
        <v>0</v>
      </c>
      <c r="BA350" s="470">
        <f t="shared" si="146"/>
        <v>0</v>
      </c>
      <c r="BB350" s="470">
        <f t="shared" si="146"/>
        <v>0</v>
      </c>
      <c r="BC350" s="470">
        <f t="shared" si="146"/>
        <v>0</v>
      </c>
      <c r="BD350" s="470">
        <f t="shared" si="146"/>
        <v>0</v>
      </c>
      <c r="BE350" s="470">
        <f t="shared" si="146"/>
        <v>0</v>
      </c>
      <c r="BF350" s="470">
        <f t="shared" si="146"/>
        <v>0</v>
      </c>
      <c r="BG350" s="470">
        <f t="shared" si="146"/>
        <v>0</v>
      </c>
      <c r="BH350" s="470">
        <f t="shared" si="146"/>
        <v>0</v>
      </c>
      <c r="BI350" s="470">
        <f t="shared" si="146"/>
        <v>0</v>
      </c>
      <c r="BJ350" s="470">
        <f t="shared" si="146"/>
        <v>0</v>
      </c>
      <c r="BK350" s="470">
        <f t="shared" si="146"/>
        <v>200000000</v>
      </c>
      <c r="BL350" s="470">
        <f t="shared" si="146"/>
        <v>138916866</v>
      </c>
      <c r="BM350" s="470">
        <f t="shared" si="146"/>
        <v>56850000</v>
      </c>
      <c r="BN350" s="470">
        <f t="shared" si="146"/>
        <v>0</v>
      </c>
      <c r="BO350" s="470">
        <f t="shared" si="146"/>
        <v>0</v>
      </c>
      <c r="BP350" s="470">
        <f t="shared" si="146"/>
        <v>0</v>
      </c>
      <c r="BQ350" s="470">
        <f t="shared" si="146"/>
        <v>0</v>
      </c>
      <c r="BR350" s="470">
        <f t="shared" si="146"/>
        <v>0</v>
      </c>
      <c r="BS350" s="470">
        <f t="shared" si="146"/>
        <v>0</v>
      </c>
      <c r="BT350" s="470">
        <f t="shared" si="146"/>
        <v>0</v>
      </c>
      <c r="BU350" s="470">
        <f t="shared" si="146"/>
        <v>0</v>
      </c>
      <c r="BV350" s="470">
        <f t="shared" si="146"/>
        <v>0</v>
      </c>
      <c r="BW350" s="470">
        <f t="shared" si="146"/>
        <v>0</v>
      </c>
      <c r="BX350" s="470">
        <f t="shared" si="146"/>
        <v>0</v>
      </c>
      <c r="BY350" s="470">
        <f t="shared" si="146"/>
        <v>0</v>
      </c>
      <c r="BZ350" s="470">
        <f t="shared" si="146"/>
        <v>200000000</v>
      </c>
      <c r="CA350" s="470">
        <f t="shared" si="146"/>
        <v>138916866</v>
      </c>
      <c r="CB350" s="470">
        <f t="shared" si="146"/>
        <v>56850000</v>
      </c>
    </row>
    <row r="351" spans="1:80" ht="30" customHeight="1" x14ac:dyDescent="0.2">
      <c r="A351" s="185"/>
      <c r="B351" s="185"/>
      <c r="C351" s="186"/>
      <c r="D351" s="185"/>
      <c r="E351" s="186"/>
      <c r="F351" s="186"/>
      <c r="G351" s="185"/>
      <c r="H351" s="186"/>
      <c r="I351" s="185"/>
      <c r="J351" s="186"/>
      <c r="K351" s="260"/>
      <c r="L351" s="260"/>
      <c r="M351" s="260"/>
      <c r="N351" s="186"/>
      <c r="O351" s="186"/>
      <c r="P351" s="185"/>
      <c r="Q351" s="186"/>
      <c r="R351" s="471">
        <f t="shared" si="146"/>
        <v>0</v>
      </c>
      <c r="S351" s="471">
        <f t="shared" si="146"/>
        <v>0</v>
      </c>
      <c r="T351" s="471">
        <f t="shared" si="146"/>
        <v>0</v>
      </c>
      <c r="U351" s="471">
        <f t="shared" si="146"/>
        <v>0</v>
      </c>
      <c r="V351" s="471">
        <f t="shared" si="146"/>
        <v>0</v>
      </c>
      <c r="W351" s="471">
        <f t="shared" si="146"/>
        <v>0</v>
      </c>
      <c r="X351" s="471">
        <f t="shared" si="146"/>
        <v>0</v>
      </c>
      <c r="Y351" s="471">
        <f t="shared" si="146"/>
        <v>0</v>
      </c>
      <c r="Z351" s="471">
        <f t="shared" si="146"/>
        <v>0</v>
      </c>
      <c r="AA351" s="471">
        <f t="shared" si="146"/>
        <v>0</v>
      </c>
      <c r="AB351" s="471">
        <f t="shared" si="146"/>
        <v>0</v>
      </c>
      <c r="AC351" s="471">
        <f t="shared" si="146"/>
        <v>0</v>
      </c>
      <c r="AD351" s="471">
        <f t="shared" si="146"/>
        <v>0</v>
      </c>
      <c r="AE351" s="471">
        <f t="shared" si="146"/>
        <v>0</v>
      </c>
      <c r="AF351" s="471">
        <f t="shared" si="146"/>
        <v>0</v>
      </c>
      <c r="AG351" s="471">
        <f t="shared" si="146"/>
        <v>0</v>
      </c>
      <c r="AH351" s="471">
        <f t="shared" si="146"/>
        <v>0</v>
      </c>
      <c r="AI351" s="471">
        <f t="shared" si="146"/>
        <v>0</v>
      </c>
      <c r="AJ351" s="471">
        <f t="shared" si="146"/>
        <v>0</v>
      </c>
      <c r="AK351" s="471">
        <f t="shared" si="146"/>
        <v>0</v>
      </c>
      <c r="AL351" s="471">
        <f t="shared" si="146"/>
        <v>0</v>
      </c>
      <c r="AM351" s="471">
        <f t="shared" si="146"/>
        <v>0</v>
      </c>
      <c r="AN351" s="471">
        <f t="shared" si="146"/>
        <v>0</v>
      </c>
      <c r="AO351" s="471">
        <f t="shared" si="146"/>
        <v>0</v>
      </c>
      <c r="AP351" s="471">
        <f t="shared" si="146"/>
        <v>0</v>
      </c>
      <c r="AQ351" s="471">
        <f t="shared" si="146"/>
        <v>0</v>
      </c>
      <c r="AR351" s="471">
        <f t="shared" si="146"/>
        <v>0</v>
      </c>
      <c r="AS351" s="471">
        <f t="shared" si="146"/>
        <v>0</v>
      </c>
      <c r="AT351" s="471">
        <f t="shared" si="146"/>
        <v>0</v>
      </c>
      <c r="AU351" s="471">
        <f t="shared" si="146"/>
        <v>0</v>
      </c>
      <c r="AV351" s="471">
        <f t="shared" si="146"/>
        <v>0</v>
      </c>
      <c r="AW351" s="471">
        <f t="shared" si="146"/>
        <v>0</v>
      </c>
      <c r="AX351" s="471">
        <f t="shared" si="146"/>
        <v>0</v>
      </c>
      <c r="AY351" s="471">
        <f t="shared" si="146"/>
        <v>0</v>
      </c>
      <c r="AZ351" s="471">
        <f t="shared" si="146"/>
        <v>0</v>
      </c>
      <c r="BA351" s="471">
        <f t="shared" si="146"/>
        <v>0</v>
      </c>
      <c r="BB351" s="471">
        <f t="shared" si="146"/>
        <v>0</v>
      </c>
      <c r="BC351" s="471">
        <f t="shared" si="146"/>
        <v>0</v>
      </c>
      <c r="BD351" s="471">
        <f t="shared" si="146"/>
        <v>0</v>
      </c>
      <c r="BE351" s="471">
        <f t="shared" si="146"/>
        <v>0</v>
      </c>
      <c r="BF351" s="471">
        <f t="shared" si="146"/>
        <v>0</v>
      </c>
      <c r="BG351" s="471">
        <f t="shared" si="146"/>
        <v>0</v>
      </c>
      <c r="BH351" s="471">
        <f t="shared" si="146"/>
        <v>0</v>
      </c>
      <c r="BI351" s="471">
        <f t="shared" si="146"/>
        <v>0</v>
      </c>
      <c r="BJ351" s="471">
        <f t="shared" si="146"/>
        <v>0</v>
      </c>
      <c r="BK351" s="471">
        <f t="shared" si="146"/>
        <v>200000000</v>
      </c>
      <c r="BL351" s="471">
        <f t="shared" si="146"/>
        <v>138916866</v>
      </c>
      <c r="BM351" s="471">
        <f t="shared" si="146"/>
        <v>56850000</v>
      </c>
      <c r="BN351" s="471">
        <f t="shared" si="146"/>
        <v>0</v>
      </c>
      <c r="BO351" s="471">
        <f t="shared" si="146"/>
        <v>0</v>
      </c>
      <c r="BP351" s="471">
        <f t="shared" si="146"/>
        <v>0</v>
      </c>
      <c r="BQ351" s="471">
        <f t="shared" si="146"/>
        <v>0</v>
      </c>
      <c r="BR351" s="471">
        <f t="shared" si="146"/>
        <v>0</v>
      </c>
      <c r="BS351" s="471">
        <f t="shared" si="146"/>
        <v>0</v>
      </c>
      <c r="BT351" s="471">
        <f t="shared" si="146"/>
        <v>0</v>
      </c>
      <c r="BU351" s="471">
        <f t="shared" si="146"/>
        <v>0</v>
      </c>
      <c r="BV351" s="471">
        <f t="shared" si="146"/>
        <v>0</v>
      </c>
      <c r="BW351" s="471">
        <f t="shared" si="146"/>
        <v>0</v>
      </c>
      <c r="BX351" s="471">
        <f t="shared" si="146"/>
        <v>0</v>
      </c>
      <c r="BY351" s="471">
        <f t="shared" si="146"/>
        <v>0</v>
      </c>
      <c r="BZ351" s="471">
        <f t="shared" si="146"/>
        <v>200000000</v>
      </c>
      <c r="CA351" s="471">
        <f t="shared" si="146"/>
        <v>138916866</v>
      </c>
      <c r="CB351" s="471">
        <f t="shared" si="146"/>
        <v>56850000</v>
      </c>
    </row>
    <row r="352" spans="1:80" ht="30" customHeight="1" x14ac:dyDescent="0.2">
      <c r="A352" s="68"/>
      <c r="B352" s="68"/>
      <c r="C352" s="69"/>
      <c r="D352" s="68"/>
      <c r="E352" s="69"/>
      <c r="F352" s="69"/>
      <c r="G352" s="68"/>
      <c r="H352" s="69"/>
      <c r="I352" s="68"/>
      <c r="J352" s="70"/>
      <c r="K352" s="130"/>
      <c r="L352" s="130"/>
      <c r="M352" s="130"/>
      <c r="N352" s="70"/>
      <c r="O352" s="69"/>
      <c r="P352" s="68"/>
      <c r="Q352" s="69"/>
      <c r="R352" s="423">
        <f t="shared" ref="R352:CB352" si="147">+R351+R339+R306</f>
        <v>0</v>
      </c>
      <c r="S352" s="423">
        <f t="shared" si="147"/>
        <v>0</v>
      </c>
      <c r="T352" s="423">
        <f t="shared" si="147"/>
        <v>0</v>
      </c>
      <c r="U352" s="423">
        <f t="shared" si="147"/>
        <v>0</v>
      </c>
      <c r="V352" s="423">
        <f t="shared" si="147"/>
        <v>0</v>
      </c>
      <c r="W352" s="423">
        <f t="shared" si="147"/>
        <v>0</v>
      </c>
      <c r="X352" s="423">
        <f t="shared" si="147"/>
        <v>0</v>
      </c>
      <c r="Y352" s="423">
        <f t="shared" si="147"/>
        <v>0</v>
      </c>
      <c r="Z352" s="423">
        <f t="shared" si="147"/>
        <v>0</v>
      </c>
      <c r="AA352" s="423">
        <f t="shared" si="147"/>
        <v>0</v>
      </c>
      <c r="AB352" s="423">
        <f t="shared" si="147"/>
        <v>0</v>
      </c>
      <c r="AC352" s="423">
        <f t="shared" si="147"/>
        <v>0</v>
      </c>
      <c r="AD352" s="423">
        <f t="shared" si="147"/>
        <v>0</v>
      </c>
      <c r="AE352" s="423">
        <f t="shared" si="147"/>
        <v>0</v>
      </c>
      <c r="AF352" s="423">
        <f t="shared" si="147"/>
        <v>0</v>
      </c>
      <c r="AG352" s="423">
        <f t="shared" si="147"/>
        <v>0</v>
      </c>
      <c r="AH352" s="423">
        <f t="shared" si="147"/>
        <v>0</v>
      </c>
      <c r="AI352" s="423">
        <f t="shared" si="147"/>
        <v>0</v>
      </c>
      <c r="AJ352" s="423">
        <f t="shared" si="147"/>
        <v>0</v>
      </c>
      <c r="AK352" s="423">
        <f t="shared" si="147"/>
        <v>0</v>
      </c>
      <c r="AL352" s="423">
        <f t="shared" si="147"/>
        <v>0</v>
      </c>
      <c r="AM352" s="423">
        <f t="shared" si="147"/>
        <v>0</v>
      </c>
      <c r="AN352" s="423">
        <f t="shared" si="147"/>
        <v>0</v>
      </c>
      <c r="AO352" s="423">
        <f t="shared" si="147"/>
        <v>0</v>
      </c>
      <c r="AP352" s="423">
        <f t="shared" si="147"/>
        <v>0</v>
      </c>
      <c r="AQ352" s="423">
        <f t="shared" si="147"/>
        <v>0</v>
      </c>
      <c r="AR352" s="423">
        <f t="shared" si="147"/>
        <v>0</v>
      </c>
      <c r="AS352" s="423">
        <f t="shared" si="147"/>
        <v>0</v>
      </c>
      <c r="AT352" s="423">
        <f t="shared" si="147"/>
        <v>0</v>
      </c>
      <c r="AU352" s="423">
        <f t="shared" si="147"/>
        <v>0</v>
      </c>
      <c r="AV352" s="423">
        <f t="shared" si="147"/>
        <v>0</v>
      </c>
      <c r="AW352" s="423">
        <f t="shared" si="147"/>
        <v>0</v>
      </c>
      <c r="AX352" s="423">
        <f t="shared" si="147"/>
        <v>0</v>
      </c>
      <c r="AY352" s="423">
        <f t="shared" si="147"/>
        <v>0</v>
      </c>
      <c r="AZ352" s="423">
        <f t="shared" si="147"/>
        <v>0</v>
      </c>
      <c r="BA352" s="423">
        <f t="shared" si="147"/>
        <v>0</v>
      </c>
      <c r="BB352" s="423">
        <f t="shared" si="147"/>
        <v>0</v>
      </c>
      <c r="BC352" s="423">
        <f t="shared" si="147"/>
        <v>0</v>
      </c>
      <c r="BD352" s="423">
        <f t="shared" si="147"/>
        <v>0</v>
      </c>
      <c r="BE352" s="423">
        <f t="shared" si="147"/>
        <v>0</v>
      </c>
      <c r="BF352" s="423">
        <f t="shared" si="147"/>
        <v>0</v>
      </c>
      <c r="BG352" s="423">
        <f t="shared" si="147"/>
        <v>0</v>
      </c>
      <c r="BH352" s="423">
        <f t="shared" si="147"/>
        <v>0</v>
      </c>
      <c r="BI352" s="423">
        <f t="shared" si="147"/>
        <v>0</v>
      </c>
      <c r="BJ352" s="423">
        <f t="shared" si="147"/>
        <v>0</v>
      </c>
      <c r="BK352" s="423">
        <f t="shared" si="147"/>
        <v>2927762444</v>
      </c>
      <c r="BL352" s="423">
        <f t="shared" si="147"/>
        <v>1626117810</v>
      </c>
      <c r="BM352" s="423">
        <f t="shared" si="147"/>
        <v>1101787991</v>
      </c>
      <c r="BN352" s="423">
        <f t="shared" si="147"/>
        <v>0</v>
      </c>
      <c r="BO352" s="423">
        <f t="shared" si="147"/>
        <v>0</v>
      </c>
      <c r="BP352" s="423">
        <f t="shared" si="147"/>
        <v>0</v>
      </c>
      <c r="BQ352" s="423">
        <f t="shared" si="147"/>
        <v>0</v>
      </c>
      <c r="BR352" s="423">
        <f t="shared" si="147"/>
        <v>0</v>
      </c>
      <c r="BS352" s="423">
        <f t="shared" si="147"/>
        <v>0</v>
      </c>
      <c r="BT352" s="423">
        <f t="shared" si="147"/>
        <v>0</v>
      </c>
      <c r="BU352" s="423">
        <f t="shared" si="147"/>
        <v>0</v>
      </c>
      <c r="BV352" s="423">
        <f t="shared" si="147"/>
        <v>0</v>
      </c>
      <c r="BW352" s="423">
        <f t="shared" si="147"/>
        <v>0</v>
      </c>
      <c r="BX352" s="423">
        <f t="shared" si="147"/>
        <v>0</v>
      </c>
      <c r="BY352" s="423">
        <f t="shared" si="147"/>
        <v>0</v>
      </c>
      <c r="BZ352" s="423">
        <f t="shared" si="147"/>
        <v>2927762444</v>
      </c>
      <c r="CA352" s="423">
        <f t="shared" si="147"/>
        <v>1626117810</v>
      </c>
      <c r="CB352" s="423">
        <f t="shared" si="147"/>
        <v>1101787991</v>
      </c>
    </row>
    <row r="353" spans="1:80" ht="30" customHeight="1" x14ac:dyDescent="0.2">
      <c r="A353" s="71"/>
      <c r="B353" s="72"/>
      <c r="C353" s="150"/>
      <c r="D353" s="72"/>
      <c r="E353" s="150"/>
      <c r="F353" s="150"/>
      <c r="G353" s="72"/>
      <c r="H353" s="150"/>
      <c r="I353" s="72"/>
      <c r="J353" s="73"/>
      <c r="K353" s="83"/>
      <c r="L353" s="83"/>
      <c r="M353" s="83"/>
      <c r="N353" s="73"/>
      <c r="O353" s="150"/>
      <c r="P353" s="72"/>
      <c r="Q353" s="150"/>
      <c r="R353" s="405"/>
      <c r="S353" s="405"/>
      <c r="T353" s="405"/>
      <c r="U353" s="406"/>
      <c r="V353" s="406"/>
      <c r="W353" s="406"/>
      <c r="X353" s="405"/>
      <c r="Y353" s="405"/>
      <c r="Z353" s="405"/>
      <c r="AA353" s="405"/>
      <c r="AB353" s="405"/>
      <c r="AC353" s="405"/>
      <c r="AD353" s="405"/>
      <c r="AE353" s="405"/>
      <c r="AF353" s="405"/>
      <c r="AG353" s="405"/>
      <c r="AH353" s="405"/>
      <c r="AI353" s="405"/>
      <c r="AJ353" s="405"/>
      <c r="AK353" s="405"/>
      <c r="AL353" s="405"/>
      <c r="AM353" s="405"/>
      <c r="AN353" s="405"/>
      <c r="AO353" s="405"/>
      <c r="AP353" s="405"/>
      <c r="AQ353" s="405"/>
      <c r="AR353" s="405"/>
      <c r="AS353" s="405"/>
      <c r="AT353" s="405"/>
      <c r="AU353" s="405"/>
      <c r="AV353" s="405"/>
      <c r="AW353" s="405"/>
      <c r="AX353" s="405"/>
      <c r="AY353" s="405"/>
      <c r="AZ353" s="405"/>
      <c r="BA353" s="405"/>
      <c r="BB353" s="405"/>
      <c r="BC353" s="405"/>
      <c r="BD353" s="405"/>
      <c r="BE353" s="405"/>
      <c r="BF353" s="405"/>
      <c r="BG353" s="405"/>
      <c r="BH353" s="405"/>
      <c r="BI353" s="405"/>
      <c r="BJ353" s="405"/>
      <c r="BK353" s="407" t="s">
        <v>69</v>
      </c>
      <c r="BL353" s="407"/>
      <c r="BM353" s="407"/>
      <c r="BN353" s="405"/>
      <c r="BO353" s="405"/>
      <c r="BP353" s="405"/>
      <c r="BQ353" s="405"/>
      <c r="BR353" s="405"/>
      <c r="BS353" s="405"/>
      <c r="BT353" s="405"/>
      <c r="BU353" s="405"/>
      <c r="BV353" s="405"/>
      <c r="BW353" s="405"/>
      <c r="BX353" s="405"/>
      <c r="BY353" s="405"/>
      <c r="BZ353" s="405" t="s">
        <v>69</v>
      </c>
      <c r="CA353" s="405" t="s">
        <v>69</v>
      </c>
      <c r="CB353" s="409" t="s">
        <v>69</v>
      </c>
    </row>
    <row r="354" spans="1:80" ht="30" customHeight="1" x14ac:dyDescent="0.2">
      <c r="A354" s="31" t="s">
        <v>466</v>
      </c>
      <c r="B354" s="32"/>
      <c r="C354" s="33"/>
      <c r="D354" s="32"/>
      <c r="E354" s="32"/>
      <c r="F354" s="32"/>
      <c r="G354" s="32"/>
      <c r="H354" s="33"/>
      <c r="I354" s="32"/>
      <c r="J354" s="32"/>
      <c r="K354" s="131"/>
      <c r="L354" s="131"/>
      <c r="M354" s="131"/>
      <c r="N354" s="33"/>
      <c r="O354" s="33"/>
      <c r="P354" s="32"/>
      <c r="Q354" s="33"/>
      <c r="R354" s="472"/>
      <c r="S354" s="472"/>
      <c r="T354" s="472"/>
      <c r="U354" s="472"/>
      <c r="V354" s="472"/>
      <c r="W354" s="472"/>
      <c r="X354" s="472"/>
      <c r="Y354" s="472"/>
      <c r="Z354" s="472"/>
      <c r="AA354" s="472"/>
      <c r="AB354" s="472"/>
      <c r="AC354" s="472"/>
      <c r="AD354" s="472"/>
      <c r="AE354" s="472"/>
      <c r="AF354" s="472"/>
      <c r="AG354" s="472"/>
      <c r="AH354" s="472"/>
      <c r="AI354" s="472"/>
      <c r="AJ354" s="472"/>
      <c r="AK354" s="472"/>
      <c r="AL354" s="472"/>
      <c r="AM354" s="472"/>
      <c r="AN354" s="472"/>
      <c r="AO354" s="472"/>
      <c r="AP354" s="472"/>
      <c r="AQ354" s="472"/>
      <c r="AR354" s="472"/>
      <c r="AS354" s="472"/>
      <c r="AT354" s="472"/>
      <c r="AU354" s="472"/>
      <c r="AV354" s="472"/>
      <c r="AW354" s="472"/>
      <c r="AX354" s="472"/>
      <c r="AY354" s="472"/>
      <c r="AZ354" s="472"/>
      <c r="BA354" s="472"/>
      <c r="BB354" s="472"/>
      <c r="BC354" s="472"/>
      <c r="BD354" s="472"/>
      <c r="BE354" s="472"/>
      <c r="BF354" s="472"/>
      <c r="BG354" s="472"/>
      <c r="BH354" s="472"/>
      <c r="BI354" s="472"/>
      <c r="BJ354" s="472"/>
      <c r="BK354" s="473"/>
      <c r="BL354" s="473"/>
      <c r="BM354" s="473"/>
      <c r="BN354" s="474"/>
      <c r="BO354" s="474"/>
      <c r="BP354" s="474"/>
      <c r="BQ354" s="472"/>
      <c r="BR354" s="472"/>
      <c r="BS354" s="472"/>
      <c r="BT354" s="472"/>
      <c r="BU354" s="472"/>
      <c r="BV354" s="472"/>
      <c r="BW354" s="472"/>
      <c r="BX354" s="472"/>
      <c r="BY354" s="472"/>
      <c r="BZ354" s="475" t="s">
        <v>69</v>
      </c>
      <c r="CA354" s="475" t="s">
        <v>69</v>
      </c>
      <c r="CB354" s="475" t="s">
        <v>69</v>
      </c>
    </row>
    <row r="355" spans="1:80" ht="30" customHeight="1" x14ac:dyDescent="0.2">
      <c r="A355" s="787">
        <v>5</v>
      </c>
      <c r="B355" s="34" t="s">
        <v>37</v>
      </c>
      <c r="C355" s="35"/>
      <c r="D355" s="34"/>
      <c r="E355" s="34"/>
      <c r="F355" s="34"/>
      <c r="G355" s="34"/>
      <c r="H355" s="35"/>
      <c r="I355" s="34"/>
      <c r="J355" s="34"/>
      <c r="K355" s="132"/>
      <c r="L355" s="132"/>
      <c r="M355" s="132"/>
      <c r="N355" s="35"/>
      <c r="O355" s="35"/>
      <c r="P355" s="34"/>
      <c r="Q355" s="34"/>
      <c r="R355" s="432"/>
      <c r="S355" s="432"/>
      <c r="T355" s="432"/>
      <c r="U355" s="432"/>
      <c r="V355" s="432"/>
      <c r="W355" s="432"/>
      <c r="X355" s="432"/>
      <c r="Y355" s="432"/>
      <c r="Z355" s="432"/>
      <c r="AA355" s="432"/>
      <c r="AB355" s="432"/>
      <c r="AC355" s="432"/>
      <c r="AD355" s="432"/>
      <c r="AE355" s="432"/>
      <c r="AF355" s="432"/>
      <c r="AG355" s="432"/>
      <c r="AH355" s="432"/>
      <c r="AI355" s="432"/>
      <c r="AJ355" s="432"/>
      <c r="AK355" s="432"/>
      <c r="AL355" s="432"/>
      <c r="AM355" s="432"/>
      <c r="AN355" s="432"/>
      <c r="AO355" s="432"/>
      <c r="AP355" s="432"/>
      <c r="AQ355" s="432"/>
      <c r="AR355" s="432"/>
      <c r="AS355" s="432"/>
      <c r="AT355" s="432"/>
      <c r="AU355" s="432"/>
      <c r="AV355" s="432"/>
      <c r="AW355" s="432"/>
      <c r="AX355" s="432"/>
      <c r="AY355" s="432"/>
      <c r="AZ355" s="432"/>
      <c r="BA355" s="432"/>
      <c r="BB355" s="432"/>
      <c r="BC355" s="432"/>
      <c r="BD355" s="432"/>
      <c r="BE355" s="432"/>
      <c r="BF355" s="432"/>
      <c r="BG355" s="432"/>
      <c r="BH355" s="432"/>
      <c r="BI355" s="432"/>
      <c r="BJ355" s="432"/>
      <c r="BK355" s="433"/>
      <c r="BL355" s="433"/>
      <c r="BM355" s="433"/>
      <c r="BN355" s="432"/>
      <c r="BO355" s="432"/>
      <c r="BP355" s="432"/>
      <c r="BQ355" s="432"/>
      <c r="BR355" s="432"/>
      <c r="BS355" s="432"/>
      <c r="BT355" s="432"/>
      <c r="BU355" s="432"/>
      <c r="BV355" s="432"/>
      <c r="BW355" s="432"/>
      <c r="BX355" s="432"/>
      <c r="BY355" s="432"/>
      <c r="BZ355" s="434"/>
      <c r="CA355" s="434"/>
      <c r="CB355" s="434"/>
    </row>
    <row r="356" spans="1:80" s="2" customFormat="1" ht="30" customHeight="1" x14ac:dyDescent="0.25">
      <c r="A356" s="76"/>
      <c r="B356" s="125">
        <v>26</v>
      </c>
      <c r="C356" s="40" t="s">
        <v>70</v>
      </c>
      <c r="D356" s="39"/>
      <c r="E356" s="39"/>
      <c r="F356" s="39"/>
      <c r="G356" s="39"/>
      <c r="H356" s="40"/>
      <c r="I356" s="39"/>
      <c r="J356" s="39"/>
      <c r="K356" s="90"/>
      <c r="L356" s="90"/>
      <c r="M356" s="90"/>
      <c r="N356" s="40"/>
      <c r="O356" s="40"/>
      <c r="P356" s="39"/>
      <c r="Q356" s="39"/>
      <c r="R356" s="412"/>
      <c r="S356" s="412"/>
      <c r="T356" s="412"/>
      <c r="U356" s="412"/>
      <c r="V356" s="412"/>
      <c r="W356" s="412"/>
      <c r="X356" s="412"/>
      <c r="Y356" s="412"/>
      <c r="Z356" s="412"/>
      <c r="AA356" s="412"/>
      <c r="AB356" s="412"/>
      <c r="AC356" s="412"/>
      <c r="AD356" s="412"/>
      <c r="AE356" s="412"/>
      <c r="AF356" s="412"/>
      <c r="AG356" s="412"/>
      <c r="AH356" s="412"/>
      <c r="AI356" s="412"/>
      <c r="AJ356" s="412"/>
      <c r="AK356" s="412"/>
      <c r="AL356" s="412"/>
      <c r="AM356" s="412"/>
      <c r="AN356" s="412"/>
      <c r="AO356" s="412"/>
      <c r="AP356" s="412"/>
      <c r="AQ356" s="412"/>
      <c r="AR356" s="412"/>
      <c r="AS356" s="412"/>
      <c r="AT356" s="412"/>
      <c r="AU356" s="412"/>
      <c r="AV356" s="412"/>
      <c r="AW356" s="412"/>
      <c r="AX356" s="412"/>
      <c r="AY356" s="412"/>
      <c r="AZ356" s="412"/>
      <c r="BA356" s="412"/>
      <c r="BB356" s="412"/>
      <c r="BC356" s="412"/>
      <c r="BD356" s="412"/>
      <c r="BE356" s="412"/>
      <c r="BF356" s="412"/>
      <c r="BG356" s="412"/>
      <c r="BH356" s="412"/>
      <c r="BI356" s="412"/>
      <c r="BJ356" s="412"/>
      <c r="BK356" s="413"/>
      <c r="BL356" s="413"/>
      <c r="BM356" s="413"/>
      <c r="BN356" s="412"/>
      <c r="BO356" s="412"/>
      <c r="BP356" s="412"/>
      <c r="BQ356" s="412"/>
      <c r="BR356" s="412"/>
      <c r="BS356" s="412"/>
      <c r="BT356" s="412"/>
      <c r="BU356" s="412"/>
      <c r="BV356" s="412"/>
      <c r="BW356" s="412"/>
      <c r="BX356" s="412"/>
      <c r="BY356" s="412"/>
      <c r="BZ356" s="417"/>
      <c r="CA356" s="417"/>
      <c r="CB356" s="417"/>
    </row>
    <row r="357" spans="1:80" s="2" customFormat="1" ht="30" customHeight="1" x14ac:dyDescent="0.25">
      <c r="A357" s="42"/>
      <c r="B357" s="76"/>
      <c r="C357" s="713"/>
      <c r="D357" s="707"/>
      <c r="E357" s="713"/>
      <c r="F357" s="713"/>
      <c r="G357" s="219">
        <v>83</v>
      </c>
      <c r="H357" s="80" t="s">
        <v>71</v>
      </c>
      <c r="I357" s="80"/>
      <c r="J357" s="80"/>
      <c r="K357" s="91"/>
      <c r="L357" s="91"/>
      <c r="M357" s="91"/>
      <c r="N357" s="173"/>
      <c r="O357" s="173"/>
      <c r="P357" s="80"/>
      <c r="Q357" s="80"/>
      <c r="R357" s="267"/>
      <c r="S357" s="267"/>
      <c r="T357" s="267"/>
      <c r="U357" s="267"/>
      <c r="V357" s="267"/>
      <c r="W357" s="267"/>
      <c r="X357" s="267"/>
      <c r="Y357" s="267"/>
      <c r="Z357" s="267"/>
      <c r="AA357" s="267"/>
      <c r="AB357" s="267"/>
      <c r="AC357" s="267"/>
      <c r="AD357" s="267"/>
      <c r="AE357" s="267"/>
      <c r="AF357" s="267"/>
      <c r="AG357" s="267"/>
      <c r="AH357" s="267"/>
      <c r="AI357" s="267"/>
      <c r="AJ357" s="267"/>
      <c r="AK357" s="267"/>
      <c r="AL357" s="267"/>
      <c r="AM357" s="267"/>
      <c r="AN357" s="267"/>
      <c r="AO357" s="267"/>
      <c r="AP357" s="267"/>
      <c r="AQ357" s="267"/>
      <c r="AR357" s="267"/>
      <c r="AS357" s="267"/>
      <c r="AT357" s="267"/>
      <c r="AU357" s="267"/>
      <c r="AV357" s="267"/>
      <c r="AW357" s="267"/>
      <c r="AX357" s="267"/>
      <c r="AY357" s="267"/>
      <c r="AZ357" s="267"/>
      <c r="BA357" s="267"/>
      <c r="BB357" s="267"/>
      <c r="BC357" s="267"/>
      <c r="BD357" s="267"/>
      <c r="BE357" s="267"/>
      <c r="BF357" s="267"/>
      <c r="BG357" s="267"/>
      <c r="BH357" s="267"/>
      <c r="BI357" s="267"/>
      <c r="BJ357" s="267"/>
      <c r="BK357" s="414"/>
      <c r="BL357" s="414"/>
      <c r="BM357" s="414"/>
      <c r="BN357" s="267"/>
      <c r="BO357" s="267"/>
      <c r="BP357" s="267"/>
      <c r="BQ357" s="267"/>
      <c r="BR357" s="267"/>
      <c r="BS357" s="267"/>
      <c r="BT357" s="267"/>
      <c r="BU357" s="267"/>
      <c r="BV357" s="267"/>
      <c r="BW357" s="267"/>
      <c r="BX357" s="267"/>
      <c r="BY357" s="267"/>
      <c r="BZ357" s="269"/>
      <c r="CA357" s="269"/>
      <c r="CB357" s="269"/>
    </row>
    <row r="358" spans="1:80" ht="92.25" customHeight="1" x14ac:dyDescent="0.2">
      <c r="A358" s="42"/>
      <c r="B358" s="42"/>
      <c r="C358" s="714">
        <v>37</v>
      </c>
      <c r="D358" s="709" t="s">
        <v>467</v>
      </c>
      <c r="E358" s="714" t="s">
        <v>468</v>
      </c>
      <c r="F358" s="714">
        <v>60</v>
      </c>
      <c r="G358" s="43"/>
      <c r="H358" s="57">
        <v>244</v>
      </c>
      <c r="I358" s="729" t="s">
        <v>469</v>
      </c>
      <c r="J358" s="44" t="s">
        <v>43</v>
      </c>
      <c r="K358" s="45">
        <v>12</v>
      </c>
      <c r="L358" s="45">
        <v>7</v>
      </c>
      <c r="M358" s="46">
        <v>201700360034</v>
      </c>
      <c r="N358" s="57" t="s">
        <v>470</v>
      </c>
      <c r="O358" s="57" t="s">
        <v>471</v>
      </c>
      <c r="P358" s="729" t="s">
        <v>984</v>
      </c>
      <c r="Q358" s="57" t="s">
        <v>67</v>
      </c>
      <c r="R358" s="401">
        <v>0</v>
      </c>
      <c r="S358" s="401"/>
      <c r="T358" s="401"/>
      <c r="U358" s="401">
        <v>0</v>
      </c>
      <c r="V358" s="401"/>
      <c r="W358" s="401"/>
      <c r="X358" s="401">
        <v>0</v>
      </c>
      <c r="Y358" s="401"/>
      <c r="Z358" s="401"/>
      <c r="AA358" s="401">
        <v>0</v>
      </c>
      <c r="AB358" s="401"/>
      <c r="AC358" s="401"/>
      <c r="AD358" s="401">
        <v>0</v>
      </c>
      <c r="AE358" s="401"/>
      <c r="AF358" s="401"/>
      <c r="AG358" s="401">
        <v>0</v>
      </c>
      <c r="AH358" s="401"/>
      <c r="AI358" s="401"/>
      <c r="AJ358" s="401">
        <v>0</v>
      </c>
      <c r="AK358" s="401"/>
      <c r="AL358" s="401"/>
      <c r="AM358" s="401"/>
      <c r="AN358" s="401"/>
      <c r="AO358" s="401"/>
      <c r="AP358" s="401"/>
      <c r="AQ358" s="401"/>
      <c r="AR358" s="401"/>
      <c r="AS358" s="401">
        <v>0</v>
      </c>
      <c r="AT358" s="401"/>
      <c r="AU358" s="401"/>
      <c r="AV358" s="401">
        <v>0</v>
      </c>
      <c r="AW358" s="401"/>
      <c r="AX358" s="401"/>
      <c r="AY358" s="401"/>
      <c r="AZ358" s="401"/>
      <c r="BA358" s="401"/>
      <c r="BB358" s="401"/>
      <c r="BC358" s="401"/>
      <c r="BD358" s="401"/>
      <c r="BE358" s="401">
        <v>0</v>
      </c>
      <c r="BF358" s="401"/>
      <c r="BG358" s="401"/>
      <c r="BH358" s="401">
        <v>0</v>
      </c>
      <c r="BI358" s="403"/>
      <c r="BJ358" s="403"/>
      <c r="BK358" s="404">
        <f>567000000+60000000</f>
        <v>627000000</v>
      </c>
      <c r="BL358" s="404">
        <v>470081984</v>
      </c>
      <c r="BM358" s="404">
        <v>338903652</v>
      </c>
      <c r="BN358" s="404"/>
      <c r="BO358" s="404"/>
      <c r="BP358" s="404"/>
      <c r="BQ358" s="401">
        <v>0</v>
      </c>
      <c r="BR358" s="403"/>
      <c r="BS358" s="403"/>
      <c r="BT358" s="403"/>
      <c r="BU358" s="403"/>
      <c r="BV358" s="403"/>
      <c r="BW358" s="403"/>
      <c r="BX358" s="403"/>
      <c r="BY358" s="403"/>
      <c r="BZ358" s="401">
        <f t="shared" ref="BZ358:CB359" si="148">R358+U358+X358+AA358+AD358+AG358+AJ358+AM358+AP358+AS358+AV358+AY358+BB358+BE358+BH358+BK358+BN358+BQ358+BT358+BW358</f>
        <v>627000000</v>
      </c>
      <c r="CA358" s="401">
        <f t="shared" si="148"/>
        <v>470081984</v>
      </c>
      <c r="CB358" s="401">
        <f t="shared" si="148"/>
        <v>338903652</v>
      </c>
    </row>
    <row r="359" spans="1:80" ht="69" customHeight="1" x14ac:dyDescent="0.2">
      <c r="A359" s="42"/>
      <c r="B359" s="42"/>
      <c r="C359" s="713">
        <v>37</v>
      </c>
      <c r="D359" s="707" t="s">
        <v>473</v>
      </c>
      <c r="E359" s="713" t="s">
        <v>468</v>
      </c>
      <c r="F359" s="713">
        <v>60</v>
      </c>
      <c r="G359" s="92"/>
      <c r="H359" s="57">
        <v>245</v>
      </c>
      <c r="I359" s="729" t="s">
        <v>474</v>
      </c>
      <c r="J359" s="44" t="s">
        <v>43</v>
      </c>
      <c r="K359" s="45">
        <v>1</v>
      </c>
      <c r="L359" s="45">
        <v>1</v>
      </c>
      <c r="M359" s="46">
        <v>201700360035</v>
      </c>
      <c r="N359" s="57" t="s">
        <v>470</v>
      </c>
      <c r="O359" s="57" t="s">
        <v>475</v>
      </c>
      <c r="P359" s="729" t="s">
        <v>476</v>
      </c>
      <c r="Q359" s="57" t="s">
        <v>52</v>
      </c>
      <c r="R359" s="401">
        <v>0</v>
      </c>
      <c r="S359" s="401"/>
      <c r="T359" s="401"/>
      <c r="U359" s="401">
        <v>0</v>
      </c>
      <c r="V359" s="401"/>
      <c r="W359" s="401"/>
      <c r="X359" s="401">
        <v>0</v>
      </c>
      <c r="Y359" s="401"/>
      <c r="Z359" s="401"/>
      <c r="AA359" s="401">
        <v>0</v>
      </c>
      <c r="AB359" s="401"/>
      <c r="AC359" s="401"/>
      <c r="AD359" s="401">
        <v>0</v>
      </c>
      <c r="AE359" s="401"/>
      <c r="AF359" s="401"/>
      <c r="AG359" s="401">
        <v>0</v>
      </c>
      <c r="AH359" s="401"/>
      <c r="AI359" s="401"/>
      <c r="AJ359" s="401">
        <v>0</v>
      </c>
      <c r="AK359" s="401"/>
      <c r="AL359" s="401"/>
      <c r="AM359" s="401"/>
      <c r="AN359" s="401"/>
      <c r="AO359" s="401"/>
      <c r="AP359" s="401"/>
      <c r="AQ359" s="401"/>
      <c r="AR359" s="401"/>
      <c r="AS359" s="401">
        <v>0</v>
      </c>
      <c r="AT359" s="401"/>
      <c r="AU359" s="401"/>
      <c r="AV359" s="401">
        <v>0</v>
      </c>
      <c r="AW359" s="401"/>
      <c r="AX359" s="401"/>
      <c r="AY359" s="401"/>
      <c r="AZ359" s="401"/>
      <c r="BA359" s="401"/>
      <c r="BB359" s="401"/>
      <c r="BC359" s="401"/>
      <c r="BD359" s="401"/>
      <c r="BE359" s="401">
        <v>0</v>
      </c>
      <c r="BF359" s="401"/>
      <c r="BG359" s="401"/>
      <c r="BH359" s="401">
        <v>0</v>
      </c>
      <c r="BI359" s="403"/>
      <c r="BJ359" s="403"/>
      <c r="BK359" s="404">
        <v>60000000</v>
      </c>
      <c r="BL359" s="404">
        <v>2980000</v>
      </c>
      <c r="BM359" s="404"/>
      <c r="BN359" s="404"/>
      <c r="BO359" s="404"/>
      <c r="BP359" s="404"/>
      <c r="BQ359" s="401">
        <v>0</v>
      </c>
      <c r="BR359" s="403"/>
      <c r="BS359" s="403"/>
      <c r="BT359" s="403"/>
      <c r="BU359" s="403"/>
      <c r="BV359" s="403"/>
      <c r="BW359" s="403"/>
      <c r="BX359" s="403"/>
      <c r="BY359" s="403"/>
      <c r="BZ359" s="401">
        <f t="shared" si="148"/>
        <v>60000000</v>
      </c>
      <c r="CA359" s="401">
        <f t="shared" si="148"/>
        <v>2980000</v>
      </c>
      <c r="CB359" s="401">
        <f t="shared" si="148"/>
        <v>0</v>
      </c>
    </row>
    <row r="360" spans="1:80" ht="30" customHeight="1" x14ac:dyDescent="0.2">
      <c r="A360" s="42"/>
      <c r="B360" s="55"/>
      <c r="C360" s="714"/>
      <c r="D360" s="709"/>
      <c r="E360" s="714"/>
      <c r="F360" s="714"/>
      <c r="G360" s="58"/>
      <c r="H360" s="59"/>
      <c r="I360" s="58"/>
      <c r="J360" s="60"/>
      <c r="K360" s="113"/>
      <c r="L360" s="113"/>
      <c r="M360" s="113"/>
      <c r="N360" s="59"/>
      <c r="O360" s="59"/>
      <c r="P360" s="58"/>
      <c r="Q360" s="59"/>
      <c r="R360" s="410">
        <f t="shared" ref="R360:BY360" si="149">SUM(R358:R359)</f>
        <v>0</v>
      </c>
      <c r="S360" s="410">
        <f t="shared" si="149"/>
        <v>0</v>
      </c>
      <c r="T360" s="410">
        <f t="shared" si="149"/>
        <v>0</v>
      </c>
      <c r="U360" s="410">
        <f t="shared" si="149"/>
        <v>0</v>
      </c>
      <c r="V360" s="410">
        <f t="shared" si="149"/>
        <v>0</v>
      </c>
      <c r="W360" s="410">
        <f t="shared" si="149"/>
        <v>0</v>
      </c>
      <c r="X360" s="410">
        <f t="shared" si="149"/>
        <v>0</v>
      </c>
      <c r="Y360" s="410">
        <f t="shared" si="149"/>
        <v>0</v>
      </c>
      <c r="Z360" s="410">
        <f t="shared" si="149"/>
        <v>0</v>
      </c>
      <c r="AA360" s="410">
        <f t="shared" si="149"/>
        <v>0</v>
      </c>
      <c r="AB360" s="410">
        <f t="shared" si="149"/>
        <v>0</v>
      </c>
      <c r="AC360" s="410">
        <f t="shared" si="149"/>
        <v>0</v>
      </c>
      <c r="AD360" s="410">
        <f t="shared" si="149"/>
        <v>0</v>
      </c>
      <c r="AE360" s="410">
        <f t="shared" si="149"/>
        <v>0</v>
      </c>
      <c r="AF360" s="410">
        <f t="shared" si="149"/>
        <v>0</v>
      </c>
      <c r="AG360" s="410">
        <f t="shared" si="149"/>
        <v>0</v>
      </c>
      <c r="AH360" s="410">
        <f t="shared" si="149"/>
        <v>0</v>
      </c>
      <c r="AI360" s="410">
        <f t="shared" si="149"/>
        <v>0</v>
      </c>
      <c r="AJ360" s="410">
        <f t="shared" si="149"/>
        <v>0</v>
      </c>
      <c r="AK360" s="410">
        <f t="shared" si="149"/>
        <v>0</v>
      </c>
      <c r="AL360" s="410">
        <f t="shared" si="149"/>
        <v>0</v>
      </c>
      <c r="AM360" s="410">
        <f t="shared" si="149"/>
        <v>0</v>
      </c>
      <c r="AN360" s="410">
        <f t="shared" si="149"/>
        <v>0</v>
      </c>
      <c r="AO360" s="410">
        <f t="shared" si="149"/>
        <v>0</v>
      </c>
      <c r="AP360" s="410">
        <f t="shared" si="149"/>
        <v>0</v>
      </c>
      <c r="AQ360" s="410">
        <f t="shared" si="149"/>
        <v>0</v>
      </c>
      <c r="AR360" s="410">
        <f t="shared" si="149"/>
        <v>0</v>
      </c>
      <c r="AS360" s="410">
        <f t="shared" si="149"/>
        <v>0</v>
      </c>
      <c r="AT360" s="410">
        <f t="shared" si="149"/>
        <v>0</v>
      </c>
      <c r="AU360" s="410">
        <f t="shared" si="149"/>
        <v>0</v>
      </c>
      <c r="AV360" s="410">
        <f t="shared" si="149"/>
        <v>0</v>
      </c>
      <c r="AW360" s="410">
        <f t="shared" si="149"/>
        <v>0</v>
      </c>
      <c r="AX360" s="410">
        <f t="shared" si="149"/>
        <v>0</v>
      </c>
      <c r="AY360" s="410">
        <f t="shared" si="149"/>
        <v>0</v>
      </c>
      <c r="AZ360" s="410">
        <f t="shared" si="149"/>
        <v>0</v>
      </c>
      <c r="BA360" s="410">
        <f t="shared" si="149"/>
        <v>0</v>
      </c>
      <c r="BB360" s="410">
        <f t="shared" si="149"/>
        <v>0</v>
      </c>
      <c r="BC360" s="410">
        <f t="shared" si="149"/>
        <v>0</v>
      </c>
      <c r="BD360" s="410">
        <f t="shared" si="149"/>
        <v>0</v>
      </c>
      <c r="BE360" s="410">
        <f t="shared" si="149"/>
        <v>0</v>
      </c>
      <c r="BF360" s="410">
        <f t="shared" si="149"/>
        <v>0</v>
      </c>
      <c r="BG360" s="410">
        <f t="shared" si="149"/>
        <v>0</v>
      </c>
      <c r="BH360" s="410">
        <f t="shared" si="149"/>
        <v>0</v>
      </c>
      <c r="BI360" s="410">
        <f t="shared" si="149"/>
        <v>0</v>
      </c>
      <c r="BJ360" s="410">
        <f t="shared" si="149"/>
        <v>0</v>
      </c>
      <c r="BK360" s="410">
        <f t="shared" si="149"/>
        <v>687000000</v>
      </c>
      <c r="BL360" s="410">
        <f t="shared" si="149"/>
        <v>473061984</v>
      </c>
      <c r="BM360" s="410">
        <f t="shared" si="149"/>
        <v>338903652</v>
      </c>
      <c r="BN360" s="410">
        <f t="shared" si="149"/>
        <v>0</v>
      </c>
      <c r="BO360" s="410">
        <f t="shared" si="149"/>
        <v>0</v>
      </c>
      <c r="BP360" s="410">
        <f t="shared" si="149"/>
        <v>0</v>
      </c>
      <c r="BQ360" s="410">
        <f t="shared" si="149"/>
        <v>0</v>
      </c>
      <c r="BR360" s="410">
        <f t="shared" si="149"/>
        <v>0</v>
      </c>
      <c r="BS360" s="410">
        <f t="shared" si="149"/>
        <v>0</v>
      </c>
      <c r="BT360" s="410">
        <f t="shared" si="149"/>
        <v>0</v>
      </c>
      <c r="BU360" s="410">
        <f t="shared" si="149"/>
        <v>0</v>
      </c>
      <c r="BV360" s="410">
        <f t="shared" si="149"/>
        <v>0</v>
      </c>
      <c r="BW360" s="410">
        <f t="shared" si="149"/>
        <v>0</v>
      </c>
      <c r="BX360" s="410">
        <f t="shared" si="149"/>
        <v>0</v>
      </c>
      <c r="BY360" s="410">
        <f t="shared" si="149"/>
        <v>0</v>
      </c>
      <c r="BZ360" s="410">
        <f>SUM(BZ358:BZ359)</f>
        <v>687000000</v>
      </c>
      <c r="CA360" s="410">
        <f t="shared" ref="CA360:CB360" si="150">SUM(CA358:CA359)</f>
        <v>473061984</v>
      </c>
      <c r="CB360" s="410">
        <f t="shared" si="150"/>
        <v>338903652</v>
      </c>
    </row>
    <row r="361" spans="1:80" ht="30" customHeight="1" x14ac:dyDescent="0.2">
      <c r="A361" s="42"/>
      <c r="B361" s="95"/>
      <c r="C361" s="63"/>
      <c r="D361" s="62"/>
      <c r="E361" s="63"/>
      <c r="F361" s="63"/>
      <c r="G361" s="62"/>
      <c r="H361" s="63"/>
      <c r="I361" s="62"/>
      <c r="J361" s="64"/>
      <c r="K361" s="115"/>
      <c r="L361" s="115"/>
      <c r="M361" s="115"/>
      <c r="N361" s="63"/>
      <c r="O361" s="63"/>
      <c r="P361" s="62"/>
      <c r="Q361" s="63"/>
      <c r="R361" s="416">
        <f t="shared" ref="R361:CB361" si="151">R360</f>
        <v>0</v>
      </c>
      <c r="S361" s="416">
        <f t="shared" si="151"/>
        <v>0</v>
      </c>
      <c r="T361" s="416">
        <f t="shared" si="151"/>
        <v>0</v>
      </c>
      <c r="U361" s="416">
        <f t="shared" si="151"/>
        <v>0</v>
      </c>
      <c r="V361" s="416">
        <f t="shared" si="151"/>
        <v>0</v>
      </c>
      <c r="W361" s="416">
        <f t="shared" si="151"/>
        <v>0</v>
      </c>
      <c r="X361" s="416">
        <f t="shared" si="151"/>
        <v>0</v>
      </c>
      <c r="Y361" s="416">
        <f t="shared" si="151"/>
        <v>0</v>
      </c>
      <c r="Z361" s="416">
        <f t="shared" si="151"/>
        <v>0</v>
      </c>
      <c r="AA361" s="416">
        <f t="shared" si="151"/>
        <v>0</v>
      </c>
      <c r="AB361" s="416">
        <f t="shared" si="151"/>
        <v>0</v>
      </c>
      <c r="AC361" s="416">
        <f t="shared" si="151"/>
        <v>0</v>
      </c>
      <c r="AD361" s="416">
        <f t="shared" si="151"/>
        <v>0</v>
      </c>
      <c r="AE361" s="416">
        <f t="shared" si="151"/>
        <v>0</v>
      </c>
      <c r="AF361" s="416">
        <f t="shared" si="151"/>
        <v>0</v>
      </c>
      <c r="AG361" s="416">
        <f t="shared" si="151"/>
        <v>0</v>
      </c>
      <c r="AH361" s="416">
        <f t="shared" si="151"/>
        <v>0</v>
      </c>
      <c r="AI361" s="416">
        <f t="shared" si="151"/>
        <v>0</v>
      </c>
      <c r="AJ361" s="416">
        <f t="shared" si="151"/>
        <v>0</v>
      </c>
      <c r="AK361" s="416">
        <f t="shared" si="151"/>
        <v>0</v>
      </c>
      <c r="AL361" s="416">
        <f t="shared" si="151"/>
        <v>0</v>
      </c>
      <c r="AM361" s="416">
        <f t="shared" si="151"/>
        <v>0</v>
      </c>
      <c r="AN361" s="416">
        <f t="shared" si="151"/>
        <v>0</v>
      </c>
      <c r="AO361" s="416">
        <f t="shared" si="151"/>
        <v>0</v>
      </c>
      <c r="AP361" s="416">
        <f t="shared" si="151"/>
        <v>0</v>
      </c>
      <c r="AQ361" s="416">
        <f t="shared" si="151"/>
        <v>0</v>
      </c>
      <c r="AR361" s="416">
        <f t="shared" si="151"/>
        <v>0</v>
      </c>
      <c r="AS361" s="416">
        <f t="shared" si="151"/>
        <v>0</v>
      </c>
      <c r="AT361" s="416">
        <f t="shared" si="151"/>
        <v>0</v>
      </c>
      <c r="AU361" s="416">
        <f t="shared" si="151"/>
        <v>0</v>
      </c>
      <c r="AV361" s="416">
        <f t="shared" si="151"/>
        <v>0</v>
      </c>
      <c r="AW361" s="416">
        <f t="shared" si="151"/>
        <v>0</v>
      </c>
      <c r="AX361" s="416">
        <f t="shared" si="151"/>
        <v>0</v>
      </c>
      <c r="AY361" s="416">
        <f t="shared" si="151"/>
        <v>0</v>
      </c>
      <c r="AZ361" s="416">
        <f t="shared" si="151"/>
        <v>0</v>
      </c>
      <c r="BA361" s="416">
        <f t="shared" si="151"/>
        <v>0</v>
      </c>
      <c r="BB361" s="416">
        <f t="shared" si="151"/>
        <v>0</v>
      </c>
      <c r="BC361" s="416">
        <f t="shared" si="151"/>
        <v>0</v>
      </c>
      <c r="BD361" s="416">
        <f t="shared" si="151"/>
        <v>0</v>
      </c>
      <c r="BE361" s="416">
        <f t="shared" si="151"/>
        <v>0</v>
      </c>
      <c r="BF361" s="416">
        <f t="shared" si="151"/>
        <v>0</v>
      </c>
      <c r="BG361" s="416">
        <f t="shared" si="151"/>
        <v>0</v>
      </c>
      <c r="BH361" s="416">
        <f t="shared" si="151"/>
        <v>0</v>
      </c>
      <c r="BI361" s="416">
        <f t="shared" si="151"/>
        <v>0</v>
      </c>
      <c r="BJ361" s="416">
        <f t="shared" si="151"/>
        <v>0</v>
      </c>
      <c r="BK361" s="416">
        <f t="shared" si="151"/>
        <v>687000000</v>
      </c>
      <c r="BL361" s="416">
        <f t="shared" si="151"/>
        <v>473061984</v>
      </c>
      <c r="BM361" s="416">
        <f t="shared" si="151"/>
        <v>338903652</v>
      </c>
      <c r="BN361" s="416">
        <f t="shared" si="151"/>
        <v>0</v>
      </c>
      <c r="BO361" s="416">
        <f t="shared" si="151"/>
        <v>0</v>
      </c>
      <c r="BP361" s="416">
        <f t="shared" si="151"/>
        <v>0</v>
      </c>
      <c r="BQ361" s="416">
        <f t="shared" si="151"/>
        <v>0</v>
      </c>
      <c r="BR361" s="416">
        <f t="shared" si="151"/>
        <v>0</v>
      </c>
      <c r="BS361" s="416">
        <f t="shared" si="151"/>
        <v>0</v>
      </c>
      <c r="BT361" s="416">
        <f t="shared" si="151"/>
        <v>0</v>
      </c>
      <c r="BU361" s="416">
        <f t="shared" si="151"/>
        <v>0</v>
      </c>
      <c r="BV361" s="416">
        <f t="shared" si="151"/>
        <v>0</v>
      </c>
      <c r="BW361" s="416">
        <f t="shared" si="151"/>
        <v>0</v>
      </c>
      <c r="BX361" s="416">
        <f t="shared" si="151"/>
        <v>0</v>
      </c>
      <c r="BY361" s="416">
        <f t="shared" si="151"/>
        <v>0</v>
      </c>
      <c r="BZ361" s="416">
        <f t="shared" si="151"/>
        <v>687000000</v>
      </c>
      <c r="CA361" s="416">
        <f t="shared" si="151"/>
        <v>473061984</v>
      </c>
      <c r="CB361" s="416">
        <f t="shared" si="151"/>
        <v>338903652</v>
      </c>
    </row>
    <row r="362" spans="1:80" ht="30" customHeight="1" x14ac:dyDescent="0.2">
      <c r="A362" s="42"/>
      <c r="B362" s="72"/>
      <c r="C362" s="150"/>
      <c r="D362" s="72"/>
      <c r="E362" s="150"/>
      <c r="F362" s="150"/>
      <c r="G362" s="72"/>
      <c r="H362" s="150"/>
      <c r="I362" s="72"/>
      <c r="J362" s="73"/>
      <c r="K362" s="261"/>
      <c r="L362" s="261"/>
      <c r="M362" s="261"/>
      <c r="N362" s="150"/>
      <c r="O362" s="150"/>
      <c r="P362" s="72"/>
      <c r="Q362" s="150"/>
      <c r="R362" s="405"/>
      <c r="S362" s="405"/>
      <c r="T362" s="405"/>
      <c r="U362" s="405"/>
      <c r="V362" s="405"/>
      <c r="W362" s="405"/>
      <c r="X362" s="405"/>
      <c r="Y362" s="405"/>
      <c r="Z362" s="405"/>
      <c r="AA362" s="405"/>
      <c r="AB362" s="405"/>
      <c r="AC362" s="405"/>
      <c r="AD362" s="405"/>
      <c r="AE362" s="405"/>
      <c r="AF362" s="405"/>
      <c r="AG362" s="405"/>
      <c r="AH362" s="405"/>
      <c r="AI362" s="405"/>
      <c r="AJ362" s="405"/>
      <c r="AK362" s="405"/>
      <c r="AL362" s="405"/>
      <c r="AM362" s="405"/>
      <c r="AN362" s="405"/>
      <c r="AO362" s="405"/>
      <c r="AP362" s="405"/>
      <c r="AQ362" s="405"/>
      <c r="AR362" s="405"/>
      <c r="AS362" s="405"/>
      <c r="AT362" s="405"/>
      <c r="AU362" s="405"/>
      <c r="AV362" s="405"/>
      <c r="AW362" s="405"/>
      <c r="AX362" s="405"/>
      <c r="AY362" s="405"/>
      <c r="AZ362" s="405"/>
      <c r="BA362" s="405"/>
      <c r="BB362" s="405"/>
      <c r="BC362" s="405"/>
      <c r="BD362" s="405"/>
      <c r="BE362" s="405"/>
      <c r="BF362" s="405"/>
      <c r="BG362" s="405"/>
      <c r="BH362" s="405"/>
      <c r="BI362" s="405"/>
      <c r="BJ362" s="405"/>
      <c r="BK362" s="407"/>
      <c r="BL362" s="407"/>
      <c r="BM362" s="407"/>
      <c r="BN362" s="408"/>
      <c r="BO362" s="408"/>
      <c r="BP362" s="408"/>
      <c r="BQ362" s="405"/>
      <c r="BR362" s="405"/>
      <c r="BS362" s="405"/>
      <c r="BT362" s="405"/>
      <c r="BU362" s="405"/>
      <c r="BV362" s="405"/>
      <c r="BW362" s="405"/>
      <c r="BX362" s="405"/>
      <c r="BY362" s="405"/>
      <c r="BZ362" s="409"/>
      <c r="CA362" s="409"/>
      <c r="CB362" s="409"/>
    </row>
    <row r="363" spans="1:80" ht="30" customHeight="1" x14ac:dyDescent="0.2">
      <c r="A363" s="42"/>
      <c r="B363" s="125">
        <v>28</v>
      </c>
      <c r="C363" s="40" t="s">
        <v>38</v>
      </c>
      <c r="D363" s="39"/>
      <c r="E363" s="39"/>
      <c r="F363" s="39"/>
      <c r="G363" s="39"/>
      <c r="H363" s="40"/>
      <c r="I363" s="39"/>
      <c r="J363" s="39"/>
      <c r="K363" s="126"/>
      <c r="L363" s="126"/>
      <c r="M363" s="126"/>
      <c r="N363" s="361"/>
      <c r="O363" s="40"/>
      <c r="P363" s="39"/>
      <c r="Q363" s="39"/>
      <c r="R363" s="412"/>
      <c r="S363" s="412"/>
      <c r="T363" s="412"/>
      <c r="U363" s="412"/>
      <c r="V363" s="412"/>
      <c r="W363" s="412"/>
      <c r="X363" s="412"/>
      <c r="Y363" s="412"/>
      <c r="Z363" s="412"/>
      <c r="AA363" s="412"/>
      <c r="AB363" s="412"/>
      <c r="AC363" s="412"/>
      <c r="AD363" s="412"/>
      <c r="AE363" s="412"/>
      <c r="AF363" s="412"/>
      <c r="AG363" s="412"/>
      <c r="AH363" s="412"/>
      <c r="AI363" s="412"/>
      <c r="AJ363" s="412"/>
      <c r="AK363" s="412"/>
      <c r="AL363" s="412"/>
      <c r="AM363" s="412"/>
      <c r="AN363" s="412"/>
      <c r="AO363" s="412"/>
      <c r="AP363" s="412"/>
      <c r="AQ363" s="412"/>
      <c r="AR363" s="412"/>
      <c r="AS363" s="412"/>
      <c r="AT363" s="412"/>
      <c r="AU363" s="412"/>
      <c r="AV363" s="412"/>
      <c r="AW363" s="412"/>
      <c r="AX363" s="412"/>
      <c r="AY363" s="412"/>
      <c r="AZ363" s="412"/>
      <c r="BA363" s="412"/>
      <c r="BB363" s="412"/>
      <c r="BC363" s="412"/>
      <c r="BD363" s="412"/>
      <c r="BE363" s="412"/>
      <c r="BF363" s="412"/>
      <c r="BG363" s="412"/>
      <c r="BH363" s="412"/>
      <c r="BI363" s="412"/>
      <c r="BJ363" s="412"/>
      <c r="BK363" s="413"/>
      <c r="BL363" s="413"/>
      <c r="BM363" s="413"/>
      <c r="BN363" s="412"/>
      <c r="BO363" s="412"/>
      <c r="BP363" s="412"/>
      <c r="BQ363" s="412"/>
      <c r="BR363" s="412"/>
      <c r="BS363" s="412"/>
      <c r="BT363" s="412"/>
      <c r="BU363" s="412"/>
      <c r="BV363" s="412"/>
      <c r="BW363" s="412"/>
      <c r="BX363" s="412"/>
      <c r="BY363" s="412"/>
      <c r="BZ363" s="417"/>
      <c r="CA363" s="417"/>
      <c r="CB363" s="417"/>
    </row>
    <row r="364" spans="1:80" ht="30" customHeight="1" x14ac:dyDescent="0.2">
      <c r="A364" s="42"/>
      <c r="B364" s="76"/>
      <c r="C364" s="713"/>
      <c r="D364" s="707"/>
      <c r="E364" s="713"/>
      <c r="F364" s="713"/>
      <c r="G364" s="219">
        <v>89</v>
      </c>
      <c r="H364" s="80" t="s">
        <v>39</v>
      </c>
      <c r="I364" s="80"/>
      <c r="J364" s="80"/>
      <c r="K364" s="128"/>
      <c r="L364" s="128"/>
      <c r="M364" s="128"/>
      <c r="N364" s="245"/>
      <c r="O364" s="173"/>
      <c r="P364" s="80"/>
      <c r="Q364" s="80"/>
      <c r="R364" s="267"/>
      <c r="S364" s="267"/>
      <c r="T364" s="267"/>
      <c r="U364" s="267"/>
      <c r="V364" s="267"/>
      <c r="W364" s="267"/>
      <c r="X364" s="267"/>
      <c r="Y364" s="267"/>
      <c r="Z364" s="267"/>
      <c r="AA364" s="267"/>
      <c r="AB364" s="267"/>
      <c r="AC364" s="267"/>
      <c r="AD364" s="267"/>
      <c r="AE364" s="267"/>
      <c r="AF364" s="267"/>
      <c r="AG364" s="267"/>
      <c r="AH364" s="267"/>
      <c r="AI364" s="267"/>
      <c r="AJ364" s="267"/>
      <c r="AK364" s="267"/>
      <c r="AL364" s="267"/>
      <c r="AM364" s="267"/>
      <c r="AN364" s="267"/>
      <c r="AO364" s="267"/>
      <c r="AP364" s="267"/>
      <c r="AQ364" s="267"/>
      <c r="AR364" s="267"/>
      <c r="AS364" s="267"/>
      <c r="AT364" s="267"/>
      <c r="AU364" s="267"/>
      <c r="AV364" s="267"/>
      <c r="AW364" s="267"/>
      <c r="AX364" s="267"/>
      <c r="AY364" s="267"/>
      <c r="AZ364" s="267"/>
      <c r="BA364" s="267"/>
      <c r="BB364" s="267"/>
      <c r="BC364" s="267"/>
      <c r="BD364" s="267"/>
      <c r="BE364" s="267"/>
      <c r="BF364" s="267"/>
      <c r="BG364" s="267"/>
      <c r="BH364" s="267"/>
      <c r="BI364" s="267"/>
      <c r="BJ364" s="267"/>
      <c r="BK364" s="414"/>
      <c r="BL364" s="414"/>
      <c r="BM364" s="414"/>
      <c r="BN364" s="267"/>
      <c r="BO364" s="267"/>
      <c r="BP364" s="267"/>
      <c r="BQ364" s="267"/>
      <c r="BR364" s="267"/>
      <c r="BS364" s="267"/>
      <c r="BT364" s="267"/>
      <c r="BU364" s="267"/>
      <c r="BV364" s="267"/>
      <c r="BW364" s="267"/>
      <c r="BX364" s="267"/>
      <c r="BY364" s="267"/>
      <c r="BZ364" s="269"/>
      <c r="CA364" s="269"/>
      <c r="CB364" s="269"/>
    </row>
    <row r="365" spans="1:80" ht="87.75" customHeight="1" x14ac:dyDescent="0.2">
      <c r="A365" s="42"/>
      <c r="B365" s="42"/>
      <c r="C365" s="713">
        <v>37</v>
      </c>
      <c r="D365" s="707" t="s">
        <v>467</v>
      </c>
      <c r="E365" s="713" t="s">
        <v>468</v>
      </c>
      <c r="F365" s="713">
        <v>60</v>
      </c>
      <c r="G365" s="729"/>
      <c r="H365" s="57">
        <v>288</v>
      </c>
      <c r="I365" s="729" t="s">
        <v>477</v>
      </c>
      <c r="J365" s="44">
        <v>1</v>
      </c>
      <c r="K365" s="45">
        <v>1</v>
      </c>
      <c r="L365" s="110">
        <v>0.28999999999999998</v>
      </c>
      <c r="M365" s="46">
        <v>201700360033</v>
      </c>
      <c r="N365" s="57" t="s">
        <v>470</v>
      </c>
      <c r="O365" s="57" t="s">
        <v>478</v>
      </c>
      <c r="P365" s="729" t="s">
        <v>985</v>
      </c>
      <c r="Q365" s="57" t="s">
        <v>52</v>
      </c>
      <c r="R365" s="401"/>
      <c r="S365" s="401"/>
      <c r="T365" s="401"/>
      <c r="U365" s="401"/>
      <c r="V365" s="401"/>
      <c r="W365" s="401"/>
      <c r="X365" s="401"/>
      <c r="Y365" s="401"/>
      <c r="Z365" s="401"/>
      <c r="AA365" s="401"/>
      <c r="AB365" s="401"/>
      <c r="AC365" s="401"/>
      <c r="AD365" s="401"/>
      <c r="AE365" s="401"/>
      <c r="AF365" s="401"/>
      <c r="AG365" s="401"/>
      <c r="AH365" s="401"/>
      <c r="AI365" s="401"/>
      <c r="AJ365" s="401"/>
      <c r="AK365" s="401"/>
      <c r="AL365" s="401"/>
      <c r="AM365" s="401"/>
      <c r="AN365" s="401"/>
      <c r="AO365" s="401"/>
      <c r="AP365" s="401"/>
      <c r="AQ365" s="401"/>
      <c r="AR365" s="401"/>
      <c r="AS365" s="401"/>
      <c r="AT365" s="401"/>
      <c r="AU365" s="401"/>
      <c r="AV365" s="401"/>
      <c r="AW365" s="401"/>
      <c r="AX365" s="401"/>
      <c r="AY365" s="401"/>
      <c r="AZ365" s="401"/>
      <c r="BA365" s="401"/>
      <c r="BB365" s="401"/>
      <c r="BC365" s="401"/>
      <c r="BD365" s="401"/>
      <c r="BE365" s="401"/>
      <c r="BF365" s="401"/>
      <c r="BG365" s="401"/>
      <c r="BH365" s="401"/>
      <c r="BI365" s="401"/>
      <c r="BJ365" s="401"/>
      <c r="BK365" s="402">
        <f>617000000+200000000</f>
        <v>817000000</v>
      </c>
      <c r="BL365" s="402">
        <v>783057480</v>
      </c>
      <c r="BM365" s="402">
        <v>237936480</v>
      </c>
      <c r="BN365" s="402"/>
      <c r="BO365" s="402"/>
      <c r="BP365" s="402"/>
      <c r="BQ365" s="401"/>
      <c r="BR365" s="403"/>
      <c r="BS365" s="403"/>
      <c r="BT365" s="403"/>
      <c r="BU365" s="403"/>
      <c r="BV365" s="403"/>
      <c r="BW365" s="403"/>
      <c r="BX365" s="403"/>
      <c r="BY365" s="403"/>
      <c r="BZ365" s="401">
        <f>R365+U365+X365+AA365+AD365+AG365+AJ365+AM365+AP365+AS365+AV365+AY365+BB365+BE365+BH365+BK365+BN365+BQ365+BT365+BW365</f>
        <v>817000000</v>
      </c>
      <c r="CA365" s="401">
        <f t="shared" ref="CA365:CB365" si="152">S365+V365+Y365+AB365+AE365+AH365+AK365+AN365+AQ365+AT365+AW365+AZ365+BC365+BF365+BI365+BL365+BO365+BR365+BU365+BX365</f>
        <v>783057480</v>
      </c>
      <c r="CB365" s="401">
        <f t="shared" si="152"/>
        <v>237936480</v>
      </c>
    </row>
    <row r="366" spans="1:80" ht="30" customHeight="1" x14ac:dyDescent="0.2">
      <c r="A366" s="42"/>
      <c r="B366" s="55"/>
      <c r="C366" s="714"/>
      <c r="D366" s="709"/>
      <c r="E366" s="714"/>
      <c r="F366" s="714"/>
      <c r="G366" s="58"/>
      <c r="H366" s="59"/>
      <c r="I366" s="58"/>
      <c r="J366" s="60"/>
      <c r="K366" s="113"/>
      <c r="L366" s="113"/>
      <c r="M366" s="113"/>
      <c r="N366" s="60"/>
      <c r="O366" s="59"/>
      <c r="P366" s="58"/>
      <c r="Q366" s="59"/>
      <c r="R366" s="476">
        <f t="shared" ref="R366:BY366" si="153">SUM(R365)</f>
        <v>0</v>
      </c>
      <c r="S366" s="476">
        <f t="shared" si="153"/>
        <v>0</v>
      </c>
      <c r="T366" s="476">
        <f t="shared" si="153"/>
        <v>0</v>
      </c>
      <c r="U366" s="476">
        <f t="shared" si="153"/>
        <v>0</v>
      </c>
      <c r="V366" s="476">
        <f t="shared" si="153"/>
        <v>0</v>
      </c>
      <c r="W366" s="476">
        <f t="shared" si="153"/>
        <v>0</v>
      </c>
      <c r="X366" s="476">
        <f t="shared" si="153"/>
        <v>0</v>
      </c>
      <c r="Y366" s="476">
        <f t="shared" si="153"/>
        <v>0</v>
      </c>
      <c r="Z366" s="476">
        <f t="shared" si="153"/>
        <v>0</v>
      </c>
      <c r="AA366" s="476">
        <f t="shared" si="153"/>
        <v>0</v>
      </c>
      <c r="AB366" s="476">
        <f t="shared" si="153"/>
        <v>0</v>
      </c>
      <c r="AC366" s="476">
        <f t="shared" si="153"/>
        <v>0</v>
      </c>
      <c r="AD366" s="476">
        <f t="shared" si="153"/>
        <v>0</v>
      </c>
      <c r="AE366" s="476">
        <f t="shared" si="153"/>
        <v>0</v>
      </c>
      <c r="AF366" s="476">
        <f t="shared" si="153"/>
        <v>0</v>
      </c>
      <c r="AG366" s="476">
        <f t="shared" si="153"/>
        <v>0</v>
      </c>
      <c r="AH366" s="476">
        <f t="shared" si="153"/>
        <v>0</v>
      </c>
      <c r="AI366" s="476">
        <f t="shared" si="153"/>
        <v>0</v>
      </c>
      <c r="AJ366" s="476">
        <f t="shared" si="153"/>
        <v>0</v>
      </c>
      <c r="AK366" s="476">
        <f t="shared" si="153"/>
        <v>0</v>
      </c>
      <c r="AL366" s="476">
        <f t="shared" si="153"/>
        <v>0</v>
      </c>
      <c r="AM366" s="476">
        <f t="shared" si="153"/>
        <v>0</v>
      </c>
      <c r="AN366" s="476">
        <f t="shared" si="153"/>
        <v>0</v>
      </c>
      <c r="AO366" s="476">
        <f t="shared" si="153"/>
        <v>0</v>
      </c>
      <c r="AP366" s="476">
        <f t="shared" si="153"/>
        <v>0</v>
      </c>
      <c r="AQ366" s="476">
        <f t="shared" si="153"/>
        <v>0</v>
      </c>
      <c r="AR366" s="476">
        <f t="shared" si="153"/>
        <v>0</v>
      </c>
      <c r="AS366" s="476">
        <f t="shared" si="153"/>
        <v>0</v>
      </c>
      <c r="AT366" s="476">
        <f t="shared" si="153"/>
        <v>0</v>
      </c>
      <c r="AU366" s="476">
        <f t="shared" si="153"/>
        <v>0</v>
      </c>
      <c r="AV366" s="476">
        <f t="shared" si="153"/>
        <v>0</v>
      </c>
      <c r="AW366" s="476">
        <f t="shared" si="153"/>
        <v>0</v>
      </c>
      <c r="AX366" s="476">
        <f t="shared" si="153"/>
        <v>0</v>
      </c>
      <c r="AY366" s="476">
        <f t="shared" si="153"/>
        <v>0</v>
      </c>
      <c r="AZ366" s="476">
        <f t="shared" si="153"/>
        <v>0</v>
      </c>
      <c r="BA366" s="476">
        <f t="shared" si="153"/>
        <v>0</v>
      </c>
      <c r="BB366" s="476">
        <f t="shared" si="153"/>
        <v>0</v>
      </c>
      <c r="BC366" s="476">
        <f t="shared" si="153"/>
        <v>0</v>
      </c>
      <c r="BD366" s="476">
        <f t="shared" si="153"/>
        <v>0</v>
      </c>
      <c r="BE366" s="476">
        <f t="shared" si="153"/>
        <v>0</v>
      </c>
      <c r="BF366" s="476">
        <f t="shared" si="153"/>
        <v>0</v>
      </c>
      <c r="BG366" s="476">
        <f t="shared" si="153"/>
        <v>0</v>
      </c>
      <c r="BH366" s="476">
        <f t="shared" si="153"/>
        <v>0</v>
      </c>
      <c r="BI366" s="476">
        <f t="shared" si="153"/>
        <v>0</v>
      </c>
      <c r="BJ366" s="476">
        <f t="shared" si="153"/>
        <v>0</v>
      </c>
      <c r="BK366" s="476">
        <f t="shared" si="153"/>
        <v>817000000</v>
      </c>
      <c r="BL366" s="476">
        <f t="shared" si="153"/>
        <v>783057480</v>
      </c>
      <c r="BM366" s="476">
        <f t="shared" si="153"/>
        <v>237936480</v>
      </c>
      <c r="BN366" s="476">
        <f t="shared" si="153"/>
        <v>0</v>
      </c>
      <c r="BO366" s="476">
        <f t="shared" si="153"/>
        <v>0</v>
      </c>
      <c r="BP366" s="476">
        <f t="shared" si="153"/>
        <v>0</v>
      </c>
      <c r="BQ366" s="476">
        <f t="shared" si="153"/>
        <v>0</v>
      </c>
      <c r="BR366" s="476">
        <f t="shared" si="153"/>
        <v>0</v>
      </c>
      <c r="BS366" s="476">
        <f t="shared" si="153"/>
        <v>0</v>
      </c>
      <c r="BT366" s="476">
        <f t="shared" si="153"/>
        <v>0</v>
      </c>
      <c r="BU366" s="476">
        <f t="shared" si="153"/>
        <v>0</v>
      </c>
      <c r="BV366" s="476">
        <f t="shared" si="153"/>
        <v>0</v>
      </c>
      <c r="BW366" s="476">
        <f t="shared" si="153"/>
        <v>0</v>
      </c>
      <c r="BX366" s="476">
        <f t="shared" si="153"/>
        <v>0</v>
      </c>
      <c r="BY366" s="476">
        <f t="shared" si="153"/>
        <v>0</v>
      </c>
      <c r="BZ366" s="476">
        <f>SUM(BZ365)</f>
        <v>817000000</v>
      </c>
      <c r="CA366" s="476">
        <f t="shared" ref="CA366:CB366" si="154">SUM(CA365)</f>
        <v>783057480</v>
      </c>
      <c r="CB366" s="476">
        <f t="shared" si="154"/>
        <v>237936480</v>
      </c>
    </row>
    <row r="367" spans="1:80" ht="30" customHeight="1" x14ac:dyDescent="0.2">
      <c r="A367" s="55"/>
      <c r="B367" s="95"/>
      <c r="C367" s="63"/>
      <c r="D367" s="62"/>
      <c r="E367" s="63"/>
      <c r="F367" s="63"/>
      <c r="G367" s="62"/>
      <c r="H367" s="63"/>
      <c r="I367" s="62"/>
      <c r="J367" s="64"/>
      <c r="K367" s="115"/>
      <c r="L367" s="115"/>
      <c r="M367" s="115"/>
      <c r="N367" s="64"/>
      <c r="O367" s="63"/>
      <c r="P367" s="62"/>
      <c r="Q367" s="63"/>
      <c r="R367" s="477">
        <f t="shared" ref="R367:BY367" si="155">R366</f>
        <v>0</v>
      </c>
      <c r="S367" s="477">
        <f t="shared" si="155"/>
        <v>0</v>
      </c>
      <c r="T367" s="477">
        <f t="shared" si="155"/>
        <v>0</v>
      </c>
      <c r="U367" s="477">
        <f t="shared" si="155"/>
        <v>0</v>
      </c>
      <c r="V367" s="477">
        <f t="shared" si="155"/>
        <v>0</v>
      </c>
      <c r="W367" s="477">
        <f t="shared" si="155"/>
        <v>0</v>
      </c>
      <c r="X367" s="477">
        <f t="shared" si="155"/>
        <v>0</v>
      </c>
      <c r="Y367" s="477">
        <f t="shared" si="155"/>
        <v>0</v>
      </c>
      <c r="Z367" s="477">
        <f t="shared" si="155"/>
        <v>0</v>
      </c>
      <c r="AA367" s="477">
        <f t="shared" si="155"/>
        <v>0</v>
      </c>
      <c r="AB367" s="477">
        <f t="shared" si="155"/>
        <v>0</v>
      </c>
      <c r="AC367" s="477">
        <f t="shared" si="155"/>
        <v>0</v>
      </c>
      <c r="AD367" s="477">
        <f t="shared" si="155"/>
        <v>0</v>
      </c>
      <c r="AE367" s="477">
        <f t="shared" si="155"/>
        <v>0</v>
      </c>
      <c r="AF367" s="477">
        <f t="shared" si="155"/>
        <v>0</v>
      </c>
      <c r="AG367" s="477">
        <f t="shared" si="155"/>
        <v>0</v>
      </c>
      <c r="AH367" s="477">
        <f t="shared" si="155"/>
        <v>0</v>
      </c>
      <c r="AI367" s="477">
        <f t="shared" si="155"/>
        <v>0</v>
      </c>
      <c r="AJ367" s="477">
        <f t="shared" si="155"/>
        <v>0</v>
      </c>
      <c r="AK367" s="477">
        <f t="shared" si="155"/>
        <v>0</v>
      </c>
      <c r="AL367" s="477">
        <f t="shared" si="155"/>
        <v>0</v>
      </c>
      <c r="AM367" s="477">
        <f t="shared" si="155"/>
        <v>0</v>
      </c>
      <c r="AN367" s="477">
        <f t="shared" si="155"/>
        <v>0</v>
      </c>
      <c r="AO367" s="477">
        <f t="shared" si="155"/>
        <v>0</v>
      </c>
      <c r="AP367" s="477">
        <f t="shared" si="155"/>
        <v>0</v>
      </c>
      <c r="AQ367" s="477">
        <f t="shared" si="155"/>
        <v>0</v>
      </c>
      <c r="AR367" s="477">
        <f t="shared" si="155"/>
        <v>0</v>
      </c>
      <c r="AS367" s="477">
        <f t="shared" si="155"/>
        <v>0</v>
      </c>
      <c r="AT367" s="477">
        <f t="shared" si="155"/>
        <v>0</v>
      </c>
      <c r="AU367" s="477">
        <f t="shared" si="155"/>
        <v>0</v>
      </c>
      <c r="AV367" s="477">
        <f t="shared" si="155"/>
        <v>0</v>
      </c>
      <c r="AW367" s="477">
        <f t="shared" si="155"/>
        <v>0</v>
      </c>
      <c r="AX367" s="477">
        <f t="shared" si="155"/>
        <v>0</v>
      </c>
      <c r="AY367" s="477">
        <f t="shared" si="155"/>
        <v>0</v>
      </c>
      <c r="AZ367" s="477">
        <f t="shared" si="155"/>
        <v>0</v>
      </c>
      <c r="BA367" s="477">
        <f t="shared" si="155"/>
        <v>0</v>
      </c>
      <c r="BB367" s="477">
        <f t="shared" si="155"/>
        <v>0</v>
      </c>
      <c r="BC367" s="477">
        <f t="shared" si="155"/>
        <v>0</v>
      </c>
      <c r="BD367" s="477">
        <f t="shared" si="155"/>
        <v>0</v>
      </c>
      <c r="BE367" s="477">
        <f t="shared" si="155"/>
        <v>0</v>
      </c>
      <c r="BF367" s="477">
        <f t="shared" si="155"/>
        <v>0</v>
      </c>
      <c r="BG367" s="477">
        <f t="shared" si="155"/>
        <v>0</v>
      </c>
      <c r="BH367" s="477">
        <f t="shared" si="155"/>
        <v>0</v>
      </c>
      <c r="BI367" s="477">
        <f t="shared" si="155"/>
        <v>0</v>
      </c>
      <c r="BJ367" s="477">
        <f t="shared" si="155"/>
        <v>0</v>
      </c>
      <c r="BK367" s="477">
        <f t="shared" si="155"/>
        <v>817000000</v>
      </c>
      <c r="BL367" s="477">
        <f t="shared" si="155"/>
        <v>783057480</v>
      </c>
      <c r="BM367" s="477">
        <f t="shared" si="155"/>
        <v>237936480</v>
      </c>
      <c r="BN367" s="477">
        <f t="shared" si="155"/>
        <v>0</v>
      </c>
      <c r="BO367" s="477">
        <f t="shared" si="155"/>
        <v>0</v>
      </c>
      <c r="BP367" s="477">
        <f t="shared" si="155"/>
        <v>0</v>
      </c>
      <c r="BQ367" s="477">
        <f t="shared" si="155"/>
        <v>0</v>
      </c>
      <c r="BR367" s="477">
        <f t="shared" si="155"/>
        <v>0</v>
      </c>
      <c r="BS367" s="477">
        <f t="shared" si="155"/>
        <v>0</v>
      </c>
      <c r="BT367" s="477">
        <f t="shared" si="155"/>
        <v>0</v>
      </c>
      <c r="BU367" s="477">
        <f t="shared" si="155"/>
        <v>0</v>
      </c>
      <c r="BV367" s="477">
        <f t="shared" si="155"/>
        <v>0</v>
      </c>
      <c r="BW367" s="477">
        <f t="shared" si="155"/>
        <v>0</v>
      </c>
      <c r="BX367" s="477">
        <f t="shared" si="155"/>
        <v>0</v>
      </c>
      <c r="BY367" s="477">
        <f t="shared" si="155"/>
        <v>0</v>
      </c>
      <c r="BZ367" s="477">
        <f>BZ366</f>
        <v>817000000</v>
      </c>
      <c r="CA367" s="477">
        <f t="shared" ref="CA367:CB367" si="156">CA366</f>
        <v>783057480</v>
      </c>
      <c r="CB367" s="477">
        <f t="shared" si="156"/>
        <v>237936480</v>
      </c>
    </row>
    <row r="368" spans="1:80" ht="30" customHeight="1" x14ac:dyDescent="0.2">
      <c r="A368" s="65"/>
      <c r="B368" s="65"/>
      <c r="C368" s="66"/>
      <c r="D368" s="65"/>
      <c r="E368" s="66"/>
      <c r="F368" s="66"/>
      <c r="G368" s="65"/>
      <c r="H368" s="66"/>
      <c r="I368" s="65"/>
      <c r="J368" s="67"/>
      <c r="K368" s="116"/>
      <c r="L368" s="116"/>
      <c r="M368" s="116"/>
      <c r="N368" s="67"/>
      <c r="O368" s="66"/>
      <c r="P368" s="65"/>
      <c r="Q368" s="66"/>
      <c r="R368" s="478">
        <f t="shared" ref="R368:BY368" si="157">R367+R361</f>
        <v>0</v>
      </c>
      <c r="S368" s="478">
        <f t="shared" si="157"/>
        <v>0</v>
      </c>
      <c r="T368" s="478">
        <f t="shared" si="157"/>
        <v>0</v>
      </c>
      <c r="U368" s="478">
        <f t="shared" si="157"/>
        <v>0</v>
      </c>
      <c r="V368" s="478">
        <f t="shared" si="157"/>
        <v>0</v>
      </c>
      <c r="W368" s="478">
        <f t="shared" si="157"/>
        <v>0</v>
      </c>
      <c r="X368" s="478">
        <f t="shared" si="157"/>
        <v>0</v>
      </c>
      <c r="Y368" s="478">
        <f t="shared" si="157"/>
        <v>0</v>
      </c>
      <c r="Z368" s="478">
        <f t="shared" si="157"/>
        <v>0</v>
      </c>
      <c r="AA368" s="478">
        <f t="shared" si="157"/>
        <v>0</v>
      </c>
      <c r="AB368" s="478">
        <f t="shared" si="157"/>
        <v>0</v>
      </c>
      <c r="AC368" s="478">
        <f t="shared" si="157"/>
        <v>0</v>
      </c>
      <c r="AD368" s="478">
        <f t="shared" si="157"/>
        <v>0</v>
      </c>
      <c r="AE368" s="478">
        <f t="shared" si="157"/>
        <v>0</v>
      </c>
      <c r="AF368" s="478">
        <f t="shared" si="157"/>
        <v>0</v>
      </c>
      <c r="AG368" s="478">
        <f t="shared" si="157"/>
        <v>0</v>
      </c>
      <c r="AH368" s="478">
        <f t="shared" si="157"/>
        <v>0</v>
      </c>
      <c r="AI368" s="478">
        <f t="shared" si="157"/>
        <v>0</v>
      </c>
      <c r="AJ368" s="478">
        <f t="shared" si="157"/>
        <v>0</v>
      </c>
      <c r="AK368" s="478">
        <f t="shared" si="157"/>
        <v>0</v>
      </c>
      <c r="AL368" s="478">
        <f t="shared" si="157"/>
        <v>0</v>
      </c>
      <c r="AM368" s="478">
        <f t="shared" si="157"/>
        <v>0</v>
      </c>
      <c r="AN368" s="478">
        <f t="shared" si="157"/>
        <v>0</v>
      </c>
      <c r="AO368" s="478">
        <f t="shared" si="157"/>
        <v>0</v>
      </c>
      <c r="AP368" s="478">
        <f t="shared" si="157"/>
        <v>0</v>
      </c>
      <c r="AQ368" s="478">
        <f t="shared" si="157"/>
        <v>0</v>
      </c>
      <c r="AR368" s="478">
        <f t="shared" si="157"/>
        <v>0</v>
      </c>
      <c r="AS368" s="478">
        <f t="shared" si="157"/>
        <v>0</v>
      </c>
      <c r="AT368" s="478">
        <f t="shared" si="157"/>
        <v>0</v>
      </c>
      <c r="AU368" s="478">
        <f t="shared" si="157"/>
        <v>0</v>
      </c>
      <c r="AV368" s="478">
        <f t="shared" si="157"/>
        <v>0</v>
      </c>
      <c r="AW368" s="478">
        <f t="shared" si="157"/>
        <v>0</v>
      </c>
      <c r="AX368" s="478">
        <f t="shared" si="157"/>
        <v>0</v>
      </c>
      <c r="AY368" s="478">
        <f t="shared" si="157"/>
        <v>0</v>
      </c>
      <c r="AZ368" s="478">
        <f t="shared" si="157"/>
        <v>0</v>
      </c>
      <c r="BA368" s="478">
        <f t="shared" si="157"/>
        <v>0</v>
      </c>
      <c r="BB368" s="478">
        <f t="shared" si="157"/>
        <v>0</v>
      </c>
      <c r="BC368" s="478">
        <f t="shared" si="157"/>
        <v>0</v>
      </c>
      <c r="BD368" s="478">
        <f t="shared" si="157"/>
        <v>0</v>
      </c>
      <c r="BE368" s="478">
        <f t="shared" si="157"/>
        <v>0</v>
      </c>
      <c r="BF368" s="478">
        <f t="shared" si="157"/>
        <v>0</v>
      </c>
      <c r="BG368" s="478">
        <f t="shared" si="157"/>
        <v>0</v>
      </c>
      <c r="BH368" s="478">
        <f t="shared" si="157"/>
        <v>0</v>
      </c>
      <c r="BI368" s="478">
        <f t="shared" si="157"/>
        <v>0</v>
      </c>
      <c r="BJ368" s="478">
        <f t="shared" si="157"/>
        <v>0</v>
      </c>
      <c r="BK368" s="478">
        <f t="shared" si="157"/>
        <v>1504000000</v>
      </c>
      <c r="BL368" s="478">
        <f t="shared" si="157"/>
        <v>1256119464</v>
      </c>
      <c r="BM368" s="478">
        <f t="shared" si="157"/>
        <v>576840132</v>
      </c>
      <c r="BN368" s="478">
        <f t="shared" si="157"/>
        <v>0</v>
      </c>
      <c r="BO368" s="478">
        <f t="shared" si="157"/>
        <v>0</v>
      </c>
      <c r="BP368" s="478">
        <f t="shared" si="157"/>
        <v>0</v>
      </c>
      <c r="BQ368" s="478">
        <f t="shared" si="157"/>
        <v>0</v>
      </c>
      <c r="BR368" s="478">
        <f t="shared" si="157"/>
        <v>0</v>
      </c>
      <c r="BS368" s="478">
        <f t="shared" si="157"/>
        <v>0</v>
      </c>
      <c r="BT368" s="478">
        <f t="shared" si="157"/>
        <v>0</v>
      </c>
      <c r="BU368" s="478">
        <f t="shared" si="157"/>
        <v>0</v>
      </c>
      <c r="BV368" s="478">
        <f t="shared" si="157"/>
        <v>0</v>
      </c>
      <c r="BW368" s="478">
        <f t="shared" si="157"/>
        <v>0</v>
      </c>
      <c r="BX368" s="478">
        <f t="shared" si="157"/>
        <v>0</v>
      </c>
      <c r="BY368" s="478">
        <f t="shared" si="157"/>
        <v>0</v>
      </c>
      <c r="BZ368" s="478">
        <f>BZ367+BZ361</f>
        <v>1504000000</v>
      </c>
      <c r="CA368" s="478">
        <f t="shared" ref="CA368:CB368" si="158">CA367+CA361</f>
        <v>1256119464</v>
      </c>
      <c r="CB368" s="478">
        <f t="shared" si="158"/>
        <v>576840132</v>
      </c>
    </row>
    <row r="369" spans="1:80" ht="30" customHeight="1" x14ac:dyDescent="0.2">
      <c r="A369" s="68"/>
      <c r="B369" s="68"/>
      <c r="C369" s="69"/>
      <c r="D369" s="68"/>
      <c r="E369" s="69"/>
      <c r="F369" s="69"/>
      <c r="G369" s="68"/>
      <c r="H369" s="69"/>
      <c r="I369" s="68"/>
      <c r="J369" s="70"/>
      <c r="K369" s="117"/>
      <c r="L369" s="117"/>
      <c r="M369" s="117"/>
      <c r="N369" s="70"/>
      <c r="O369" s="69"/>
      <c r="P369" s="68"/>
      <c r="Q369" s="69"/>
      <c r="R369" s="479">
        <f t="shared" ref="R369:BY369" si="159">R368</f>
        <v>0</v>
      </c>
      <c r="S369" s="479">
        <f t="shared" si="159"/>
        <v>0</v>
      </c>
      <c r="T369" s="479">
        <f t="shared" si="159"/>
        <v>0</v>
      </c>
      <c r="U369" s="479">
        <f t="shared" si="159"/>
        <v>0</v>
      </c>
      <c r="V369" s="479">
        <f t="shared" si="159"/>
        <v>0</v>
      </c>
      <c r="W369" s="479">
        <f t="shared" si="159"/>
        <v>0</v>
      </c>
      <c r="X369" s="479">
        <f t="shared" si="159"/>
        <v>0</v>
      </c>
      <c r="Y369" s="479">
        <f t="shared" si="159"/>
        <v>0</v>
      </c>
      <c r="Z369" s="479">
        <f t="shared" si="159"/>
        <v>0</v>
      </c>
      <c r="AA369" s="479">
        <f t="shared" si="159"/>
        <v>0</v>
      </c>
      <c r="AB369" s="479">
        <f t="shared" si="159"/>
        <v>0</v>
      </c>
      <c r="AC369" s="479">
        <f t="shared" si="159"/>
        <v>0</v>
      </c>
      <c r="AD369" s="479">
        <f t="shared" si="159"/>
        <v>0</v>
      </c>
      <c r="AE369" s="479">
        <f t="shared" si="159"/>
        <v>0</v>
      </c>
      <c r="AF369" s="479">
        <f t="shared" si="159"/>
        <v>0</v>
      </c>
      <c r="AG369" s="479">
        <f t="shared" si="159"/>
        <v>0</v>
      </c>
      <c r="AH369" s="479">
        <f t="shared" si="159"/>
        <v>0</v>
      </c>
      <c r="AI369" s="479">
        <f t="shared" si="159"/>
        <v>0</v>
      </c>
      <c r="AJ369" s="479">
        <f t="shared" si="159"/>
        <v>0</v>
      </c>
      <c r="AK369" s="479">
        <f t="shared" si="159"/>
        <v>0</v>
      </c>
      <c r="AL369" s="479">
        <f t="shared" si="159"/>
        <v>0</v>
      </c>
      <c r="AM369" s="479">
        <f t="shared" si="159"/>
        <v>0</v>
      </c>
      <c r="AN369" s="479">
        <f t="shared" si="159"/>
        <v>0</v>
      </c>
      <c r="AO369" s="479">
        <f t="shared" si="159"/>
        <v>0</v>
      </c>
      <c r="AP369" s="479">
        <f t="shared" si="159"/>
        <v>0</v>
      </c>
      <c r="AQ369" s="479">
        <f t="shared" si="159"/>
        <v>0</v>
      </c>
      <c r="AR369" s="479">
        <f t="shared" si="159"/>
        <v>0</v>
      </c>
      <c r="AS369" s="479">
        <f t="shared" si="159"/>
        <v>0</v>
      </c>
      <c r="AT369" s="479">
        <f t="shared" si="159"/>
        <v>0</v>
      </c>
      <c r="AU369" s="479">
        <f t="shared" si="159"/>
        <v>0</v>
      </c>
      <c r="AV369" s="479">
        <f t="shared" si="159"/>
        <v>0</v>
      </c>
      <c r="AW369" s="479">
        <f t="shared" si="159"/>
        <v>0</v>
      </c>
      <c r="AX369" s="479">
        <f t="shared" si="159"/>
        <v>0</v>
      </c>
      <c r="AY369" s="479">
        <f t="shared" si="159"/>
        <v>0</v>
      </c>
      <c r="AZ369" s="479">
        <f t="shared" si="159"/>
        <v>0</v>
      </c>
      <c r="BA369" s="479">
        <f t="shared" si="159"/>
        <v>0</v>
      </c>
      <c r="BB369" s="479">
        <f t="shared" si="159"/>
        <v>0</v>
      </c>
      <c r="BC369" s="479">
        <f t="shared" si="159"/>
        <v>0</v>
      </c>
      <c r="BD369" s="479">
        <f t="shared" si="159"/>
        <v>0</v>
      </c>
      <c r="BE369" s="479">
        <f t="shared" si="159"/>
        <v>0</v>
      </c>
      <c r="BF369" s="479">
        <f t="shared" si="159"/>
        <v>0</v>
      </c>
      <c r="BG369" s="479">
        <f t="shared" si="159"/>
        <v>0</v>
      </c>
      <c r="BH369" s="479">
        <f t="shared" si="159"/>
        <v>0</v>
      </c>
      <c r="BI369" s="479">
        <f t="shared" si="159"/>
        <v>0</v>
      </c>
      <c r="BJ369" s="479">
        <f t="shared" si="159"/>
        <v>0</v>
      </c>
      <c r="BK369" s="479">
        <f t="shared" si="159"/>
        <v>1504000000</v>
      </c>
      <c r="BL369" s="479">
        <f t="shared" si="159"/>
        <v>1256119464</v>
      </c>
      <c r="BM369" s="479">
        <f t="shared" si="159"/>
        <v>576840132</v>
      </c>
      <c r="BN369" s="479">
        <f t="shared" si="159"/>
        <v>0</v>
      </c>
      <c r="BO369" s="479">
        <f t="shared" si="159"/>
        <v>0</v>
      </c>
      <c r="BP369" s="479">
        <f t="shared" si="159"/>
        <v>0</v>
      </c>
      <c r="BQ369" s="479">
        <f t="shared" si="159"/>
        <v>0</v>
      </c>
      <c r="BR369" s="479">
        <f t="shared" si="159"/>
        <v>0</v>
      </c>
      <c r="BS369" s="479">
        <f t="shared" si="159"/>
        <v>0</v>
      </c>
      <c r="BT369" s="479">
        <f t="shared" si="159"/>
        <v>0</v>
      </c>
      <c r="BU369" s="479">
        <f t="shared" si="159"/>
        <v>0</v>
      </c>
      <c r="BV369" s="479">
        <f t="shared" si="159"/>
        <v>0</v>
      </c>
      <c r="BW369" s="479">
        <f t="shared" si="159"/>
        <v>0</v>
      </c>
      <c r="BX369" s="479">
        <f t="shared" si="159"/>
        <v>0</v>
      </c>
      <c r="BY369" s="479">
        <f t="shared" si="159"/>
        <v>0</v>
      </c>
      <c r="BZ369" s="479">
        <f>BZ368</f>
        <v>1504000000</v>
      </c>
      <c r="CA369" s="479">
        <f t="shared" ref="CA369:CB369" si="160">CA368</f>
        <v>1256119464</v>
      </c>
      <c r="CB369" s="479">
        <f t="shared" si="160"/>
        <v>576840132</v>
      </c>
    </row>
    <row r="370" spans="1:80" ht="30" customHeight="1" x14ac:dyDescent="0.2">
      <c r="A370" s="71"/>
      <c r="B370" s="72"/>
      <c r="C370" s="150"/>
      <c r="D370" s="72"/>
      <c r="E370" s="150"/>
      <c r="F370" s="150"/>
      <c r="G370" s="72"/>
      <c r="H370" s="150"/>
      <c r="I370" s="72"/>
      <c r="J370" s="73"/>
      <c r="K370" s="261"/>
      <c r="L370" s="261"/>
      <c r="M370" s="261"/>
      <c r="N370" s="73"/>
      <c r="O370" s="150"/>
      <c r="P370" s="72"/>
      <c r="Q370" s="150"/>
      <c r="R370" s="405"/>
      <c r="S370" s="405"/>
      <c r="T370" s="405"/>
      <c r="U370" s="405"/>
      <c r="V370" s="405"/>
      <c r="W370" s="405"/>
      <c r="X370" s="405"/>
      <c r="Y370" s="405"/>
      <c r="Z370" s="405"/>
      <c r="AA370" s="405"/>
      <c r="AB370" s="405"/>
      <c r="AC370" s="405"/>
      <c r="AD370" s="405"/>
      <c r="AE370" s="405"/>
      <c r="AF370" s="405"/>
      <c r="AG370" s="405"/>
      <c r="AH370" s="405"/>
      <c r="AI370" s="405"/>
      <c r="AJ370" s="405"/>
      <c r="AK370" s="405"/>
      <c r="AL370" s="405"/>
      <c r="AM370" s="405"/>
      <c r="AN370" s="405"/>
      <c r="AO370" s="405"/>
      <c r="AP370" s="405"/>
      <c r="AQ370" s="405"/>
      <c r="AR370" s="405"/>
      <c r="AS370" s="405"/>
      <c r="AT370" s="405"/>
      <c r="AU370" s="405"/>
      <c r="AV370" s="405"/>
      <c r="AW370" s="405"/>
      <c r="AX370" s="405"/>
      <c r="AY370" s="406"/>
      <c r="AZ370" s="406"/>
      <c r="BA370" s="406"/>
      <c r="BB370" s="406"/>
      <c r="BC370" s="406"/>
      <c r="BD370" s="406"/>
      <c r="BE370" s="405"/>
      <c r="BF370" s="405"/>
      <c r="BG370" s="405"/>
      <c r="BH370" s="405"/>
      <c r="BI370" s="405"/>
      <c r="BJ370" s="405"/>
      <c r="BK370" s="407"/>
      <c r="BL370" s="407"/>
      <c r="BM370" s="407"/>
      <c r="BN370" s="408"/>
      <c r="BO370" s="408"/>
      <c r="BP370" s="408"/>
      <c r="BQ370" s="405"/>
      <c r="BR370" s="405"/>
      <c r="BS370" s="405"/>
      <c r="BT370" s="405"/>
      <c r="BU370" s="405"/>
      <c r="BV370" s="405"/>
      <c r="BW370" s="405"/>
      <c r="BX370" s="405"/>
      <c r="BY370" s="405"/>
      <c r="BZ370" s="405"/>
      <c r="CA370" s="405"/>
      <c r="CB370" s="409"/>
    </row>
    <row r="371" spans="1:80" ht="30" customHeight="1" x14ac:dyDescent="0.2">
      <c r="A371" s="31" t="s">
        <v>480</v>
      </c>
      <c r="B371" s="32"/>
      <c r="C371" s="33"/>
      <c r="D371" s="32"/>
      <c r="E371" s="32"/>
      <c r="F371" s="32"/>
      <c r="G371" s="32"/>
      <c r="H371" s="33"/>
      <c r="I371" s="32"/>
      <c r="J371" s="32"/>
      <c r="K371" s="262"/>
      <c r="L371" s="262"/>
      <c r="M371" s="262"/>
      <c r="N371" s="33"/>
      <c r="O371" s="33"/>
      <c r="P371" s="32"/>
      <c r="Q371" s="33"/>
      <c r="R371" s="472"/>
      <c r="S371" s="472"/>
      <c r="T371" s="472"/>
      <c r="U371" s="472"/>
      <c r="V371" s="472"/>
      <c r="W371" s="472"/>
      <c r="X371" s="472"/>
      <c r="Y371" s="472"/>
      <c r="Z371" s="472"/>
      <c r="AA371" s="472"/>
      <c r="AB371" s="472"/>
      <c r="AC371" s="472"/>
      <c r="AD371" s="472"/>
      <c r="AE371" s="472"/>
      <c r="AF371" s="472"/>
      <c r="AG371" s="472"/>
      <c r="AH371" s="472"/>
      <c r="AI371" s="472"/>
      <c r="AJ371" s="472"/>
      <c r="AK371" s="472"/>
      <c r="AL371" s="472"/>
      <c r="AM371" s="472"/>
      <c r="AN371" s="472"/>
      <c r="AO371" s="472"/>
      <c r="AP371" s="472"/>
      <c r="AQ371" s="472"/>
      <c r="AR371" s="472"/>
      <c r="AS371" s="472"/>
      <c r="AT371" s="472"/>
      <c r="AU371" s="472"/>
      <c r="AV371" s="472"/>
      <c r="AW371" s="472"/>
      <c r="AX371" s="472"/>
      <c r="AY371" s="472"/>
      <c r="AZ371" s="472"/>
      <c r="BA371" s="472"/>
      <c r="BB371" s="472"/>
      <c r="BC371" s="472"/>
      <c r="BD371" s="472"/>
      <c r="BE371" s="472"/>
      <c r="BF371" s="472"/>
      <c r="BG371" s="472"/>
      <c r="BH371" s="472"/>
      <c r="BI371" s="472"/>
      <c r="BJ371" s="472"/>
      <c r="BK371" s="473"/>
      <c r="BL371" s="473"/>
      <c r="BM371" s="473"/>
      <c r="BN371" s="474"/>
      <c r="BO371" s="474"/>
      <c r="BP371" s="474"/>
      <c r="BQ371" s="472"/>
      <c r="BR371" s="472"/>
      <c r="BS371" s="472"/>
      <c r="BT371" s="472"/>
      <c r="BU371" s="472"/>
      <c r="BV371" s="472"/>
      <c r="BW371" s="472"/>
      <c r="BX371" s="472"/>
      <c r="BY371" s="472"/>
      <c r="BZ371" s="472" t="s">
        <v>69</v>
      </c>
      <c r="CA371" s="472" t="s">
        <v>69</v>
      </c>
      <c r="CB371" s="475" t="s">
        <v>69</v>
      </c>
    </row>
    <row r="372" spans="1:80" ht="30" customHeight="1" x14ac:dyDescent="0.2">
      <c r="A372" s="787">
        <v>3</v>
      </c>
      <c r="B372" s="34" t="s">
        <v>270</v>
      </c>
      <c r="C372" s="35"/>
      <c r="D372" s="34"/>
      <c r="E372" s="34"/>
      <c r="F372" s="34"/>
      <c r="G372" s="34"/>
      <c r="H372" s="35"/>
      <c r="I372" s="34"/>
      <c r="J372" s="34"/>
      <c r="K372" s="124"/>
      <c r="L372" s="124"/>
      <c r="M372" s="124"/>
      <c r="N372" s="35"/>
      <c r="O372" s="35"/>
      <c r="P372" s="34"/>
      <c r="Q372" s="34"/>
      <c r="R372" s="432"/>
      <c r="S372" s="432"/>
      <c r="T372" s="432"/>
      <c r="U372" s="432"/>
      <c r="V372" s="432"/>
      <c r="W372" s="432"/>
      <c r="X372" s="432"/>
      <c r="Y372" s="432"/>
      <c r="Z372" s="432"/>
      <c r="AA372" s="432"/>
      <c r="AB372" s="432"/>
      <c r="AC372" s="432"/>
      <c r="AD372" s="432"/>
      <c r="AE372" s="432"/>
      <c r="AF372" s="432"/>
      <c r="AG372" s="432"/>
      <c r="AH372" s="432"/>
      <c r="AI372" s="432"/>
      <c r="AJ372" s="432"/>
      <c r="AK372" s="432"/>
      <c r="AL372" s="432"/>
      <c r="AM372" s="432"/>
      <c r="AN372" s="432"/>
      <c r="AO372" s="432"/>
      <c r="AP372" s="432"/>
      <c r="AQ372" s="432"/>
      <c r="AR372" s="432"/>
      <c r="AS372" s="432"/>
      <c r="AT372" s="432"/>
      <c r="AU372" s="432"/>
      <c r="AV372" s="432"/>
      <c r="AW372" s="432"/>
      <c r="AX372" s="432"/>
      <c r="AY372" s="432"/>
      <c r="AZ372" s="432"/>
      <c r="BA372" s="432"/>
      <c r="BB372" s="432"/>
      <c r="BC372" s="432"/>
      <c r="BD372" s="432"/>
      <c r="BE372" s="432"/>
      <c r="BF372" s="432"/>
      <c r="BG372" s="432"/>
      <c r="BH372" s="432"/>
      <c r="BI372" s="432"/>
      <c r="BJ372" s="432"/>
      <c r="BK372" s="433"/>
      <c r="BL372" s="433"/>
      <c r="BM372" s="433"/>
      <c r="BN372" s="432"/>
      <c r="BO372" s="432"/>
      <c r="BP372" s="432"/>
      <c r="BQ372" s="432"/>
      <c r="BR372" s="432"/>
      <c r="BS372" s="432"/>
      <c r="BT372" s="432"/>
      <c r="BU372" s="432"/>
      <c r="BV372" s="432"/>
      <c r="BW372" s="432"/>
      <c r="BX372" s="432"/>
      <c r="BY372" s="432"/>
      <c r="BZ372" s="432"/>
      <c r="CA372" s="432"/>
      <c r="CB372" s="434"/>
    </row>
    <row r="373" spans="1:80" ht="30" customHeight="1" x14ac:dyDescent="0.2">
      <c r="A373" s="76"/>
      <c r="B373" s="125">
        <v>5</v>
      </c>
      <c r="C373" s="38" t="s">
        <v>481</v>
      </c>
      <c r="D373" s="39"/>
      <c r="E373" s="39"/>
      <c r="F373" s="39"/>
      <c r="G373" s="39"/>
      <c r="H373" s="40"/>
      <c r="I373" s="39"/>
      <c r="J373" s="39"/>
      <c r="K373" s="126"/>
      <c r="L373" s="126"/>
      <c r="M373" s="126"/>
      <c r="N373" s="40"/>
      <c r="O373" s="40"/>
      <c r="P373" s="39"/>
      <c r="Q373" s="39"/>
      <c r="R373" s="412"/>
      <c r="S373" s="412"/>
      <c r="T373" s="412"/>
      <c r="U373" s="412"/>
      <c r="V373" s="412"/>
      <c r="W373" s="412"/>
      <c r="X373" s="412"/>
      <c r="Y373" s="412"/>
      <c r="Z373" s="412"/>
      <c r="AA373" s="412"/>
      <c r="AB373" s="412"/>
      <c r="AC373" s="412"/>
      <c r="AD373" s="412"/>
      <c r="AE373" s="412"/>
      <c r="AF373" s="412"/>
      <c r="AG373" s="412"/>
      <c r="AH373" s="412"/>
      <c r="AI373" s="412"/>
      <c r="AJ373" s="412"/>
      <c r="AK373" s="412"/>
      <c r="AL373" s="412"/>
      <c r="AM373" s="412"/>
      <c r="AN373" s="412"/>
      <c r="AO373" s="412"/>
      <c r="AP373" s="412"/>
      <c r="AQ373" s="412"/>
      <c r="AR373" s="412"/>
      <c r="AS373" s="412"/>
      <c r="AT373" s="412"/>
      <c r="AU373" s="412"/>
      <c r="AV373" s="412"/>
      <c r="AW373" s="412"/>
      <c r="AX373" s="412"/>
      <c r="AY373" s="412"/>
      <c r="AZ373" s="412"/>
      <c r="BA373" s="412"/>
      <c r="BB373" s="412"/>
      <c r="BC373" s="412"/>
      <c r="BD373" s="412"/>
      <c r="BE373" s="412"/>
      <c r="BF373" s="412"/>
      <c r="BG373" s="412"/>
      <c r="BH373" s="412"/>
      <c r="BI373" s="412"/>
      <c r="BJ373" s="412"/>
      <c r="BK373" s="413"/>
      <c r="BL373" s="413"/>
      <c r="BM373" s="413"/>
      <c r="BN373" s="412"/>
      <c r="BO373" s="412"/>
      <c r="BP373" s="412"/>
      <c r="BQ373" s="412"/>
      <c r="BR373" s="412"/>
      <c r="BS373" s="412"/>
      <c r="BT373" s="412"/>
      <c r="BU373" s="412"/>
      <c r="BV373" s="412"/>
      <c r="BW373" s="412"/>
      <c r="BX373" s="412"/>
      <c r="BY373" s="412"/>
      <c r="BZ373" s="412"/>
      <c r="CA373" s="412"/>
      <c r="CB373" s="417"/>
    </row>
    <row r="374" spans="1:80" ht="30" customHeight="1" x14ac:dyDescent="0.2">
      <c r="A374" s="42"/>
      <c r="B374" s="76"/>
      <c r="C374" s="713"/>
      <c r="D374" s="707"/>
      <c r="E374" s="713"/>
      <c r="F374" s="713"/>
      <c r="G374" s="219">
        <v>16</v>
      </c>
      <c r="H374" s="80" t="s">
        <v>482</v>
      </c>
      <c r="I374" s="80"/>
      <c r="J374" s="80"/>
      <c r="K374" s="128"/>
      <c r="L374" s="128"/>
      <c r="M374" s="128"/>
      <c r="N374" s="173"/>
      <c r="O374" s="173"/>
      <c r="P374" s="80"/>
      <c r="Q374" s="80"/>
      <c r="R374" s="267"/>
      <c r="S374" s="267"/>
      <c r="T374" s="267"/>
      <c r="U374" s="267"/>
      <c r="V374" s="267"/>
      <c r="W374" s="267"/>
      <c r="X374" s="267"/>
      <c r="Y374" s="267"/>
      <c r="Z374" s="267"/>
      <c r="AA374" s="267"/>
      <c r="AB374" s="267"/>
      <c r="AC374" s="267"/>
      <c r="AD374" s="267"/>
      <c r="AE374" s="267"/>
      <c r="AF374" s="267"/>
      <c r="AG374" s="267"/>
      <c r="AH374" s="267"/>
      <c r="AI374" s="267"/>
      <c r="AJ374" s="267"/>
      <c r="AK374" s="267"/>
      <c r="AL374" s="267"/>
      <c r="AM374" s="267"/>
      <c r="AN374" s="267"/>
      <c r="AO374" s="267"/>
      <c r="AP374" s="267"/>
      <c r="AQ374" s="267"/>
      <c r="AR374" s="267"/>
      <c r="AS374" s="267"/>
      <c r="AT374" s="267"/>
      <c r="AU374" s="267"/>
      <c r="AV374" s="267"/>
      <c r="AW374" s="267"/>
      <c r="AX374" s="267"/>
      <c r="AY374" s="267"/>
      <c r="AZ374" s="267"/>
      <c r="BA374" s="267"/>
      <c r="BB374" s="267"/>
      <c r="BC374" s="267"/>
      <c r="BD374" s="267"/>
      <c r="BE374" s="267"/>
      <c r="BF374" s="267"/>
      <c r="BG374" s="267"/>
      <c r="BH374" s="267"/>
      <c r="BI374" s="267"/>
      <c r="BJ374" s="267"/>
      <c r="BK374" s="414"/>
      <c r="BL374" s="414"/>
      <c r="BM374" s="414"/>
      <c r="BN374" s="267"/>
      <c r="BO374" s="267"/>
      <c r="BP374" s="267"/>
      <c r="BQ374" s="267"/>
      <c r="BR374" s="267"/>
      <c r="BS374" s="267"/>
      <c r="BT374" s="267"/>
      <c r="BU374" s="267"/>
      <c r="BV374" s="267"/>
      <c r="BW374" s="267"/>
      <c r="BX374" s="267"/>
      <c r="BY374" s="267"/>
      <c r="BZ374" s="267"/>
      <c r="CA374" s="267"/>
      <c r="CB374" s="269"/>
    </row>
    <row r="375" spans="1:80" ht="61.5" customHeight="1" x14ac:dyDescent="0.2">
      <c r="A375" s="42"/>
      <c r="B375" s="42"/>
      <c r="C375" s="714">
        <v>15</v>
      </c>
      <c r="D375" s="709" t="s">
        <v>483</v>
      </c>
      <c r="E375" s="287">
        <v>0.73229999999999995</v>
      </c>
      <c r="F375" s="287">
        <v>0.78</v>
      </c>
      <c r="G375" s="43"/>
      <c r="H375" s="57">
        <v>65</v>
      </c>
      <c r="I375" s="729" t="s">
        <v>484</v>
      </c>
      <c r="J375" s="169">
        <v>1</v>
      </c>
      <c r="K375" s="107">
        <v>1</v>
      </c>
      <c r="L375" s="220">
        <v>0.75</v>
      </c>
      <c r="M375" s="884">
        <v>2017003630002</v>
      </c>
      <c r="N375" s="928" t="s">
        <v>485</v>
      </c>
      <c r="O375" s="895" t="s">
        <v>486</v>
      </c>
      <c r="P375" s="890" t="s">
        <v>986</v>
      </c>
      <c r="Q375" s="57" t="s">
        <v>52</v>
      </c>
      <c r="R375" s="401">
        <v>0</v>
      </c>
      <c r="S375" s="401"/>
      <c r="T375" s="401"/>
      <c r="U375" s="401">
        <v>0</v>
      </c>
      <c r="V375" s="401"/>
      <c r="W375" s="401"/>
      <c r="X375" s="401">
        <v>0</v>
      </c>
      <c r="Y375" s="401"/>
      <c r="Z375" s="401"/>
      <c r="AA375" s="401">
        <v>0</v>
      </c>
      <c r="AB375" s="401"/>
      <c r="AC375" s="401"/>
      <c r="AD375" s="401">
        <v>0</v>
      </c>
      <c r="AE375" s="401"/>
      <c r="AF375" s="401"/>
      <c r="AG375" s="401">
        <v>0</v>
      </c>
      <c r="AH375" s="401"/>
      <c r="AI375" s="401"/>
      <c r="AJ375" s="480">
        <f>2640000000</f>
        <v>2640000000</v>
      </c>
      <c r="AK375" s="480">
        <v>2635592431</v>
      </c>
      <c r="AL375" s="480">
        <v>1542948230</v>
      </c>
      <c r="AM375" s="401"/>
      <c r="AN375" s="401"/>
      <c r="AO375" s="401"/>
      <c r="AP375" s="401"/>
      <c r="AQ375" s="401"/>
      <c r="AR375" s="401"/>
      <c r="AS375" s="401">
        <v>0</v>
      </c>
      <c r="AT375" s="401"/>
      <c r="AU375" s="401"/>
      <c r="AV375" s="401">
        <v>0</v>
      </c>
      <c r="AW375" s="401"/>
      <c r="AX375" s="401"/>
      <c r="AY375" s="401"/>
      <c r="AZ375" s="401"/>
      <c r="BA375" s="401"/>
      <c r="BB375" s="401"/>
      <c r="BC375" s="401"/>
      <c r="BD375" s="401"/>
      <c r="BE375" s="401"/>
      <c r="BF375" s="401"/>
      <c r="BG375" s="401"/>
      <c r="BH375" s="401">
        <v>0</v>
      </c>
      <c r="BI375" s="481"/>
      <c r="BJ375" s="481"/>
      <c r="BK375" s="605">
        <f>1250000000+97827540+1000000000-584035436</f>
        <v>1763792104</v>
      </c>
      <c r="BL375" s="605">
        <v>1497387340</v>
      </c>
      <c r="BM375" s="605">
        <v>1497387340</v>
      </c>
      <c r="BN375" s="404"/>
      <c r="BO375" s="404"/>
      <c r="BP375" s="404"/>
      <c r="BQ375" s="401">
        <v>79557</v>
      </c>
      <c r="BR375" s="481"/>
      <c r="BS375" s="481"/>
      <c r="BT375" s="481"/>
      <c r="BU375" s="481"/>
      <c r="BV375" s="481"/>
      <c r="BW375" s="481"/>
      <c r="BX375" s="481"/>
      <c r="BY375" s="481"/>
      <c r="BZ375" s="401">
        <f>R375+U375+X375+AA375+AD375+AG375+AJ375+AM375+AP375+AS375+AV375+AY375+BB375+BE375+BH375+BK375+BN375+BQ375+BT375+BW375</f>
        <v>4403871661</v>
      </c>
      <c r="CA375" s="401">
        <f t="shared" ref="BZ375:CB377" si="161">S375+V375+Y375+AB375+AE375+AH375+AK375+AN375+AQ375+AT375+AW375+AZ375+BC375+BF375+BI375+BL375+BO375+BR375+BU375+BX375</f>
        <v>4132979771</v>
      </c>
      <c r="CB375" s="401">
        <f t="shared" si="161"/>
        <v>3040335570</v>
      </c>
    </row>
    <row r="376" spans="1:80" ht="61.5" customHeight="1" x14ac:dyDescent="0.2">
      <c r="A376" s="42"/>
      <c r="B376" s="42"/>
      <c r="C376" s="727">
        <v>19</v>
      </c>
      <c r="D376" s="729" t="s">
        <v>488</v>
      </c>
      <c r="E376" s="263" t="s">
        <v>489</v>
      </c>
      <c r="F376" s="263" t="s">
        <v>490</v>
      </c>
      <c r="G376" s="49"/>
      <c r="H376" s="57">
        <v>66</v>
      </c>
      <c r="I376" s="729" t="s">
        <v>491</v>
      </c>
      <c r="J376" s="169">
        <v>1</v>
      </c>
      <c r="K376" s="107">
        <v>1</v>
      </c>
      <c r="L376" s="220">
        <v>0.75</v>
      </c>
      <c r="M376" s="885"/>
      <c r="N376" s="929"/>
      <c r="O376" s="883"/>
      <c r="P376" s="891"/>
      <c r="Q376" s="57" t="s">
        <v>52</v>
      </c>
      <c r="R376" s="401"/>
      <c r="S376" s="401"/>
      <c r="T376" s="401"/>
      <c r="U376" s="401"/>
      <c r="V376" s="401"/>
      <c r="W376" s="401"/>
      <c r="X376" s="401"/>
      <c r="Y376" s="401"/>
      <c r="Z376" s="401"/>
      <c r="AA376" s="401"/>
      <c r="AB376" s="401"/>
      <c r="AC376" s="401"/>
      <c r="AD376" s="401"/>
      <c r="AE376" s="401"/>
      <c r="AF376" s="401"/>
      <c r="AG376" s="401"/>
      <c r="AH376" s="401"/>
      <c r="AI376" s="401"/>
      <c r="AJ376" s="680">
        <f>740763200-373504909</f>
        <v>367258291</v>
      </c>
      <c r="AK376" s="480">
        <v>367258291</v>
      </c>
      <c r="AL376" s="480">
        <v>54339928</v>
      </c>
      <c r="AM376" s="401"/>
      <c r="AN376" s="401"/>
      <c r="AO376" s="401"/>
      <c r="AP376" s="401"/>
      <c r="AQ376" s="401"/>
      <c r="AR376" s="401"/>
      <c r="AS376" s="401"/>
      <c r="AT376" s="401"/>
      <c r="AU376" s="401"/>
      <c r="AV376" s="401"/>
      <c r="AW376" s="401"/>
      <c r="AX376" s="401"/>
      <c r="AY376" s="482">
        <f>35181428-35181428</f>
        <v>0</v>
      </c>
      <c r="AZ376" s="482"/>
      <c r="BA376" s="482"/>
      <c r="BB376" s="401"/>
      <c r="BC376" s="401"/>
      <c r="BD376" s="401"/>
      <c r="BE376" s="676">
        <f>7780000000+622078305+643761133+35181428+454906981</f>
        <v>9535927847</v>
      </c>
      <c r="BF376" s="403">
        <v>8176025000</v>
      </c>
      <c r="BG376" s="403">
        <v>2817827462</v>
      </c>
      <c r="BH376" s="401"/>
      <c r="BI376" s="403"/>
      <c r="BJ376" s="403"/>
      <c r="BK376" s="483">
        <f>287000000+1977067+30000000-30000000</f>
        <v>288977067</v>
      </c>
      <c r="BL376" s="483">
        <v>284930200</v>
      </c>
      <c r="BM376" s="483">
        <v>161351000</v>
      </c>
      <c r="BN376" s="404"/>
      <c r="BO376" s="404"/>
      <c r="BP376" s="404"/>
      <c r="BQ376" s="401"/>
      <c r="BR376" s="403"/>
      <c r="BS376" s="403"/>
      <c r="BT376" s="403"/>
      <c r="BU376" s="403"/>
      <c r="BV376" s="403"/>
      <c r="BW376" s="676">
        <v>709732517</v>
      </c>
      <c r="BX376" s="403"/>
      <c r="BY376" s="403"/>
      <c r="BZ376" s="401">
        <f t="shared" si="161"/>
        <v>10901895722</v>
      </c>
      <c r="CA376" s="401">
        <f t="shared" si="161"/>
        <v>8828213491</v>
      </c>
      <c r="CB376" s="401">
        <f t="shared" si="161"/>
        <v>3033518390</v>
      </c>
    </row>
    <row r="377" spans="1:80" ht="61.5" customHeight="1" x14ac:dyDescent="0.2">
      <c r="A377" s="42"/>
      <c r="B377" s="42"/>
      <c r="C377" s="713">
        <v>14</v>
      </c>
      <c r="D377" s="43" t="s">
        <v>492</v>
      </c>
      <c r="E377" s="732">
        <v>6.2E-2</v>
      </c>
      <c r="F377" s="732">
        <v>0.03</v>
      </c>
      <c r="G377" s="49"/>
      <c r="H377" s="57">
        <v>67</v>
      </c>
      <c r="I377" s="729" t="s">
        <v>493</v>
      </c>
      <c r="J377" s="169">
        <v>1</v>
      </c>
      <c r="K377" s="107">
        <v>1</v>
      </c>
      <c r="L377" s="169">
        <v>1</v>
      </c>
      <c r="M377" s="886"/>
      <c r="N377" s="930"/>
      <c r="O377" s="898"/>
      <c r="P377" s="892"/>
      <c r="Q377" s="57" t="s">
        <v>52</v>
      </c>
      <c r="R377" s="401"/>
      <c r="S377" s="401"/>
      <c r="T377" s="401"/>
      <c r="U377" s="401"/>
      <c r="V377" s="401"/>
      <c r="W377" s="401"/>
      <c r="X377" s="401"/>
      <c r="Y377" s="401"/>
      <c r="Z377" s="401"/>
      <c r="AA377" s="401"/>
      <c r="AB377" s="401"/>
      <c r="AC377" s="401"/>
      <c r="AD377" s="401"/>
      <c r="AE377" s="401"/>
      <c r="AF377" s="401"/>
      <c r="AG377" s="401"/>
      <c r="AH377" s="401"/>
      <c r="AI377" s="401"/>
      <c r="AJ377" s="480">
        <f>114133362+76666638</f>
        <v>190800000</v>
      </c>
      <c r="AK377" s="480"/>
      <c r="AL377" s="480"/>
      <c r="AM377" s="401"/>
      <c r="AN377" s="401"/>
      <c r="AO377" s="401"/>
      <c r="AP377" s="401"/>
      <c r="AQ377" s="401"/>
      <c r="AR377" s="401"/>
      <c r="AS377" s="401"/>
      <c r="AT377" s="401"/>
      <c r="AU377" s="401"/>
      <c r="AV377" s="401"/>
      <c r="AW377" s="401"/>
      <c r="AX377" s="401"/>
      <c r="AY377" s="401"/>
      <c r="AZ377" s="401"/>
      <c r="BA377" s="401"/>
      <c r="BB377" s="401"/>
      <c r="BC377" s="401"/>
      <c r="BD377" s="401"/>
      <c r="BE377" s="401"/>
      <c r="BF377" s="401"/>
      <c r="BG377" s="401"/>
      <c r="BH377" s="401"/>
      <c r="BI377" s="403"/>
      <c r="BJ377" s="403"/>
      <c r="BK377" s="483">
        <v>900000000</v>
      </c>
      <c r="BL377" s="483">
        <v>879509456</v>
      </c>
      <c r="BM377" s="483">
        <v>879509456</v>
      </c>
      <c r="BN377" s="404"/>
      <c r="BO377" s="404"/>
      <c r="BP377" s="404"/>
      <c r="BQ377" s="401"/>
      <c r="BR377" s="403"/>
      <c r="BS377" s="403"/>
      <c r="BT377" s="403"/>
      <c r="BU377" s="403"/>
      <c r="BV377" s="403"/>
      <c r="BW377" s="403"/>
      <c r="BX377" s="403"/>
      <c r="BY377" s="403"/>
      <c r="BZ377" s="401">
        <f t="shared" si="161"/>
        <v>1090800000</v>
      </c>
      <c r="CA377" s="401">
        <f t="shared" si="161"/>
        <v>879509456</v>
      </c>
      <c r="CB377" s="401">
        <f t="shared" si="161"/>
        <v>879509456</v>
      </c>
    </row>
    <row r="378" spans="1:80" ht="30" customHeight="1" x14ac:dyDescent="0.2">
      <c r="A378" s="42"/>
      <c r="B378" s="42"/>
      <c r="C378" s="714"/>
      <c r="D378" s="709"/>
      <c r="E378" s="714"/>
      <c r="F378" s="714"/>
      <c r="G378" s="58"/>
      <c r="H378" s="59"/>
      <c r="I378" s="58"/>
      <c r="J378" s="191"/>
      <c r="K378" s="136"/>
      <c r="L378" s="222"/>
      <c r="M378" s="136"/>
      <c r="N378" s="191"/>
      <c r="O378" s="59"/>
      <c r="P378" s="58"/>
      <c r="Q378" s="59"/>
      <c r="R378" s="484">
        <f t="shared" ref="R378:BY378" si="162">SUM(R375:R377)</f>
        <v>0</v>
      </c>
      <c r="S378" s="484">
        <f t="shared" si="162"/>
        <v>0</v>
      </c>
      <c r="T378" s="484">
        <f t="shared" si="162"/>
        <v>0</v>
      </c>
      <c r="U378" s="484">
        <f t="shared" si="162"/>
        <v>0</v>
      </c>
      <c r="V378" s="484">
        <f t="shared" si="162"/>
        <v>0</v>
      </c>
      <c r="W378" s="484">
        <f t="shared" si="162"/>
        <v>0</v>
      </c>
      <c r="X378" s="484">
        <f t="shared" si="162"/>
        <v>0</v>
      </c>
      <c r="Y378" s="484">
        <f t="shared" si="162"/>
        <v>0</v>
      </c>
      <c r="Z378" s="484">
        <f t="shared" si="162"/>
        <v>0</v>
      </c>
      <c r="AA378" s="484">
        <f t="shared" si="162"/>
        <v>0</v>
      </c>
      <c r="AB378" s="484">
        <f t="shared" si="162"/>
        <v>0</v>
      </c>
      <c r="AC378" s="484">
        <f t="shared" si="162"/>
        <v>0</v>
      </c>
      <c r="AD378" s="484">
        <f t="shared" si="162"/>
        <v>0</v>
      </c>
      <c r="AE378" s="484">
        <f t="shared" si="162"/>
        <v>0</v>
      </c>
      <c r="AF378" s="484">
        <f t="shared" si="162"/>
        <v>0</v>
      </c>
      <c r="AG378" s="484">
        <f t="shared" si="162"/>
        <v>0</v>
      </c>
      <c r="AH378" s="484">
        <f t="shared" si="162"/>
        <v>0</v>
      </c>
      <c r="AI378" s="484">
        <f t="shared" si="162"/>
        <v>0</v>
      </c>
      <c r="AJ378" s="484">
        <f t="shared" si="162"/>
        <v>3198058291</v>
      </c>
      <c r="AK378" s="484">
        <f t="shared" si="162"/>
        <v>3002850722</v>
      </c>
      <c r="AL378" s="484">
        <f t="shared" si="162"/>
        <v>1597288158</v>
      </c>
      <c r="AM378" s="484">
        <f t="shared" si="162"/>
        <v>0</v>
      </c>
      <c r="AN378" s="484">
        <f t="shared" si="162"/>
        <v>0</v>
      </c>
      <c r="AO378" s="484">
        <f t="shared" si="162"/>
        <v>0</v>
      </c>
      <c r="AP378" s="484">
        <f t="shared" si="162"/>
        <v>0</v>
      </c>
      <c r="AQ378" s="484">
        <f t="shared" si="162"/>
        <v>0</v>
      </c>
      <c r="AR378" s="484">
        <f t="shared" si="162"/>
        <v>0</v>
      </c>
      <c r="AS378" s="484">
        <f t="shared" si="162"/>
        <v>0</v>
      </c>
      <c r="AT378" s="484">
        <f t="shared" si="162"/>
        <v>0</v>
      </c>
      <c r="AU378" s="484">
        <f t="shared" si="162"/>
        <v>0</v>
      </c>
      <c r="AV378" s="484">
        <f t="shared" si="162"/>
        <v>0</v>
      </c>
      <c r="AW378" s="484">
        <f t="shared" si="162"/>
        <v>0</v>
      </c>
      <c r="AX378" s="484">
        <f t="shared" si="162"/>
        <v>0</v>
      </c>
      <c r="AY378" s="484">
        <f t="shared" si="162"/>
        <v>0</v>
      </c>
      <c r="AZ378" s="484">
        <f t="shared" si="162"/>
        <v>0</v>
      </c>
      <c r="BA378" s="484">
        <f t="shared" si="162"/>
        <v>0</v>
      </c>
      <c r="BB378" s="484">
        <f t="shared" si="162"/>
        <v>0</v>
      </c>
      <c r="BC378" s="484">
        <f t="shared" si="162"/>
        <v>0</v>
      </c>
      <c r="BD378" s="484">
        <f t="shared" si="162"/>
        <v>0</v>
      </c>
      <c r="BE378" s="484">
        <f t="shared" si="162"/>
        <v>9535927847</v>
      </c>
      <c r="BF378" s="484">
        <f t="shared" si="162"/>
        <v>8176025000</v>
      </c>
      <c r="BG378" s="484">
        <f t="shared" si="162"/>
        <v>2817827462</v>
      </c>
      <c r="BH378" s="484">
        <f t="shared" si="162"/>
        <v>0</v>
      </c>
      <c r="BI378" s="484">
        <f t="shared" si="162"/>
        <v>0</v>
      </c>
      <c r="BJ378" s="484">
        <f t="shared" si="162"/>
        <v>0</v>
      </c>
      <c r="BK378" s="484">
        <f t="shared" si="162"/>
        <v>2952769171</v>
      </c>
      <c r="BL378" s="484">
        <f t="shared" si="162"/>
        <v>2661826996</v>
      </c>
      <c r="BM378" s="484">
        <f t="shared" si="162"/>
        <v>2538247796</v>
      </c>
      <c r="BN378" s="484">
        <f t="shared" si="162"/>
        <v>0</v>
      </c>
      <c r="BO378" s="484">
        <f t="shared" si="162"/>
        <v>0</v>
      </c>
      <c r="BP378" s="484">
        <f t="shared" si="162"/>
        <v>0</v>
      </c>
      <c r="BQ378" s="484">
        <f t="shared" si="162"/>
        <v>79557</v>
      </c>
      <c r="BR378" s="484">
        <f t="shared" si="162"/>
        <v>0</v>
      </c>
      <c r="BS378" s="484">
        <f t="shared" si="162"/>
        <v>0</v>
      </c>
      <c r="BT378" s="484">
        <f t="shared" si="162"/>
        <v>0</v>
      </c>
      <c r="BU378" s="484">
        <f t="shared" si="162"/>
        <v>0</v>
      </c>
      <c r="BV378" s="484">
        <f t="shared" si="162"/>
        <v>0</v>
      </c>
      <c r="BW378" s="484">
        <f>SUM(BW375:BW377)</f>
        <v>709732517</v>
      </c>
      <c r="BX378" s="484">
        <f t="shared" si="162"/>
        <v>0</v>
      </c>
      <c r="BY378" s="484">
        <f t="shared" si="162"/>
        <v>0</v>
      </c>
      <c r="BZ378" s="484">
        <f>SUM(BZ375:BZ377)</f>
        <v>16396567383</v>
      </c>
      <c r="CA378" s="484">
        <f t="shared" ref="CA378:CB378" si="163">SUM(CA375:CA377)</f>
        <v>13840702718</v>
      </c>
      <c r="CB378" s="410">
        <f t="shared" si="163"/>
        <v>6953363416</v>
      </c>
    </row>
    <row r="379" spans="1:80" ht="30" customHeight="1" x14ac:dyDescent="0.2">
      <c r="A379" s="42"/>
      <c r="B379" s="42"/>
      <c r="C379" s="150"/>
      <c r="D379" s="72"/>
      <c r="E379" s="264"/>
      <c r="F379" s="264"/>
      <c r="G379" s="72"/>
      <c r="H379" s="150"/>
      <c r="I379" s="72"/>
      <c r="J379" s="195"/>
      <c r="K379" s="151"/>
      <c r="L379" s="271"/>
      <c r="M379" s="265"/>
      <c r="N379" s="266"/>
      <c r="O379" s="400"/>
      <c r="P379" s="101"/>
      <c r="Q379" s="150"/>
      <c r="R379" s="405"/>
      <c r="S379" s="405"/>
      <c r="T379" s="405"/>
      <c r="U379" s="406"/>
      <c r="V379" s="406"/>
      <c r="W379" s="406"/>
      <c r="X379" s="405"/>
      <c r="Y379" s="405"/>
      <c r="Z379" s="405"/>
      <c r="AA379" s="405"/>
      <c r="AB379" s="405"/>
      <c r="AC379" s="405"/>
      <c r="AD379" s="405"/>
      <c r="AE379" s="405"/>
      <c r="AF379" s="405"/>
      <c r="AG379" s="405"/>
      <c r="AH379" s="405"/>
      <c r="AI379" s="405"/>
      <c r="AJ379" s="405"/>
      <c r="AK379" s="405"/>
      <c r="AL379" s="405"/>
      <c r="AM379" s="405"/>
      <c r="AN379" s="405"/>
      <c r="AO379" s="405"/>
      <c r="AP379" s="405"/>
      <c r="AQ379" s="405"/>
      <c r="AR379" s="405"/>
      <c r="AS379" s="405"/>
      <c r="AT379" s="405"/>
      <c r="AU379" s="405"/>
      <c r="AV379" s="405"/>
      <c r="AW379" s="405"/>
      <c r="AX379" s="405"/>
      <c r="AY379" s="406"/>
      <c r="AZ379" s="406"/>
      <c r="BA379" s="406"/>
      <c r="BB379" s="406"/>
      <c r="BC379" s="406"/>
      <c r="BD379" s="406"/>
      <c r="BE379" s="405"/>
      <c r="BF379" s="405"/>
      <c r="BG379" s="405"/>
      <c r="BH379" s="405"/>
      <c r="BI379" s="791"/>
      <c r="BJ379" s="791"/>
      <c r="BK379" s="801" t="s">
        <v>69</v>
      </c>
      <c r="BL379" s="801"/>
      <c r="BM379" s="801"/>
      <c r="BN379" s="408"/>
      <c r="BO379" s="408"/>
      <c r="BP379" s="408"/>
      <c r="BQ379" s="405"/>
      <c r="BR379" s="405"/>
      <c r="BS379" s="405"/>
      <c r="BT379" s="405"/>
      <c r="BU379" s="405"/>
      <c r="BV379" s="405"/>
      <c r="BW379" s="405"/>
      <c r="BX379" s="405"/>
      <c r="BY379" s="405"/>
      <c r="BZ379" s="405"/>
      <c r="CA379" s="405"/>
      <c r="CB379" s="409"/>
    </row>
    <row r="380" spans="1:80" ht="30" customHeight="1" x14ac:dyDescent="0.2">
      <c r="A380" s="42"/>
      <c r="B380" s="42"/>
      <c r="C380" s="713"/>
      <c r="D380" s="707"/>
      <c r="E380" s="713"/>
      <c r="F380" s="713"/>
      <c r="G380" s="219">
        <v>17</v>
      </c>
      <c r="H380" s="80" t="s">
        <v>494</v>
      </c>
      <c r="I380" s="80"/>
      <c r="J380" s="80"/>
      <c r="K380" s="128"/>
      <c r="L380" s="221"/>
      <c r="M380" s="128"/>
      <c r="N380" s="173"/>
      <c r="O380" s="173"/>
      <c r="P380" s="80"/>
      <c r="Q380" s="80"/>
      <c r="R380" s="267"/>
      <c r="S380" s="267"/>
      <c r="T380" s="267"/>
      <c r="U380" s="267"/>
      <c r="V380" s="267"/>
      <c r="W380" s="267"/>
      <c r="X380" s="267"/>
      <c r="Y380" s="267"/>
      <c r="Z380" s="267"/>
      <c r="AA380" s="267"/>
      <c r="AB380" s="267"/>
      <c r="AC380" s="267"/>
      <c r="AD380" s="267"/>
      <c r="AE380" s="267"/>
      <c r="AF380" s="267"/>
      <c r="AG380" s="267"/>
      <c r="AH380" s="267"/>
      <c r="AI380" s="267"/>
      <c r="AJ380" s="267"/>
      <c r="AK380" s="267"/>
      <c r="AL380" s="267"/>
      <c r="AM380" s="267"/>
      <c r="AN380" s="267"/>
      <c r="AO380" s="267"/>
      <c r="AP380" s="267"/>
      <c r="AQ380" s="267"/>
      <c r="AR380" s="267"/>
      <c r="AS380" s="267"/>
      <c r="AT380" s="267"/>
      <c r="AU380" s="267"/>
      <c r="AV380" s="267"/>
      <c r="AW380" s="267"/>
      <c r="AX380" s="267"/>
      <c r="AY380" s="267"/>
      <c r="AZ380" s="267"/>
      <c r="BA380" s="267"/>
      <c r="BB380" s="267"/>
      <c r="BC380" s="267"/>
      <c r="BD380" s="267"/>
      <c r="BE380" s="267"/>
      <c r="BF380" s="267"/>
      <c r="BG380" s="267"/>
      <c r="BH380" s="267"/>
      <c r="BI380" s="267"/>
      <c r="BJ380" s="267"/>
      <c r="BK380" s="414"/>
      <c r="BL380" s="414"/>
      <c r="BM380" s="414"/>
      <c r="BN380" s="267"/>
      <c r="BO380" s="267"/>
      <c r="BP380" s="267"/>
      <c r="BQ380" s="267"/>
      <c r="BR380" s="267"/>
      <c r="BS380" s="267"/>
      <c r="BT380" s="267"/>
      <c r="BU380" s="267"/>
      <c r="BV380" s="267"/>
      <c r="BW380" s="267"/>
      <c r="BX380" s="267"/>
      <c r="BY380" s="267"/>
      <c r="BZ380" s="269"/>
      <c r="CA380" s="269"/>
      <c r="CB380" s="269"/>
    </row>
    <row r="381" spans="1:80" ht="95.25" customHeight="1" x14ac:dyDescent="0.2">
      <c r="A381" s="42"/>
      <c r="B381" s="42"/>
      <c r="C381" s="714">
        <v>14</v>
      </c>
      <c r="D381" s="92" t="s">
        <v>492</v>
      </c>
      <c r="E381" s="287">
        <v>6.2E-2</v>
      </c>
      <c r="F381" s="287">
        <v>0.03</v>
      </c>
      <c r="G381" s="43"/>
      <c r="H381" s="57">
        <v>68</v>
      </c>
      <c r="I381" s="729" t="s">
        <v>495</v>
      </c>
      <c r="J381" s="169">
        <v>4357</v>
      </c>
      <c r="K381" s="45">
        <v>4500</v>
      </c>
      <c r="L381" s="190">
        <v>3275</v>
      </c>
      <c r="M381" s="884">
        <v>2017003630001</v>
      </c>
      <c r="N381" s="928" t="s">
        <v>485</v>
      </c>
      <c r="O381" s="895" t="s">
        <v>496</v>
      </c>
      <c r="P381" s="890" t="s">
        <v>987</v>
      </c>
      <c r="Q381" s="57" t="s">
        <v>52</v>
      </c>
      <c r="R381" s="401">
        <v>0</v>
      </c>
      <c r="S381" s="401"/>
      <c r="T381" s="401"/>
      <c r="U381" s="401">
        <v>0</v>
      </c>
      <c r="V381" s="401"/>
      <c r="W381" s="401"/>
      <c r="X381" s="401">
        <v>0</v>
      </c>
      <c r="Y381" s="401"/>
      <c r="Z381" s="401"/>
      <c r="AA381" s="401">
        <v>0</v>
      </c>
      <c r="AB381" s="401"/>
      <c r="AC381" s="401"/>
      <c r="AD381" s="401">
        <v>0</v>
      </c>
      <c r="AE381" s="401"/>
      <c r="AF381" s="401"/>
      <c r="AG381" s="401">
        <v>0</v>
      </c>
      <c r="AH381" s="401"/>
      <c r="AI381" s="401"/>
      <c r="AJ381" s="401">
        <v>0</v>
      </c>
      <c r="AK381" s="401"/>
      <c r="AL381" s="401"/>
      <c r="AM381" s="401"/>
      <c r="AN381" s="401"/>
      <c r="AO381" s="401"/>
      <c r="AP381" s="401"/>
      <c r="AQ381" s="401"/>
      <c r="AR381" s="401"/>
      <c r="AS381" s="401">
        <v>0</v>
      </c>
      <c r="AT381" s="401"/>
      <c r="AU381" s="401"/>
      <c r="AV381" s="401">
        <v>0</v>
      </c>
      <c r="AW381" s="401"/>
      <c r="AX381" s="401"/>
      <c r="AY381" s="430"/>
      <c r="AZ381" s="430"/>
      <c r="BA381" s="430"/>
      <c r="BB381" s="430"/>
      <c r="BC381" s="430"/>
      <c r="BD381" s="430"/>
      <c r="BE381" s="401">
        <v>0</v>
      </c>
      <c r="BF381" s="401"/>
      <c r="BG381" s="401"/>
      <c r="BH381" s="401">
        <v>0</v>
      </c>
      <c r="BI381" s="403"/>
      <c r="BJ381" s="403"/>
      <c r="BK381" s="483">
        <v>7200000</v>
      </c>
      <c r="BL381" s="483"/>
      <c r="BM381" s="483"/>
      <c r="BN381" s="415"/>
      <c r="BO381" s="415"/>
      <c r="BP381" s="415"/>
      <c r="BQ381" s="401">
        <v>0</v>
      </c>
      <c r="BR381" s="403"/>
      <c r="BS381" s="403"/>
      <c r="BT381" s="403"/>
      <c r="BU381" s="403"/>
      <c r="BV381" s="403"/>
      <c r="BW381" s="403">
        <v>0</v>
      </c>
      <c r="BX381" s="403"/>
      <c r="BY381" s="403"/>
      <c r="BZ381" s="401">
        <f t="shared" ref="BZ381:CB386" si="164">R381+U381+X381+AA381+AD381+AG381+AJ381+AM381+AP381+AS381+AV381+AY381+BB381+BE381+BH381+BK381+BN381+BQ381+BT381+BW381</f>
        <v>7200000</v>
      </c>
      <c r="CA381" s="401">
        <f t="shared" si="164"/>
        <v>0</v>
      </c>
      <c r="CB381" s="401">
        <f t="shared" si="164"/>
        <v>0</v>
      </c>
    </row>
    <row r="382" spans="1:80" ht="95.25" customHeight="1" x14ac:dyDescent="0.2">
      <c r="A382" s="42"/>
      <c r="B382" s="42"/>
      <c r="C382" s="727">
        <v>15</v>
      </c>
      <c r="D382" s="729" t="s">
        <v>483</v>
      </c>
      <c r="E382" s="263">
        <v>0.73229999999999995</v>
      </c>
      <c r="F382" s="263">
        <v>0.78</v>
      </c>
      <c r="G382" s="49"/>
      <c r="H382" s="57">
        <v>69</v>
      </c>
      <c r="I382" s="729" t="s">
        <v>498</v>
      </c>
      <c r="J382" s="263" t="s">
        <v>43</v>
      </c>
      <c r="K382" s="45">
        <v>1</v>
      </c>
      <c r="L382" s="606">
        <v>0.75</v>
      </c>
      <c r="M382" s="885"/>
      <c r="N382" s="929"/>
      <c r="O382" s="883"/>
      <c r="P382" s="891"/>
      <c r="Q382" s="57" t="s">
        <v>52</v>
      </c>
      <c r="R382" s="401">
        <v>0</v>
      </c>
      <c r="S382" s="401"/>
      <c r="T382" s="401"/>
      <c r="U382" s="401">
        <v>0</v>
      </c>
      <c r="V382" s="401"/>
      <c r="W382" s="401"/>
      <c r="X382" s="401">
        <v>0</v>
      </c>
      <c r="Y382" s="401"/>
      <c r="Z382" s="401"/>
      <c r="AA382" s="401">
        <v>0</v>
      </c>
      <c r="AB382" s="401"/>
      <c r="AC382" s="401"/>
      <c r="AD382" s="401">
        <v>0</v>
      </c>
      <c r="AE382" s="401"/>
      <c r="AF382" s="401"/>
      <c r="AG382" s="401">
        <v>0</v>
      </c>
      <c r="AH382" s="401"/>
      <c r="AI382" s="401"/>
      <c r="AJ382" s="401">
        <v>0</v>
      </c>
      <c r="AK382" s="401"/>
      <c r="AL382" s="401"/>
      <c r="AM382" s="401"/>
      <c r="AN382" s="401"/>
      <c r="AO382" s="401"/>
      <c r="AP382" s="401"/>
      <c r="AQ382" s="401"/>
      <c r="AR382" s="401"/>
      <c r="AS382" s="401">
        <v>0</v>
      </c>
      <c r="AT382" s="401"/>
      <c r="AU382" s="401"/>
      <c r="AV382" s="401">
        <v>0</v>
      </c>
      <c r="AW382" s="401"/>
      <c r="AX382" s="401"/>
      <c r="AY382" s="430"/>
      <c r="AZ382" s="430"/>
      <c r="BA382" s="430"/>
      <c r="BB382" s="430"/>
      <c r="BC382" s="430"/>
      <c r="BD382" s="430"/>
      <c r="BE382" s="401">
        <v>0</v>
      </c>
      <c r="BF382" s="401"/>
      <c r="BG382" s="401"/>
      <c r="BH382" s="401">
        <v>0</v>
      </c>
      <c r="BI382" s="403"/>
      <c r="BJ382" s="403"/>
      <c r="BK382" s="483">
        <v>7200000</v>
      </c>
      <c r="BL382" s="483"/>
      <c r="BM382" s="483"/>
      <c r="BN382" s="415"/>
      <c r="BO382" s="415"/>
      <c r="BP382" s="415"/>
      <c r="BQ382" s="401">
        <v>0</v>
      </c>
      <c r="BR382" s="403"/>
      <c r="BS382" s="403"/>
      <c r="BT382" s="403"/>
      <c r="BU382" s="403"/>
      <c r="BV382" s="403"/>
      <c r="BW382" s="403">
        <v>0</v>
      </c>
      <c r="BX382" s="403"/>
      <c r="BY382" s="403"/>
      <c r="BZ382" s="401">
        <f t="shared" si="164"/>
        <v>7200000</v>
      </c>
      <c r="CA382" s="401">
        <f t="shared" si="164"/>
        <v>0</v>
      </c>
      <c r="CB382" s="401">
        <f t="shared" si="164"/>
        <v>0</v>
      </c>
    </row>
    <row r="383" spans="1:80" ht="95.25" customHeight="1" x14ac:dyDescent="0.2">
      <c r="A383" s="42"/>
      <c r="B383" s="42"/>
      <c r="C383" s="727">
        <v>19</v>
      </c>
      <c r="D383" s="729" t="s">
        <v>488</v>
      </c>
      <c r="E383" s="263" t="s">
        <v>499</v>
      </c>
      <c r="F383" s="263" t="s">
        <v>500</v>
      </c>
      <c r="G383" s="49"/>
      <c r="H383" s="57">
        <v>70</v>
      </c>
      <c r="I383" s="729" t="s">
        <v>501</v>
      </c>
      <c r="J383" s="169">
        <v>322</v>
      </c>
      <c r="K383" s="45">
        <v>469</v>
      </c>
      <c r="L383" s="190">
        <v>528</v>
      </c>
      <c r="M383" s="885"/>
      <c r="N383" s="929"/>
      <c r="O383" s="883"/>
      <c r="P383" s="891"/>
      <c r="Q383" s="57" t="s">
        <v>67</v>
      </c>
      <c r="R383" s="401">
        <v>0</v>
      </c>
      <c r="S383" s="401"/>
      <c r="T383" s="401"/>
      <c r="U383" s="401">
        <v>0</v>
      </c>
      <c r="V383" s="401"/>
      <c r="W383" s="401"/>
      <c r="X383" s="401">
        <v>0</v>
      </c>
      <c r="Y383" s="401"/>
      <c r="Z383" s="401"/>
      <c r="AA383" s="401">
        <v>0</v>
      </c>
      <c r="AB383" s="401"/>
      <c r="AC383" s="401"/>
      <c r="AD383" s="401">
        <v>0</v>
      </c>
      <c r="AE383" s="401"/>
      <c r="AF383" s="401"/>
      <c r="AG383" s="401">
        <v>0</v>
      </c>
      <c r="AH383" s="401"/>
      <c r="AI383" s="401"/>
      <c r="AJ383" s="401">
        <v>0</v>
      </c>
      <c r="AK383" s="401"/>
      <c r="AL383" s="401"/>
      <c r="AM383" s="401"/>
      <c r="AN383" s="401"/>
      <c r="AO383" s="401"/>
      <c r="AP383" s="401"/>
      <c r="AQ383" s="401"/>
      <c r="AR383" s="401"/>
      <c r="AS383" s="401">
        <v>0</v>
      </c>
      <c r="AT383" s="401"/>
      <c r="AU383" s="401"/>
      <c r="AV383" s="401">
        <v>0</v>
      </c>
      <c r="AW383" s="401"/>
      <c r="AX383" s="401"/>
      <c r="AY383" s="401"/>
      <c r="AZ383" s="401"/>
      <c r="BA383" s="401"/>
      <c r="BB383" s="401"/>
      <c r="BC383" s="401"/>
      <c r="BD383" s="401"/>
      <c r="BE383" s="401">
        <v>0</v>
      </c>
      <c r="BF383" s="401"/>
      <c r="BG383" s="401"/>
      <c r="BH383" s="401">
        <v>0</v>
      </c>
      <c r="BI383" s="403"/>
      <c r="BJ383" s="403"/>
      <c r="BK383" s="483">
        <v>14400000</v>
      </c>
      <c r="BL383" s="483"/>
      <c r="BM383" s="483"/>
      <c r="BN383" s="415"/>
      <c r="BO383" s="415"/>
      <c r="BP383" s="415"/>
      <c r="BQ383" s="401">
        <v>0</v>
      </c>
      <c r="BR383" s="403"/>
      <c r="BS383" s="403"/>
      <c r="BT383" s="403"/>
      <c r="BU383" s="403"/>
      <c r="BV383" s="403"/>
      <c r="BW383" s="403">
        <v>0</v>
      </c>
      <c r="BX383" s="403"/>
      <c r="BY383" s="403"/>
      <c r="BZ383" s="401">
        <f t="shared" si="164"/>
        <v>14400000</v>
      </c>
      <c r="CA383" s="401">
        <f t="shared" si="164"/>
        <v>0</v>
      </c>
      <c r="CB383" s="401">
        <f t="shared" si="164"/>
        <v>0</v>
      </c>
    </row>
    <row r="384" spans="1:80" ht="95.25" customHeight="1" x14ac:dyDescent="0.2">
      <c r="A384" s="42"/>
      <c r="B384" s="42"/>
      <c r="C384" s="727">
        <v>35</v>
      </c>
      <c r="D384" s="144" t="s">
        <v>502</v>
      </c>
      <c r="E384" s="169">
        <v>23000</v>
      </c>
      <c r="F384" s="169">
        <v>24000</v>
      </c>
      <c r="G384" s="49"/>
      <c r="H384" s="57">
        <v>71</v>
      </c>
      <c r="I384" s="729" t="s">
        <v>503</v>
      </c>
      <c r="J384" s="169">
        <v>1762</v>
      </c>
      <c r="K384" s="45">
        <v>2469</v>
      </c>
      <c r="L384" s="190">
        <v>2957</v>
      </c>
      <c r="M384" s="885"/>
      <c r="N384" s="929"/>
      <c r="O384" s="883"/>
      <c r="P384" s="891"/>
      <c r="Q384" s="57" t="s">
        <v>67</v>
      </c>
      <c r="R384" s="401">
        <v>0</v>
      </c>
      <c r="S384" s="401"/>
      <c r="T384" s="401"/>
      <c r="U384" s="401">
        <v>0</v>
      </c>
      <c r="V384" s="401"/>
      <c r="W384" s="401"/>
      <c r="X384" s="401">
        <v>0</v>
      </c>
      <c r="Y384" s="401"/>
      <c r="Z384" s="401"/>
      <c r="AA384" s="401">
        <v>0</v>
      </c>
      <c r="AB384" s="401"/>
      <c r="AC384" s="401"/>
      <c r="AD384" s="401">
        <v>0</v>
      </c>
      <c r="AE384" s="401"/>
      <c r="AF384" s="401"/>
      <c r="AG384" s="401">
        <v>0</v>
      </c>
      <c r="AH384" s="401"/>
      <c r="AI384" s="401"/>
      <c r="AJ384" s="401">
        <v>0</v>
      </c>
      <c r="AK384" s="401"/>
      <c r="AL384" s="401"/>
      <c r="AM384" s="401"/>
      <c r="AN384" s="401"/>
      <c r="AO384" s="401"/>
      <c r="AP384" s="401"/>
      <c r="AQ384" s="401"/>
      <c r="AR384" s="401"/>
      <c r="AS384" s="401">
        <v>0</v>
      </c>
      <c r="AT384" s="401"/>
      <c r="AU384" s="401"/>
      <c r="AV384" s="401">
        <v>0</v>
      </c>
      <c r="AW384" s="401"/>
      <c r="AX384" s="401"/>
      <c r="AY384" s="401"/>
      <c r="AZ384" s="401"/>
      <c r="BA384" s="401"/>
      <c r="BB384" s="401"/>
      <c r="BC384" s="401"/>
      <c r="BD384" s="401"/>
      <c r="BE384" s="401">
        <v>0</v>
      </c>
      <c r="BF384" s="401"/>
      <c r="BG384" s="401"/>
      <c r="BH384" s="401">
        <v>0</v>
      </c>
      <c r="BI384" s="403"/>
      <c r="BJ384" s="403"/>
      <c r="BK384" s="483"/>
      <c r="BL384" s="483"/>
      <c r="BM384" s="483"/>
      <c r="BN384" s="430"/>
      <c r="BO384" s="430"/>
      <c r="BP384" s="430"/>
      <c r="BQ384" s="401">
        <v>0</v>
      </c>
      <c r="BR384" s="403"/>
      <c r="BS384" s="403"/>
      <c r="BT384" s="403"/>
      <c r="BU384" s="403"/>
      <c r="BV384" s="403"/>
      <c r="BW384" s="403">
        <v>0</v>
      </c>
      <c r="BX384" s="403"/>
      <c r="BY384" s="403"/>
      <c r="BZ384" s="401">
        <f t="shared" si="164"/>
        <v>0</v>
      </c>
      <c r="CA384" s="401">
        <f t="shared" si="164"/>
        <v>0</v>
      </c>
      <c r="CB384" s="401">
        <f t="shared" si="164"/>
        <v>0</v>
      </c>
    </row>
    <row r="385" spans="1:80" ht="95.25" customHeight="1" x14ac:dyDescent="0.2">
      <c r="A385" s="42"/>
      <c r="B385" s="42"/>
      <c r="C385" s="727"/>
      <c r="D385" s="144"/>
      <c r="E385" s="268"/>
      <c r="F385" s="268"/>
      <c r="G385" s="49"/>
      <c r="H385" s="57">
        <v>72</v>
      </c>
      <c r="I385" s="729" t="s">
        <v>504</v>
      </c>
      <c r="J385" s="169">
        <v>455</v>
      </c>
      <c r="K385" s="45">
        <v>455</v>
      </c>
      <c r="L385" s="190">
        <v>236</v>
      </c>
      <c r="M385" s="885"/>
      <c r="N385" s="929"/>
      <c r="O385" s="883"/>
      <c r="P385" s="891"/>
      <c r="Q385" s="57" t="s">
        <v>52</v>
      </c>
      <c r="R385" s="401">
        <v>0</v>
      </c>
      <c r="S385" s="401"/>
      <c r="T385" s="401"/>
      <c r="U385" s="401">
        <v>0</v>
      </c>
      <c r="V385" s="401"/>
      <c r="W385" s="401"/>
      <c r="X385" s="401">
        <v>0</v>
      </c>
      <c r="Y385" s="401"/>
      <c r="Z385" s="401"/>
      <c r="AA385" s="401">
        <v>0</v>
      </c>
      <c r="AB385" s="401"/>
      <c r="AC385" s="401"/>
      <c r="AD385" s="401">
        <v>0</v>
      </c>
      <c r="AE385" s="401"/>
      <c r="AF385" s="401"/>
      <c r="AG385" s="401">
        <v>0</v>
      </c>
      <c r="AH385" s="401"/>
      <c r="AI385" s="401"/>
      <c r="AJ385" s="401">
        <v>0</v>
      </c>
      <c r="AK385" s="401"/>
      <c r="AL385" s="401"/>
      <c r="AM385" s="401"/>
      <c r="AN385" s="401"/>
      <c r="AO385" s="401"/>
      <c r="AP385" s="401"/>
      <c r="AQ385" s="401"/>
      <c r="AR385" s="401"/>
      <c r="AS385" s="401">
        <v>0</v>
      </c>
      <c r="AT385" s="401"/>
      <c r="AU385" s="401"/>
      <c r="AV385" s="401">
        <v>0</v>
      </c>
      <c r="AW385" s="401"/>
      <c r="AX385" s="401"/>
      <c r="AY385" s="401"/>
      <c r="AZ385" s="401"/>
      <c r="BA385" s="401"/>
      <c r="BB385" s="401"/>
      <c r="BC385" s="401"/>
      <c r="BD385" s="401"/>
      <c r="BE385" s="401">
        <v>0</v>
      </c>
      <c r="BF385" s="401"/>
      <c r="BG385" s="401"/>
      <c r="BH385" s="401">
        <v>0</v>
      </c>
      <c r="BI385" s="403"/>
      <c r="BJ385" s="403"/>
      <c r="BK385" s="483">
        <v>7200000</v>
      </c>
      <c r="BL385" s="483"/>
      <c r="BM385" s="483"/>
      <c r="BN385" s="415"/>
      <c r="BO385" s="415"/>
      <c r="BP385" s="415"/>
      <c r="BQ385" s="401">
        <v>0</v>
      </c>
      <c r="BR385" s="403"/>
      <c r="BS385" s="403"/>
      <c r="BT385" s="403"/>
      <c r="BU385" s="403"/>
      <c r="BV385" s="403"/>
      <c r="BW385" s="403">
        <v>0</v>
      </c>
      <c r="BX385" s="403"/>
      <c r="BY385" s="403"/>
      <c r="BZ385" s="401">
        <f t="shared" si="164"/>
        <v>7200000</v>
      </c>
      <c r="CA385" s="401">
        <f t="shared" si="164"/>
        <v>0</v>
      </c>
      <c r="CB385" s="401">
        <f t="shared" si="164"/>
        <v>0</v>
      </c>
    </row>
    <row r="386" spans="1:80" ht="95.25" customHeight="1" x14ac:dyDescent="0.2">
      <c r="A386" s="42"/>
      <c r="B386" s="42"/>
      <c r="C386" s="713"/>
      <c r="D386" s="43"/>
      <c r="E386" s="544"/>
      <c r="F386" s="732" t="s">
        <v>69</v>
      </c>
      <c r="G386" s="92"/>
      <c r="H386" s="57">
        <v>73</v>
      </c>
      <c r="I386" s="729" t="s">
        <v>505</v>
      </c>
      <c r="J386" s="169" t="s">
        <v>43</v>
      </c>
      <c r="K386" s="45">
        <v>1</v>
      </c>
      <c r="L386" s="190">
        <v>1</v>
      </c>
      <c r="M386" s="886"/>
      <c r="N386" s="930"/>
      <c r="O386" s="898"/>
      <c r="P386" s="892"/>
      <c r="Q386" s="57" t="s">
        <v>52</v>
      </c>
      <c r="R386" s="401">
        <v>0</v>
      </c>
      <c r="S386" s="401"/>
      <c r="T386" s="401"/>
      <c r="U386" s="401">
        <v>0</v>
      </c>
      <c r="V386" s="401"/>
      <c r="W386" s="401"/>
      <c r="X386" s="401">
        <v>0</v>
      </c>
      <c r="Y386" s="401"/>
      <c r="Z386" s="401"/>
      <c r="AA386" s="401">
        <v>0</v>
      </c>
      <c r="AB386" s="401"/>
      <c r="AC386" s="401"/>
      <c r="AD386" s="401">
        <v>0</v>
      </c>
      <c r="AE386" s="401"/>
      <c r="AF386" s="401"/>
      <c r="AG386" s="401">
        <v>0</v>
      </c>
      <c r="AH386" s="401"/>
      <c r="AI386" s="401"/>
      <c r="AJ386" s="401">
        <v>0</v>
      </c>
      <c r="AK386" s="401"/>
      <c r="AL386" s="401"/>
      <c r="AM386" s="401"/>
      <c r="AN386" s="401"/>
      <c r="AO386" s="401"/>
      <c r="AP386" s="401"/>
      <c r="AQ386" s="401"/>
      <c r="AR386" s="401"/>
      <c r="AS386" s="401">
        <v>0</v>
      </c>
      <c r="AT386" s="401"/>
      <c r="AU386" s="401"/>
      <c r="AV386" s="401">
        <v>0</v>
      </c>
      <c r="AW386" s="401"/>
      <c r="AX386" s="401"/>
      <c r="AY386" s="683">
        <f>1500000000-103368513</f>
        <v>1396631487</v>
      </c>
      <c r="AZ386" s="480">
        <v>938525000</v>
      </c>
      <c r="BA386" s="480">
        <v>423425000</v>
      </c>
      <c r="BB386" s="480"/>
      <c r="BC386" s="480"/>
      <c r="BD386" s="480"/>
      <c r="BE386" s="401">
        <v>0</v>
      </c>
      <c r="BF386" s="401"/>
      <c r="BG386" s="401"/>
      <c r="BH386" s="401">
        <v>0</v>
      </c>
      <c r="BI386" s="403"/>
      <c r="BJ386" s="403"/>
      <c r="BK386" s="483"/>
      <c r="BL386" s="483"/>
      <c r="BM386" s="483"/>
      <c r="BN386" s="415"/>
      <c r="BO386" s="415"/>
      <c r="BP386" s="415"/>
      <c r="BQ386" s="401">
        <v>0</v>
      </c>
      <c r="BR386" s="403"/>
      <c r="BS386" s="403"/>
      <c r="BT386" s="403"/>
      <c r="BU386" s="403"/>
      <c r="BV386" s="403"/>
      <c r="BW386" s="403">
        <v>0</v>
      </c>
      <c r="BX386" s="403"/>
      <c r="BY386" s="403"/>
      <c r="BZ386" s="401">
        <f t="shared" si="164"/>
        <v>1396631487</v>
      </c>
      <c r="CA386" s="401">
        <f t="shared" si="164"/>
        <v>938525000</v>
      </c>
      <c r="CB386" s="401">
        <f t="shared" si="164"/>
        <v>423425000</v>
      </c>
    </row>
    <row r="387" spans="1:80" ht="30" customHeight="1" x14ac:dyDescent="0.2">
      <c r="A387" s="42"/>
      <c r="B387" s="42"/>
      <c r="C387" s="714"/>
      <c r="D387" s="709"/>
      <c r="E387" s="714"/>
      <c r="F387" s="714"/>
      <c r="G387" s="58"/>
      <c r="H387" s="59"/>
      <c r="I387" s="58"/>
      <c r="J387" s="191"/>
      <c r="K387" s="136"/>
      <c r="L387" s="222"/>
      <c r="M387" s="136"/>
      <c r="N387" s="191"/>
      <c r="O387" s="59"/>
      <c r="P387" s="58"/>
      <c r="Q387" s="59"/>
      <c r="R387" s="410">
        <f t="shared" ref="R387:BY387" si="165">SUM(R381:R386)</f>
        <v>0</v>
      </c>
      <c r="S387" s="410">
        <f t="shared" si="165"/>
        <v>0</v>
      </c>
      <c r="T387" s="410">
        <f t="shared" si="165"/>
        <v>0</v>
      </c>
      <c r="U387" s="410">
        <f t="shared" si="165"/>
        <v>0</v>
      </c>
      <c r="V387" s="410">
        <f t="shared" si="165"/>
        <v>0</v>
      </c>
      <c r="W387" s="410">
        <f t="shared" si="165"/>
        <v>0</v>
      </c>
      <c r="X387" s="410">
        <f t="shared" si="165"/>
        <v>0</v>
      </c>
      <c r="Y387" s="410">
        <f t="shared" si="165"/>
        <v>0</v>
      </c>
      <c r="Z387" s="410">
        <f t="shared" si="165"/>
        <v>0</v>
      </c>
      <c r="AA387" s="410">
        <f t="shared" si="165"/>
        <v>0</v>
      </c>
      <c r="AB387" s="410">
        <f t="shared" si="165"/>
        <v>0</v>
      </c>
      <c r="AC387" s="410">
        <f t="shared" si="165"/>
        <v>0</v>
      </c>
      <c r="AD387" s="410">
        <f t="shared" si="165"/>
        <v>0</v>
      </c>
      <c r="AE387" s="410">
        <f t="shared" si="165"/>
        <v>0</v>
      </c>
      <c r="AF387" s="410">
        <f t="shared" si="165"/>
        <v>0</v>
      </c>
      <c r="AG387" s="410">
        <f t="shared" si="165"/>
        <v>0</v>
      </c>
      <c r="AH387" s="410">
        <f t="shared" si="165"/>
        <v>0</v>
      </c>
      <c r="AI387" s="410">
        <f t="shared" si="165"/>
        <v>0</v>
      </c>
      <c r="AJ387" s="410">
        <f t="shared" si="165"/>
        <v>0</v>
      </c>
      <c r="AK387" s="410">
        <f t="shared" si="165"/>
        <v>0</v>
      </c>
      <c r="AL387" s="410">
        <f t="shared" si="165"/>
        <v>0</v>
      </c>
      <c r="AM387" s="410">
        <f t="shared" si="165"/>
        <v>0</v>
      </c>
      <c r="AN387" s="410">
        <f t="shared" si="165"/>
        <v>0</v>
      </c>
      <c r="AO387" s="410">
        <f t="shared" si="165"/>
        <v>0</v>
      </c>
      <c r="AP387" s="410">
        <f t="shared" si="165"/>
        <v>0</v>
      </c>
      <c r="AQ387" s="410">
        <f t="shared" si="165"/>
        <v>0</v>
      </c>
      <c r="AR387" s="410">
        <f t="shared" si="165"/>
        <v>0</v>
      </c>
      <c r="AS387" s="410">
        <f t="shared" si="165"/>
        <v>0</v>
      </c>
      <c r="AT387" s="410">
        <f t="shared" si="165"/>
        <v>0</v>
      </c>
      <c r="AU387" s="410">
        <f t="shared" si="165"/>
        <v>0</v>
      </c>
      <c r="AV387" s="410">
        <f t="shared" si="165"/>
        <v>0</v>
      </c>
      <c r="AW387" s="410">
        <f t="shared" si="165"/>
        <v>0</v>
      </c>
      <c r="AX387" s="410">
        <f t="shared" si="165"/>
        <v>0</v>
      </c>
      <c r="AY387" s="410">
        <f t="shared" si="165"/>
        <v>1396631487</v>
      </c>
      <c r="AZ387" s="410">
        <f t="shared" si="165"/>
        <v>938525000</v>
      </c>
      <c r="BA387" s="410">
        <f t="shared" si="165"/>
        <v>423425000</v>
      </c>
      <c r="BB387" s="410">
        <f t="shared" si="165"/>
        <v>0</v>
      </c>
      <c r="BC387" s="410">
        <f t="shared" si="165"/>
        <v>0</v>
      </c>
      <c r="BD387" s="410">
        <f t="shared" si="165"/>
        <v>0</v>
      </c>
      <c r="BE387" s="410">
        <f t="shared" si="165"/>
        <v>0</v>
      </c>
      <c r="BF387" s="410">
        <f t="shared" si="165"/>
        <v>0</v>
      </c>
      <c r="BG387" s="410">
        <f t="shared" si="165"/>
        <v>0</v>
      </c>
      <c r="BH387" s="410">
        <f t="shared" si="165"/>
        <v>0</v>
      </c>
      <c r="BI387" s="410">
        <f t="shared" si="165"/>
        <v>0</v>
      </c>
      <c r="BJ387" s="410">
        <f t="shared" si="165"/>
        <v>0</v>
      </c>
      <c r="BK387" s="410">
        <f>SUM(BK381:BK386)</f>
        <v>36000000</v>
      </c>
      <c r="BL387" s="410">
        <f t="shared" si="165"/>
        <v>0</v>
      </c>
      <c r="BM387" s="410">
        <f t="shared" si="165"/>
        <v>0</v>
      </c>
      <c r="BN387" s="410">
        <f t="shared" si="165"/>
        <v>0</v>
      </c>
      <c r="BO387" s="410">
        <f t="shared" si="165"/>
        <v>0</v>
      </c>
      <c r="BP387" s="410">
        <f t="shared" si="165"/>
        <v>0</v>
      </c>
      <c r="BQ387" s="410">
        <f t="shared" si="165"/>
        <v>0</v>
      </c>
      <c r="BR387" s="410">
        <f t="shared" si="165"/>
        <v>0</v>
      </c>
      <c r="BS387" s="410">
        <f t="shared" si="165"/>
        <v>0</v>
      </c>
      <c r="BT387" s="410">
        <f t="shared" si="165"/>
        <v>0</v>
      </c>
      <c r="BU387" s="410">
        <f t="shared" si="165"/>
        <v>0</v>
      </c>
      <c r="BV387" s="410">
        <f t="shared" si="165"/>
        <v>0</v>
      </c>
      <c r="BW387" s="410">
        <f t="shared" si="165"/>
        <v>0</v>
      </c>
      <c r="BX387" s="410">
        <f t="shared" si="165"/>
        <v>0</v>
      </c>
      <c r="BY387" s="410">
        <f t="shared" si="165"/>
        <v>0</v>
      </c>
      <c r="BZ387" s="410">
        <f>SUM(BZ381:BZ386)</f>
        <v>1432631487</v>
      </c>
      <c r="CA387" s="410">
        <f t="shared" ref="CA387:CB387" si="166">SUM(CA381:CA386)</f>
        <v>938525000</v>
      </c>
      <c r="CB387" s="410">
        <f t="shared" si="166"/>
        <v>423425000</v>
      </c>
    </row>
    <row r="388" spans="1:80" ht="30" customHeight="1" x14ac:dyDescent="0.2">
      <c r="A388" s="42"/>
      <c r="B388" s="42"/>
      <c r="C388" s="150"/>
      <c r="D388" s="72"/>
      <c r="E388" s="264"/>
      <c r="F388" s="264"/>
      <c r="G388" s="72"/>
      <c r="H388" s="150"/>
      <c r="I388" s="72"/>
      <c r="J388" s="195"/>
      <c r="K388" s="151"/>
      <c r="L388" s="223"/>
      <c r="M388" s="151"/>
      <c r="N388" s="195"/>
      <c r="O388" s="150"/>
      <c r="P388" s="72"/>
      <c r="Q388" s="150"/>
      <c r="R388" s="405"/>
      <c r="S388" s="405"/>
      <c r="T388" s="405"/>
      <c r="U388" s="406"/>
      <c r="V388" s="406"/>
      <c r="W388" s="406"/>
      <c r="X388" s="405"/>
      <c r="Y388" s="405"/>
      <c r="Z388" s="405"/>
      <c r="AA388" s="405"/>
      <c r="AB388" s="405"/>
      <c r="AC388" s="405"/>
      <c r="AD388" s="405"/>
      <c r="AE388" s="405"/>
      <c r="AF388" s="405"/>
      <c r="AG388" s="405"/>
      <c r="AH388" s="405"/>
      <c r="AI388" s="405"/>
      <c r="AJ388" s="405"/>
      <c r="AK388" s="405"/>
      <c r="AL388" s="405"/>
      <c r="AM388" s="405"/>
      <c r="AN388" s="405"/>
      <c r="AO388" s="405"/>
      <c r="AP388" s="405"/>
      <c r="AQ388" s="405"/>
      <c r="AR388" s="405"/>
      <c r="AS388" s="405"/>
      <c r="AT388" s="405"/>
      <c r="AU388" s="405"/>
      <c r="AV388" s="405"/>
      <c r="AW388" s="405"/>
      <c r="AX388" s="405"/>
      <c r="AY388" s="406" t="s">
        <v>69</v>
      </c>
      <c r="AZ388" s="406"/>
      <c r="BA388" s="406"/>
      <c r="BB388" s="406" t="s">
        <v>69</v>
      </c>
      <c r="BC388" s="406"/>
      <c r="BD388" s="406"/>
      <c r="BE388" s="405"/>
      <c r="BF388" s="405"/>
      <c r="BG388" s="405"/>
      <c r="BH388" s="405"/>
      <c r="BI388" s="791"/>
      <c r="BJ388" s="791"/>
      <c r="BK388" s="801" t="s">
        <v>69</v>
      </c>
      <c r="BL388" s="801"/>
      <c r="BM388" s="801"/>
      <c r="BN388" s="405"/>
      <c r="BO388" s="405"/>
      <c r="BP388" s="405"/>
      <c r="BQ388" s="405"/>
      <c r="BR388" s="405"/>
      <c r="BS388" s="405"/>
      <c r="BT388" s="405"/>
      <c r="BU388" s="405"/>
      <c r="BV388" s="405"/>
      <c r="BW388" s="405"/>
      <c r="BX388" s="405"/>
      <c r="BY388" s="405"/>
      <c r="BZ388" s="405"/>
      <c r="CA388" s="405"/>
      <c r="CB388" s="409"/>
    </row>
    <row r="389" spans="1:80" ht="30" customHeight="1" x14ac:dyDescent="0.2">
      <c r="A389" s="42"/>
      <c r="B389" s="42"/>
      <c r="C389" s="713"/>
      <c r="D389" s="707"/>
      <c r="E389" s="713"/>
      <c r="F389" s="713"/>
      <c r="G389" s="140">
        <v>18</v>
      </c>
      <c r="H389" s="172" t="s">
        <v>506</v>
      </c>
      <c r="I389" s="80"/>
      <c r="J389" s="80"/>
      <c r="K389" s="128"/>
      <c r="L389" s="221"/>
      <c r="M389" s="128"/>
      <c r="N389" s="173"/>
      <c r="O389" s="173"/>
      <c r="P389" s="80"/>
      <c r="Q389" s="80"/>
      <c r="R389" s="267"/>
      <c r="S389" s="267"/>
      <c r="T389" s="267"/>
      <c r="U389" s="267"/>
      <c r="V389" s="267"/>
      <c r="W389" s="267"/>
      <c r="X389" s="267"/>
      <c r="Y389" s="267"/>
      <c r="Z389" s="267"/>
      <c r="AA389" s="267"/>
      <c r="AB389" s="267"/>
      <c r="AC389" s="267"/>
      <c r="AD389" s="267"/>
      <c r="AE389" s="267"/>
      <c r="AF389" s="267"/>
      <c r="AG389" s="267"/>
      <c r="AH389" s="267"/>
      <c r="AI389" s="267"/>
      <c r="AJ389" s="267"/>
      <c r="AK389" s="267"/>
      <c r="AL389" s="267"/>
      <c r="AM389" s="267"/>
      <c r="AN389" s="267"/>
      <c r="AO389" s="267"/>
      <c r="AP389" s="267"/>
      <c r="AQ389" s="267"/>
      <c r="AR389" s="267"/>
      <c r="AS389" s="267"/>
      <c r="AT389" s="267"/>
      <c r="AU389" s="267"/>
      <c r="AV389" s="267"/>
      <c r="AW389" s="267"/>
      <c r="AX389" s="267"/>
      <c r="AY389" s="267"/>
      <c r="AZ389" s="267"/>
      <c r="BA389" s="267"/>
      <c r="BB389" s="267"/>
      <c r="BC389" s="267"/>
      <c r="BD389" s="267"/>
      <c r="BE389" s="267"/>
      <c r="BF389" s="267"/>
      <c r="BG389" s="267"/>
      <c r="BH389" s="267"/>
      <c r="BI389" s="267"/>
      <c r="BJ389" s="267"/>
      <c r="BK389" s="414"/>
      <c r="BL389" s="414"/>
      <c r="BM389" s="414"/>
      <c r="BN389" s="267"/>
      <c r="BO389" s="267"/>
      <c r="BP389" s="267"/>
      <c r="BQ389" s="267"/>
      <c r="BR389" s="267"/>
      <c r="BS389" s="267"/>
      <c r="BT389" s="267"/>
      <c r="BU389" s="267"/>
      <c r="BV389" s="267"/>
      <c r="BW389" s="267"/>
      <c r="BX389" s="267"/>
      <c r="BY389" s="267"/>
      <c r="BZ389" s="269"/>
      <c r="CA389" s="269"/>
      <c r="CB389" s="269"/>
    </row>
    <row r="390" spans="1:80" ht="132.75" customHeight="1" x14ac:dyDescent="0.2">
      <c r="A390" s="42"/>
      <c r="B390" s="42"/>
      <c r="C390" s="702" t="s">
        <v>1091</v>
      </c>
      <c r="D390" s="708" t="s">
        <v>1090</v>
      </c>
      <c r="E390" s="716" t="s">
        <v>509</v>
      </c>
      <c r="F390" s="716" t="s">
        <v>510</v>
      </c>
      <c r="G390" s="43"/>
      <c r="H390" s="57">
        <v>74</v>
      </c>
      <c r="I390" s="729" t="s">
        <v>511</v>
      </c>
      <c r="J390" s="169">
        <v>2232</v>
      </c>
      <c r="K390" s="107">
        <v>2232</v>
      </c>
      <c r="L390" s="169">
        <v>2232</v>
      </c>
      <c r="M390" s="45">
        <v>2017003630083</v>
      </c>
      <c r="N390" s="169" t="s">
        <v>485</v>
      </c>
      <c r="O390" s="57" t="s">
        <v>512</v>
      </c>
      <c r="P390" s="729" t="s">
        <v>513</v>
      </c>
      <c r="Q390" s="57" t="s">
        <v>52</v>
      </c>
      <c r="R390" s="401">
        <v>0</v>
      </c>
      <c r="S390" s="401"/>
      <c r="T390" s="401"/>
      <c r="U390" s="401">
        <v>0</v>
      </c>
      <c r="V390" s="401"/>
      <c r="W390" s="401"/>
      <c r="X390" s="401">
        <v>0</v>
      </c>
      <c r="Y390" s="401"/>
      <c r="Z390" s="401"/>
      <c r="AA390" s="401">
        <v>0</v>
      </c>
      <c r="AB390" s="401"/>
      <c r="AC390" s="401"/>
      <c r="AD390" s="401">
        <v>0</v>
      </c>
      <c r="AE390" s="401"/>
      <c r="AF390" s="401"/>
      <c r="AG390" s="401">
        <v>0</v>
      </c>
      <c r="AH390" s="401"/>
      <c r="AI390" s="401"/>
      <c r="AJ390" s="401">
        <v>0</v>
      </c>
      <c r="AK390" s="401"/>
      <c r="AL390" s="401"/>
      <c r="AM390" s="401"/>
      <c r="AN390" s="401"/>
      <c r="AO390" s="401"/>
      <c r="AP390" s="401"/>
      <c r="AQ390" s="401"/>
      <c r="AR390" s="401"/>
      <c r="AS390" s="401">
        <v>0</v>
      </c>
      <c r="AT390" s="401"/>
      <c r="AU390" s="401"/>
      <c r="AV390" s="401">
        <v>0</v>
      </c>
      <c r="AW390" s="401"/>
      <c r="AX390" s="401"/>
      <c r="AY390" s="683">
        <f>109931000000+3011938055+68294779+12066482925+14751506</f>
        <v>125092467265</v>
      </c>
      <c r="AZ390" s="480">
        <v>67451045163.239998</v>
      </c>
      <c r="BA390" s="480">
        <v>67127631462.239998</v>
      </c>
      <c r="BB390" s="415">
        <f>19000000000+815000000+66000000+6400000000</f>
        <v>26281000000</v>
      </c>
      <c r="BC390" s="415">
        <v>14854729332</v>
      </c>
      <c r="BD390" s="415">
        <v>14854729332</v>
      </c>
      <c r="BE390" s="401">
        <v>0</v>
      </c>
      <c r="BF390" s="401"/>
      <c r="BG390" s="401"/>
      <c r="BH390" s="401">
        <v>0</v>
      </c>
      <c r="BI390" s="401"/>
      <c r="BJ390" s="401"/>
      <c r="BK390" s="672">
        <v>15000000</v>
      </c>
      <c r="BL390" s="402"/>
      <c r="BM390" s="402"/>
      <c r="BN390" s="415"/>
      <c r="BO390" s="415"/>
      <c r="BP390" s="415"/>
      <c r="BQ390" s="401">
        <v>0</v>
      </c>
      <c r="BR390" s="403"/>
      <c r="BS390" s="403"/>
      <c r="BT390" s="403"/>
      <c r="BU390" s="403"/>
      <c r="BV390" s="403"/>
      <c r="BW390" s="403"/>
      <c r="BX390" s="403"/>
      <c r="BY390" s="403"/>
      <c r="BZ390" s="401">
        <f>R390+U390+X390+AA390+AD390+AG390+AJ390+AM390+AP390+AS390+AV390+AY390+BB390+BE390+BH390+BK390+BN390+BQ390+BT390+BW390</f>
        <v>151388467265</v>
      </c>
      <c r="CA390" s="401">
        <f t="shared" ref="CA390:CB390" si="167">S390+V390+Y390+AB390+AE390+AH390+AK390+AN390+AQ390+AT390+AW390+AZ390+BC390+BF390+BI390+BL390+BO390+BR390+BU390+BX390</f>
        <v>82305774495.23999</v>
      </c>
      <c r="CB390" s="401">
        <f t="shared" si="167"/>
        <v>81982360794.23999</v>
      </c>
    </row>
    <row r="391" spans="1:80" ht="30" customHeight="1" x14ac:dyDescent="0.2">
      <c r="A391" s="42"/>
      <c r="B391" s="55"/>
      <c r="C391" s="714"/>
      <c r="D391" s="709"/>
      <c r="E391" s="714"/>
      <c r="F391" s="714"/>
      <c r="G391" s="58"/>
      <c r="H391" s="59"/>
      <c r="I391" s="58"/>
      <c r="J391" s="191"/>
      <c r="K391" s="222"/>
      <c r="L391" s="222"/>
      <c r="M391" s="222"/>
      <c r="N391" s="191"/>
      <c r="O391" s="59"/>
      <c r="P391" s="59"/>
      <c r="Q391" s="59"/>
      <c r="R391" s="410">
        <f t="shared" ref="R391:CB391" si="168">SUM(R390:R390)</f>
        <v>0</v>
      </c>
      <c r="S391" s="410">
        <f t="shared" si="168"/>
        <v>0</v>
      </c>
      <c r="T391" s="410">
        <f t="shared" si="168"/>
        <v>0</v>
      </c>
      <c r="U391" s="410">
        <f t="shared" si="168"/>
        <v>0</v>
      </c>
      <c r="V391" s="410">
        <f t="shared" si="168"/>
        <v>0</v>
      </c>
      <c r="W391" s="410">
        <f t="shared" si="168"/>
        <v>0</v>
      </c>
      <c r="X391" s="410">
        <f t="shared" si="168"/>
        <v>0</v>
      </c>
      <c r="Y391" s="410">
        <f t="shared" si="168"/>
        <v>0</v>
      </c>
      <c r="Z391" s="410">
        <f t="shared" si="168"/>
        <v>0</v>
      </c>
      <c r="AA391" s="410">
        <f t="shared" si="168"/>
        <v>0</v>
      </c>
      <c r="AB391" s="410">
        <f t="shared" si="168"/>
        <v>0</v>
      </c>
      <c r="AC391" s="410">
        <f t="shared" si="168"/>
        <v>0</v>
      </c>
      <c r="AD391" s="410">
        <f t="shared" si="168"/>
        <v>0</v>
      </c>
      <c r="AE391" s="410">
        <f t="shared" si="168"/>
        <v>0</v>
      </c>
      <c r="AF391" s="410">
        <f t="shared" si="168"/>
        <v>0</v>
      </c>
      <c r="AG391" s="410">
        <f t="shared" si="168"/>
        <v>0</v>
      </c>
      <c r="AH391" s="410">
        <f t="shared" si="168"/>
        <v>0</v>
      </c>
      <c r="AI391" s="410">
        <f t="shared" si="168"/>
        <v>0</v>
      </c>
      <c r="AJ391" s="410">
        <f t="shared" si="168"/>
        <v>0</v>
      </c>
      <c r="AK391" s="410">
        <f t="shared" si="168"/>
        <v>0</v>
      </c>
      <c r="AL391" s="410">
        <f t="shared" si="168"/>
        <v>0</v>
      </c>
      <c r="AM391" s="410">
        <f t="shared" si="168"/>
        <v>0</v>
      </c>
      <c r="AN391" s="410">
        <f t="shared" si="168"/>
        <v>0</v>
      </c>
      <c r="AO391" s="410">
        <f t="shared" si="168"/>
        <v>0</v>
      </c>
      <c r="AP391" s="410">
        <f t="shared" si="168"/>
        <v>0</v>
      </c>
      <c r="AQ391" s="410">
        <f t="shared" si="168"/>
        <v>0</v>
      </c>
      <c r="AR391" s="410">
        <f t="shared" si="168"/>
        <v>0</v>
      </c>
      <c r="AS391" s="410">
        <f t="shared" si="168"/>
        <v>0</v>
      </c>
      <c r="AT391" s="410">
        <f t="shared" si="168"/>
        <v>0</v>
      </c>
      <c r="AU391" s="410">
        <f t="shared" si="168"/>
        <v>0</v>
      </c>
      <c r="AV391" s="410">
        <f t="shared" si="168"/>
        <v>0</v>
      </c>
      <c r="AW391" s="410">
        <f t="shared" si="168"/>
        <v>0</v>
      </c>
      <c r="AX391" s="410">
        <f t="shared" si="168"/>
        <v>0</v>
      </c>
      <c r="AY391" s="410">
        <f t="shared" si="168"/>
        <v>125092467265</v>
      </c>
      <c r="AZ391" s="410">
        <f t="shared" si="168"/>
        <v>67451045163.239998</v>
      </c>
      <c r="BA391" s="410">
        <f t="shared" si="168"/>
        <v>67127631462.239998</v>
      </c>
      <c r="BB391" s="410">
        <f t="shared" si="168"/>
        <v>26281000000</v>
      </c>
      <c r="BC391" s="410">
        <f t="shared" si="168"/>
        <v>14854729332</v>
      </c>
      <c r="BD391" s="410">
        <f t="shared" si="168"/>
        <v>14854729332</v>
      </c>
      <c r="BE391" s="410">
        <f t="shared" si="168"/>
        <v>0</v>
      </c>
      <c r="BF391" s="410">
        <f t="shared" si="168"/>
        <v>0</v>
      </c>
      <c r="BG391" s="410">
        <f t="shared" si="168"/>
        <v>0</v>
      </c>
      <c r="BH391" s="410">
        <f t="shared" si="168"/>
        <v>0</v>
      </c>
      <c r="BI391" s="410">
        <f t="shared" si="168"/>
        <v>0</v>
      </c>
      <c r="BJ391" s="410">
        <f t="shared" si="168"/>
        <v>0</v>
      </c>
      <c r="BK391" s="410">
        <f t="shared" si="168"/>
        <v>15000000</v>
      </c>
      <c r="BL391" s="410">
        <f t="shared" si="168"/>
        <v>0</v>
      </c>
      <c r="BM391" s="410">
        <f t="shared" si="168"/>
        <v>0</v>
      </c>
      <c r="BN391" s="410">
        <f t="shared" si="168"/>
        <v>0</v>
      </c>
      <c r="BO391" s="410">
        <f t="shared" si="168"/>
        <v>0</v>
      </c>
      <c r="BP391" s="410">
        <f t="shared" si="168"/>
        <v>0</v>
      </c>
      <c r="BQ391" s="410">
        <f t="shared" si="168"/>
        <v>0</v>
      </c>
      <c r="BR391" s="410">
        <f t="shared" si="168"/>
        <v>0</v>
      </c>
      <c r="BS391" s="410">
        <f t="shared" si="168"/>
        <v>0</v>
      </c>
      <c r="BT391" s="410">
        <f t="shared" si="168"/>
        <v>0</v>
      </c>
      <c r="BU391" s="410">
        <f t="shared" si="168"/>
        <v>0</v>
      </c>
      <c r="BV391" s="410">
        <f t="shared" si="168"/>
        <v>0</v>
      </c>
      <c r="BW391" s="410">
        <f t="shared" si="168"/>
        <v>0</v>
      </c>
      <c r="BX391" s="410">
        <f t="shared" si="168"/>
        <v>0</v>
      </c>
      <c r="BY391" s="410">
        <f t="shared" si="168"/>
        <v>0</v>
      </c>
      <c r="BZ391" s="410">
        <f t="shared" si="168"/>
        <v>151388467265</v>
      </c>
      <c r="CA391" s="410">
        <f t="shared" si="168"/>
        <v>82305774495.23999</v>
      </c>
      <c r="CB391" s="410">
        <f t="shared" si="168"/>
        <v>81982360794.23999</v>
      </c>
    </row>
    <row r="392" spans="1:80" ht="30" customHeight="1" x14ac:dyDescent="0.2">
      <c r="A392" s="42"/>
      <c r="B392" s="95"/>
      <c r="C392" s="63"/>
      <c r="D392" s="62"/>
      <c r="E392" s="270"/>
      <c r="F392" s="270"/>
      <c r="G392" s="62"/>
      <c r="H392" s="63"/>
      <c r="I392" s="62"/>
      <c r="J392" s="208"/>
      <c r="K392" s="224"/>
      <c r="L392" s="224"/>
      <c r="M392" s="224"/>
      <c r="N392" s="208"/>
      <c r="O392" s="63"/>
      <c r="P392" s="62"/>
      <c r="Q392" s="63"/>
      <c r="R392" s="416">
        <f t="shared" ref="R392:CB392" si="169">R391+R387+R378</f>
        <v>0</v>
      </c>
      <c r="S392" s="416">
        <f t="shared" si="169"/>
        <v>0</v>
      </c>
      <c r="T392" s="416">
        <f t="shared" si="169"/>
        <v>0</v>
      </c>
      <c r="U392" s="416">
        <f t="shared" si="169"/>
        <v>0</v>
      </c>
      <c r="V392" s="416">
        <f t="shared" si="169"/>
        <v>0</v>
      </c>
      <c r="W392" s="416">
        <f t="shared" si="169"/>
        <v>0</v>
      </c>
      <c r="X392" s="416">
        <f t="shared" si="169"/>
        <v>0</v>
      </c>
      <c r="Y392" s="416">
        <f t="shared" si="169"/>
        <v>0</v>
      </c>
      <c r="Z392" s="416">
        <f t="shared" si="169"/>
        <v>0</v>
      </c>
      <c r="AA392" s="416">
        <f t="shared" si="169"/>
        <v>0</v>
      </c>
      <c r="AB392" s="416">
        <f t="shared" si="169"/>
        <v>0</v>
      </c>
      <c r="AC392" s="416">
        <f t="shared" si="169"/>
        <v>0</v>
      </c>
      <c r="AD392" s="416">
        <f t="shared" si="169"/>
        <v>0</v>
      </c>
      <c r="AE392" s="416">
        <f t="shared" si="169"/>
        <v>0</v>
      </c>
      <c r="AF392" s="416">
        <f t="shared" si="169"/>
        <v>0</v>
      </c>
      <c r="AG392" s="416">
        <f t="shared" si="169"/>
        <v>0</v>
      </c>
      <c r="AH392" s="416">
        <f t="shared" si="169"/>
        <v>0</v>
      </c>
      <c r="AI392" s="416">
        <f t="shared" si="169"/>
        <v>0</v>
      </c>
      <c r="AJ392" s="416">
        <f t="shared" si="169"/>
        <v>3198058291</v>
      </c>
      <c r="AK392" s="416">
        <f t="shared" si="169"/>
        <v>3002850722</v>
      </c>
      <c r="AL392" s="416">
        <f t="shared" si="169"/>
        <v>1597288158</v>
      </c>
      <c r="AM392" s="416">
        <f t="shared" si="169"/>
        <v>0</v>
      </c>
      <c r="AN392" s="416">
        <f t="shared" si="169"/>
        <v>0</v>
      </c>
      <c r="AO392" s="416">
        <f t="shared" si="169"/>
        <v>0</v>
      </c>
      <c r="AP392" s="416">
        <f t="shared" si="169"/>
        <v>0</v>
      </c>
      <c r="AQ392" s="416">
        <f t="shared" si="169"/>
        <v>0</v>
      </c>
      <c r="AR392" s="416">
        <f t="shared" si="169"/>
        <v>0</v>
      </c>
      <c r="AS392" s="416">
        <f t="shared" si="169"/>
        <v>0</v>
      </c>
      <c r="AT392" s="416">
        <f t="shared" si="169"/>
        <v>0</v>
      </c>
      <c r="AU392" s="416">
        <f t="shared" si="169"/>
        <v>0</v>
      </c>
      <c r="AV392" s="416">
        <f t="shared" si="169"/>
        <v>0</v>
      </c>
      <c r="AW392" s="416">
        <f t="shared" si="169"/>
        <v>0</v>
      </c>
      <c r="AX392" s="416">
        <f t="shared" si="169"/>
        <v>0</v>
      </c>
      <c r="AY392" s="416">
        <f t="shared" si="169"/>
        <v>126489098752</v>
      </c>
      <c r="AZ392" s="416">
        <f t="shared" si="169"/>
        <v>68389570163.239998</v>
      </c>
      <c r="BA392" s="416">
        <f t="shared" si="169"/>
        <v>67551056462.239998</v>
      </c>
      <c r="BB392" s="416">
        <f t="shared" si="169"/>
        <v>26281000000</v>
      </c>
      <c r="BC392" s="416">
        <f t="shared" si="169"/>
        <v>14854729332</v>
      </c>
      <c r="BD392" s="416">
        <f t="shared" si="169"/>
        <v>14854729332</v>
      </c>
      <c r="BE392" s="416">
        <f t="shared" si="169"/>
        <v>9535927847</v>
      </c>
      <c r="BF392" s="416">
        <f t="shared" si="169"/>
        <v>8176025000</v>
      </c>
      <c r="BG392" s="416">
        <f t="shared" si="169"/>
        <v>2817827462</v>
      </c>
      <c r="BH392" s="416">
        <f t="shared" si="169"/>
        <v>0</v>
      </c>
      <c r="BI392" s="416">
        <f t="shared" si="169"/>
        <v>0</v>
      </c>
      <c r="BJ392" s="416">
        <f t="shared" si="169"/>
        <v>0</v>
      </c>
      <c r="BK392" s="416">
        <f t="shared" si="169"/>
        <v>3003769171</v>
      </c>
      <c r="BL392" s="416">
        <f t="shared" si="169"/>
        <v>2661826996</v>
      </c>
      <c r="BM392" s="416">
        <f t="shared" si="169"/>
        <v>2538247796</v>
      </c>
      <c r="BN392" s="416">
        <f t="shared" si="169"/>
        <v>0</v>
      </c>
      <c r="BO392" s="416">
        <f t="shared" si="169"/>
        <v>0</v>
      </c>
      <c r="BP392" s="416">
        <f t="shared" si="169"/>
        <v>0</v>
      </c>
      <c r="BQ392" s="416">
        <f t="shared" si="169"/>
        <v>79557</v>
      </c>
      <c r="BR392" s="416">
        <f t="shared" si="169"/>
        <v>0</v>
      </c>
      <c r="BS392" s="416">
        <f t="shared" si="169"/>
        <v>0</v>
      </c>
      <c r="BT392" s="416">
        <f t="shared" si="169"/>
        <v>0</v>
      </c>
      <c r="BU392" s="416">
        <f t="shared" si="169"/>
        <v>0</v>
      </c>
      <c r="BV392" s="416">
        <f t="shared" si="169"/>
        <v>0</v>
      </c>
      <c r="BW392" s="416">
        <f t="shared" si="169"/>
        <v>709732517</v>
      </c>
      <c r="BX392" s="416">
        <f t="shared" si="169"/>
        <v>0</v>
      </c>
      <c r="BY392" s="416">
        <f t="shared" si="169"/>
        <v>0</v>
      </c>
      <c r="BZ392" s="416">
        <f t="shared" si="169"/>
        <v>169217666135</v>
      </c>
      <c r="CA392" s="416">
        <f t="shared" si="169"/>
        <v>97085002213.23999</v>
      </c>
      <c r="CB392" s="416">
        <f t="shared" si="169"/>
        <v>89359149210.23999</v>
      </c>
    </row>
    <row r="393" spans="1:80" ht="30" customHeight="1" x14ac:dyDescent="0.2">
      <c r="A393" s="42"/>
      <c r="B393" s="72"/>
      <c r="C393" s="150"/>
      <c r="D393" s="72"/>
      <c r="E393" s="264"/>
      <c r="F393" s="264"/>
      <c r="G393" s="72"/>
      <c r="H393" s="150"/>
      <c r="I393" s="72"/>
      <c r="J393" s="195"/>
      <c r="K393" s="223"/>
      <c r="L393" s="271"/>
      <c r="M393" s="271"/>
      <c r="N393" s="266"/>
      <c r="O393" s="400"/>
      <c r="P393" s="101"/>
      <c r="Q393" s="150"/>
      <c r="R393" s="405"/>
      <c r="S393" s="405"/>
      <c r="T393" s="405"/>
      <c r="U393" s="405"/>
      <c r="V393" s="405"/>
      <c r="W393" s="405"/>
      <c r="X393" s="405"/>
      <c r="Y393" s="405"/>
      <c r="Z393" s="405"/>
      <c r="AA393" s="405"/>
      <c r="AB393" s="405"/>
      <c r="AC393" s="405"/>
      <c r="AD393" s="405"/>
      <c r="AE393" s="405"/>
      <c r="AF393" s="405"/>
      <c r="AG393" s="405"/>
      <c r="AH393" s="791"/>
      <c r="AI393" s="791"/>
      <c r="AJ393" s="791"/>
      <c r="AK393" s="791"/>
      <c r="AL393" s="791"/>
      <c r="AM393" s="405"/>
      <c r="AN393" s="405"/>
      <c r="AO393" s="405"/>
      <c r="AP393" s="405"/>
      <c r="AQ393" s="405"/>
      <c r="AR393" s="405"/>
      <c r="AS393" s="405"/>
      <c r="AT393" s="405"/>
      <c r="AU393" s="405"/>
      <c r="AV393" s="405"/>
      <c r="AW393" s="405"/>
      <c r="AX393" s="405"/>
      <c r="AY393" s="406"/>
      <c r="AZ393" s="406"/>
      <c r="BA393" s="406"/>
      <c r="BB393" s="406"/>
      <c r="BC393" s="406"/>
      <c r="BD393" s="406"/>
      <c r="BE393" s="405"/>
      <c r="BF393" s="405"/>
      <c r="BG393" s="405"/>
      <c r="BH393" s="405"/>
      <c r="BI393" s="791"/>
      <c r="BJ393" s="791"/>
      <c r="BK393" s="793"/>
      <c r="BL393" s="793"/>
      <c r="BM393" s="793"/>
      <c r="BN393" s="791"/>
      <c r="BO393" s="791"/>
      <c r="BP393" s="791"/>
      <c r="BQ393" s="405"/>
      <c r="BR393" s="405"/>
      <c r="BS393" s="405"/>
      <c r="BT393" s="405"/>
      <c r="BU393" s="405"/>
      <c r="BV393" s="405"/>
      <c r="BW393" s="405"/>
      <c r="BX393" s="405"/>
      <c r="BY393" s="405"/>
      <c r="BZ393" s="405"/>
      <c r="CA393" s="405"/>
      <c r="CB393" s="409"/>
    </row>
    <row r="394" spans="1:80" ht="30" customHeight="1" x14ac:dyDescent="0.2">
      <c r="A394" s="42"/>
      <c r="B394" s="125">
        <v>6</v>
      </c>
      <c r="C394" s="38" t="s">
        <v>514</v>
      </c>
      <c r="D394" s="39"/>
      <c r="E394" s="39"/>
      <c r="F394" s="39"/>
      <c r="G394" s="39"/>
      <c r="H394" s="40"/>
      <c r="I394" s="39"/>
      <c r="J394" s="39"/>
      <c r="K394" s="225"/>
      <c r="L394" s="225"/>
      <c r="M394" s="225"/>
      <c r="N394" s="40"/>
      <c r="O394" s="40"/>
      <c r="P394" s="39"/>
      <c r="Q394" s="39"/>
      <c r="R394" s="412"/>
      <c r="S394" s="412"/>
      <c r="T394" s="412"/>
      <c r="U394" s="412"/>
      <c r="V394" s="412"/>
      <c r="W394" s="412"/>
      <c r="X394" s="412"/>
      <c r="Y394" s="412"/>
      <c r="Z394" s="412"/>
      <c r="AA394" s="412"/>
      <c r="AB394" s="412"/>
      <c r="AC394" s="412"/>
      <c r="AD394" s="412"/>
      <c r="AE394" s="412"/>
      <c r="AF394" s="412"/>
      <c r="AG394" s="412"/>
      <c r="AH394" s="412"/>
      <c r="AI394" s="412"/>
      <c r="AJ394" s="412"/>
      <c r="AK394" s="412"/>
      <c r="AL394" s="412"/>
      <c r="AM394" s="412"/>
      <c r="AN394" s="412"/>
      <c r="AO394" s="412"/>
      <c r="AP394" s="412"/>
      <c r="AQ394" s="412"/>
      <c r="AR394" s="412"/>
      <c r="AS394" s="412"/>
      <c r="AT394" s="412"/>
      <c r="AU394" s="412"/>
      <c r="AV394" s="412"/>
      <c r="AW394" s="412"/>
      <c r="AX394" s="412"/>
      <c r="AY394" s="412"/>
      <c r="AZ394" s="412"/>
      <c r="BA394" s="412"/>
      <c r="BB394" s="412"/>
      <c r="BC394" s="412"/>
      <c r="BD394" s="412"/>
      <c r="BE394" s="412"/>
      <c r="BF394" s="412"/>
      <c r="BG394" s="412"/>
      <c r="BH394" s="412"/>
      <c r="BI394" s="412"/>
      <c r="BJ394" s="412"/>
      <c r="BK394" s="413"/>
      <c r="BL394" s="413"/>
      <c r="BM394" s="413"/>
      <c r="BN394" s="412"/>
      <c r="BO394" s="412"/>
      <c r="BP394" s="412"/>
      <c r="BQ394" s="412"/>
      <c r="BR394" s="412"/>
      <c r="BS394" s="412"/>
      <c r="BT394" s="412"/>
      <c r="BU394" s="412"/>
      <c r="BV394" s="412"/>
      <c r="BW394" s="412"/>
      <c r="BX394" s="412"/>
      <c r="BY394" s="412"/>
      <c r="BZ394" s="417"/>
      <c r="CA394" s="417"/>
      <c r="CB394" s="417"/>
    </row>
    <row r="395" spans="1:80" ht="30" customHeight="1" x14ac:dyDescent="0.2">
      <c r="A395" s="42"/>
      <c r="B395" s="76"/>
      <c r="C395" s="713"/>
      <c r="D395" s="707"/>
      <c r="E395" s="713"/>
      <c r="F395" s="713"/>
      <c r="G395" s="272">
        <v>19</v>
      </c>
      <c r="H395" s="80" t="s">
        <v>515</v>
      </c>
      <c r="I395" s="80"/>
      <c r="J395" s="80"/>
      <c r="K395" s="221"/>
      <c r="L395" s="221"/>
      <c r="M395" s="221"/>
      <c r="N395" s="393"/>
      <c r="O395" s="393"/>
      <c r="P395" s="80"/>
      <c r="Q395" s="80"/>
      <c r="R395" s="267"/>
      <c r="S395" s="267"/>
      <c r="T395" s="267"/>
      <c r="U395" s="267"/>
      <c r="V395" s="267"/>
      <c r="W395" s="267"/>
      <c r="X395" s="267"/>
      <c r="Y395" s="267"/>
      <c r="Z395" s="267"/>
      <c r="AA395" s="267"/>
      <c r="AB395" s="267"/>
      <c r="AC395" s="267"/>
      <c r="AD395" s="267"/>
      <c r="AE395" s="267"/>
      <c r="AF395" s="267"/>
      <c r="AG395" s="267"/>
      <c r="AH395" s="267"/>
      <c r="AI395" s="267"/>
      <c r="AJ395" s="267"/>
      <c r="AK395" s="267"/>
      <c r="AL395" s="267"/>
      <c r="AM395" s="267"/>
      <c r="AN395" s="267"/>
      <c r="AO395" s="267"/>
      <c r="AP395" s="267"/>
      <c r="AQ395" s="267"/>
      <c r="AR395" s="267"/>
      <c r="AS395" s="267"/>
      <c r="AT395" s="267"/>
      <c r="AU395" s="267"/>
      <c r="AV395" s="267"/>
      <c r="AW395" s="267"/>
      <c r="AX395" s="267"/>
      <c r="AY395" s="267"/>
      <c r="AZ395" s="267"/>
      <c r="BA395" s="267"/>
      <c r="BB395" s="267"/>
      <c r="BC395" s="267"/>
      <c r="BD395" s="267"/>
      <c r="BE395" s="267"/>
      <c r="BF395" s="267"/>
      <c r="BG395" s="267"/>
      <c r="BH395" s="267"/>
      <c r="BI395" s="267"/>
      <c r="BJ395" s="267"/>
      <c r="BK395" s="414"/>
      <c r="BL395" s="414"/>
      <c r="BM395" s="414"/>
      <c r="BN395" s="267"/>
      <c r="BO395" s="267"/>
      <c r="BP395" s="267"/>
      <c r="BQ395" s="267"/>
      <c r="BR395" s="267"/>
      <c r="BS395" s="267"/>
      <c r="BT395" s="267"/>
      <c r="BU395" s="267"/>
      <c r="BV395" s="267"/>
      <c r="BW395" s="267"/>
      <c r="BX395" s="267"/>
      <c r="BY395" s="267"/>
      <c r="BZ395" s="269"/>
      <c r="CA395" s="269"/>
      <c r="CB395" s="269"/>
    </row>
    <row r="396" spans="1:80" ht="71.25" customHeight="1" x14ac:dyDescent="0.2">
      <c r="A396" s="42"/>
      <c r="B396" s="205"/>
      <c r="C396" s="714"/>
      <c r="D396" s="709"/>
      <c r="E396" s="714"/>
      <c r="F396" s="714"/>
      <c r="G396" s="43"/>
      <c r="H396" s="57">
        <v>75</v>
      </c>
      <c r="I396" s="729" t="s">
        <v>516</v>
      </c>
      <c r="J396" s="169">
        <v>18</v>
      </c>
      <c r="K396" s="190">
        <v>28</v>
      </c>
      <c r="L396" s="190">
        <v>19</v>
      </c>
      <c r="M396" s="920">
        <v>2017003630098</v>
      </c>
      <c r="N396" s="923" t="s">
        <v>485</v>
      </c>
      <c r="O396" s="924" t="s">
        <v>517</v>
      </c>
      <c r="P396" s="925" t="s">
        <v>988</v>
      </c>
      <c r="Q396" s="57" t="s">
        <v>67</v>
      </c>
      <c r="R396" s="401">
        <v>0</v>
      </c>
      <c r="S396" s="401"/>
      <c r="T396" s="401"/>
      <c r="U396" s="401">
        <v>0</v>
      </c>
      <c r="V396" s="401"/>
      <c r="W396" s="401"/>
      <c r="X396" s="401">
        <v>0</v>
      </c>
      <c r="Y396" s="401"/>
      <c r="Z396" s="401"/>
      <c r="AA396" s="401">
        <v>0</v>
      </c>
      <c r="AB396" s="401"/>
      <c r="AC396" s="401"/>
      <c r="AD396" s="401">
        <v>0</v>
      </c>
      <c r="AE396" s="401"/>
      <c r="AF396" s="401"/>
      <c r="AG396" s="401">
        <v>0</v>
      </c>
      <c r="AH396" s="791"/>
      <c r="AI396" s="791"/>
      <c r="AJ396" s="802"/>
      <c r="AK396" s="802"/>
      <c r="AL396" s="802"/>
      <c r="AM396" s="401"/>
      <c r="AN396" s="401"/>
      <c r="AO396" s="401"/>
      <c r="AP396" s="401"/>
      <c r="AQ396" s="401"/>
      <c r="AR396" s="401"/>
      <c r="AS396" s="401">
        <v>0</v>
      </c>
      <c r="AT396" s="401"/>
      <c r="AU396" s="401"/>
      <c r="AV396" s="401">
        <v>0</v>
      </c>
      <c r="AW396" s="401"/>
      <c r="AX396" s="401"/>
      <c r="AY396" s="401"/>
      <c r="AZ396" s="401"/>
      <c r="BA396" s="401"/>
      <c r="BB396" s="401"/>
      <c r="BC396" s="401"/>
      <c r="BD396" s="401"/>
      <c r="BE396" s="401">
        <v>0</v>
      </c>
      <c r="BF396" s="401"/>
      <c r="BG396" s="401"/>
      <c r="BH396" s="401">
        <v>0</v>
      </c>
      <c r="BI396" s="485"/>
      <c r="BJ396" s="485"/>
      <c r="BK396" s="486"/>
      <c r="BL396" s="486"/>
      <c r="BM396" s="486"/>
      <c r="BN396" s="487"/>
      <c r="BO396" s="487"/>
      <c r="BP396" s="487"/>
      <c r="BQ396" s="401">
        <v>0</v>
      </c>
      <c r="BR396" s="403"/>
      <c r="BS396" s="403"/>
      <c r="BT396" s="403"/>
      <c r="BU396" s="403"/>
      <c r="BV396" s="403"/>
      <c r="BW396" s="403"/>
      <c r="BX396" s="403"/>
      <c r="BY396" s="403"/>
      <c r="BZ396" s="401">
        <f t="shared" ref="BZ396:CB403" si="170">R396+U396+X396+AA396+AD396+AG396+AJ396+AM396+AP396+AS396+AV396+AY396+BB396+BE396+BH396+BK396+BN396+BQ396+BT396+BW396</f>
        <v>0</v>
      </c>
      <c r="CA396" s="401">
        <f t="shared" si="170"/>
        <v>0</v>
      </c>
      <c r="CB396" s="401">
        <f t="shared" si="170"/>
        <v>0</v>
      </c>
    </row>
    <row r="397" spans="1:80" ht="71.25" customHeight="1" x14ac:dyDescent="0.2">
      <c r="A397" s="42"/>
      <c r="B397" s="205"/>
      <c r="C397" s="702"/>
      <c r="D397" s="728"/>
      <c r="E397" s="274"/>
      <c r="F397" s="716"/>
      <c r="G397" s="49"/>
      <c r="H397" s="57">
        <v>76</v>
      </c>
      <c r="I397" s="729" t="s">
        <v>518</v>
      </c>
      <c r="J397" s="169">
        <v>0</v>
      </c>
      <c r="K397" s="190">
        <v>1050</v>
      </c>
      <c r="L397" s="190">
        <v>1652</v>
      </c>
      <c r="M397" s="921"/>
      <c r="N397" s="923"/>
      <c r="O397" s="924"/>
      <c r="P397" s="926"/>
      <c r="Q397" s="57" t="s">
        <v>67</v>
      </c>
      <c r="R397" s="401">
        <v>0</v>
      </c>
      <c r="S397" s="401"/>
      <c r="T397" s="401"/>
      <c r="U397" s="401">
        <v>0</v>
      </c>
      <c r="V397" s="401"/>
      <c r="W397" s="401"/>
      <c r="X397" s="401">
        <v>0</v>
      </c>
      <c r="Y397" s="401"/>
      <c r="Z397" s="401"/>
      <c r="AA397" s="401">
        <v>0</v>
      </c>
      <c r="AB397" s="401"/>
      <c r="AC397" s="401"/>
      <c r="AD397" s="401">
        <v>0</v>
      </c>
      <c r="AE397" s="401"/>
      <c r="AF397" s="401"/>
      <c r="AG397" s="401">
        <v>0</v>
      </c>
      <c r="AH397" s="401"/>
      <c r="AI397" s="401"/>
      <c r="AJ397" s="480"/>
      <c r="AK397" s="480"/>
      <c r="AL397" s="480"/>
      <c r="AM397" s="401"/>
      <c r="AN397" s="401"/>
      <c r="AO397" s="401"/>
      <c r="AP397" s="401"/>
      <c r="AQ397" s="401"/>
      <c r="AR397" s="401"/>
      <c r="AS397" s="401">
        <v>0</v>
      </c>
      <c r="AT397" s="401"/>
      <c r="AU397" s="401"/>
      <c r="AV397" s="401">
        <v>0</v>
      </c>
      <c r="AW397" s="401"/>
      <c r="AX397" s="401"/>
      <c r="AY397" s="401"/>
      <c r="AZ397" s="401"/>
      <c r="BA397" s="401"/>
      <c r="BB397" s="401"/>
      <c r="BC397" s="401"/>
      <c r="BD397" s="401"/>
      <c r="BE397" s="401">
        <v>0</v>
      </c>
      <c r="BF397" s="401"/>
      <c r="BG397" s="401"/>
      <c r="BH397" s="401">
        <v>0</v>
      </c>
      <c r="BI397" s="401"/>
      <c r="BJ397" s="401"/>
      <c r="BK397" s="672">
        <f>30000000+150000000+64825000-12459655</f>
        <v>232365345</v>
      </c>
      <c r="BL397" s="402">
        <v>156125000</v>
      </c>
      <c r="BM397" s="402">
        <v>141775000</v>
      </c>
      <c r="BN397" s="415"/>
      <c r="BO397" s="415"/>
      <c r="BP397" s="415"/>
      <c r="BQ397" s="401">
        <v>0</v>
      </c>
      <c r="BR397" s="403"/>
      <c r="BS397" s="403"/>
      <c r="BT397" s="403">
        <v>0</v>
      </c>
      <c r="BU397" s="403"/>
      <c r="BV397" s="403"/>
      <c r="BW397" s="403"/>
      <c r="BX397" s="403"/>
      <c r="BY397" s="403"/>
      <c r="BZ397" s="401">
        <f t="shared" si="170"/>
        <v>232365345</v>
      </c>
      <c r="CA397" s="401">
        <f t="shared" si="170"/>
        <v>156125000</v>
      </c>
      <c r="CB397" s="401">
        <f t="shared" si="170"/>
        <v>141775000</v>
      </c>
    </row>
    <row r="398" spans="1:80" ht="106.5" customHeight="1" x14ac:dyDescent="0.2">
      <c r="A398" s="42"/>
      <c r="B398" s="205"/>
      <c r="C398" s="702">
        <v>16</v>
      </c>
      <c r="D398" s="728" t="s">
        <v>519</v>
      </c>
      <c r="E398" s="720">
        <v>45</v>
      </c>
      <c r="F398" s="702">
        <v>90</v>
      </c>
      <c r="G398" s="49"/>
      <c r="H398" s="57">
        <v>77</v>
      </c>
      <c r="I398" s="729" t="s">
        <v>520</v>
      </c>
      <c r="J398" s="169">
        <v>20</v>
      </c>
      <c r="K398" s="190">
        <v>73</v>
      </c>
      <c r="L398" s="190">
        <v>94</v>
      </c>
      <c r="M398" s="921"/>
      <c r="N398" s="923"/>
      <c r="O398" s="924"/>
      <c r="P398" s="926"/>
      <c r="Q398" s="57" t="s">
        <v>67</v>
      </c>
      <c r="R398" s="401">
        <v>0</v>
      </c>
      <c r="S398" s="401"/>
      <c r="T398" s="401"/>
      <c r="U398" s="401">
        <v>0</v>
      </c>
      <c r="V398" s="401"/>
      <c r="W398" s="401"/>
      <c r="X398" s="401">
        <v>0</v>
      </c>
      <c r="Y398" s="401"/>
      <c r="Z398" s="401"/>
      <c r="AA398" s="401">
        <v>0</v>
      </c>
      <c r="AB398" s="401"/>
      <c r="AC398" s="401"/>
      <c r="AD398" s="401">
        <v>0</v>
      </c>
      <c r="AE398" s="401"/>
      <c r="AF398" s="401"/>
      <c r="AG398" s="401">
        <v>0</v>
      </c>
      <c r="AH398" s="401"/>
      <c r="AI398" s="401"/>
      <c r="AJ398" s="401">
        <v>0</v>
      </c>
      <c r="AK398" s="401"/>
      <c r="AL398" s="401"/>
      <c r="AM398" s="401"/>
      <c r="AN398" s="401"/>
      <c r="AO398" s="401"/>
      <c r="AP398" s="401"/>
      <c r="AQ398" s="401"/>
      <c r="AR398" s="401"/>
      <c r="AS398" s="401">
        <v>0</v>
      </c>
      <c r="AT398" s="401"/>
      <c r="AU398" s="401"/>
      <c r="AV398" s="401">
        <v>0</v>
      </c>
      <c r="AW398" s="401"/>
      <c r="AX398" s="401"/>
      <c r="AY398" s="401"/>
      <c r="AZ398" s="401"/>
      <c r="BA398" s="401"/>
      <c r="BB398" s="401"/>
      <c r="BC398" s="401"/>
      <c r="BD398" s="401"/>
      <c r="BE398" s="401">
        <v>0</v>
      </c>
      <c r="BF398" s="401"/>
      <c r="BG398" s="401"/>
      <c r="BH398" s="401">
        <v>0</v>
      </c>
      <c r="BI398" s="401"/>
      <c r="BJ398" s="401"/>
      <c r="BK398" s="402">
        <v>0</v>
      </c>
      <c r="BL398" s="402"/>
      <c r="BM398" s="402"/>
      <c r="BN398" s="415"/>
      <c r="BO398" s="415"/>
      <c r="BP398" s="415"/>
      <c r="BQ398" s="401">
        <v>0</v>
      </c>
      <c r="BR398" s="403"/>
      <c r="BS398" s="403"/>
      <c r="BT398" s="403"/>
      <c r="BU398" s="403"/>
      <c r="BV398" s="403"/>
      <c r="BW398" s="403"/>
      <c r="BX398" s="403"/>
      <c r="BY398" s="403"/>
      <c r="BZ398" s="401">
        <f t="shared" si="170"/>
        <v>0</v>
      </c>
      <c r="CA398" s="401">
        <f t="shared" si="170"/>
        <v>0</v>
      </c>
      <c r="CB398" s="401">
        <f t="shared" si="170"/>
        <v>0</v>
      </c>
    </row>
    <row r="399" spans="1:80" ht="71.25" customHeight="1" x14ac:dyDescent="0.2">
      <c r="A399" s="42"/>
      <c r="B399" s="205"/>
      <c r="C399" s="702"/>
      <c r="D399" s="728"/>
      <c r="E399" s="274"/>
      <c r="F399" s="716"/>
      <c r="G399" s="49"/>
      <c r="H399" s="57">
        <v>78</v>
      </c>
      <c r="I399" s="729" t="s">
        <v>521</v>
      </c>
      <c r="J399" s="169">
        <v>7</v>
      </c>
      <c r="K399" s="190">
        <v>14</v>
      </c>
      <c r="L399" s="190">
        <v>17</v>
      </c>
      <c r="M399" s="921"/>
      <c r="N399" s="923"/>
      <c r="O399" s="924"/>
      <c r="P399" s="926"/>
      <c r="Q399" s="57" t="s">
        <v>67</v>
      </c>
      <c r="R399" s="401">
        <v>0</v>
      </c>
      <c r="S399" s="401"/>
      <c r="T399" s="401"/>
      <c r="U399" s="401">
        <v>0</v>
      </c>
      <c r="V399" s="401"/>
      <c r="W399" s="401"/>
      <c r="X399" s="401">
        <v>0</v>
      </c>
      <c r="Y399" s="401"/>
      <c r="Z399" s="401"/>
      <c r="AA399" s="401">
        <v>0</v>
      </c>
      <c r="AB399" s="401"/>
      <c r="AC399" s="401"/>
      <c r="AD399" s="401">
        <v>0</v>
      </c>
      <c r="AE399" s="401"/>
      <c r="AF399" s="401"/>
      <c r="AG399" s="401">
        <v>0</v>
      </c>
      <c r="AH399" s="401"/>
      <c r="AI399" s="401"/>
      <c r="AJ399" s="401">
        <v>0</v>
      </c>
      <c r="AK399" s="401"/>
      <c r="AL399" s="401"/>
      <c r="AM399" s="401"/>
      <c r="AN399" s="401"/>
      <c r="AO399" s="401"/>
      <c r="AP399" s="401"/>
      <c r="AQ399" s="401"/>
      <c r="AR399" s="401"/>
      <c r="AS399" s="401">
        <v>0</v>
      </c>
      <c r="AT399" s="401"/>
      <c r="AU399" s="401"/>
      <c r="AV399" s="401">
        <v>0</v>
      </c>
      <c r="AW399" s="401"/>
      <c r="AX399" s="401"/>
      <c r="AY399" s="401"/>
      <c r="AZ399" s="401"/>
      <c r="BA399" s="401"/>
      <c r="BB399" s="401"/>
      <c r="BC399" s="401"/>
      <c r="BD399" s="401"/>
      <c r="BE399" s="401">
        <v>0</v>
      </c>
      <c r="BF399" s="401"/>
      <c r="BG399" s="401"/>
      <c r="BH399" s="401">
        <v>0</v>
      </c>
      <c r="BI399" s="401"/>
      <c r="BJ399" s="401"/>
      <c r="BK399" s="402">
        <v>0</v>
      </c>
      <c r="BL399" s="402"/>
      <c r="BM399" s="402"/>
      <c r="BN399" s="415"/>
      <c r="BO399" s="415"/>
      <c r="BP399" s="415"/>
      <c r="BQ399" s="401">
        <v>0</v>
      </c>
      <c r="BR399" s="403"/>
      <c r="BS399" s="403"/>
      <c r="BT399" s="403"/>
      <c r="BU399" s="403"/>
      <c r="BV399" s="403"/>
      <c r="BW399" s="403"/>
      <c r="BX399" s="403"/>
      <c r="BY399" s="403"/>
      <c r="BZ399" s="401">
        <f t="shared" si="170"/>
        <v>0</v>
      </c>
      <c r="CA399" s="401">
        <f t="shared" si="170"/>
        <v>0</v>
      </c>
      <c r="CB399" s="401">
        <f t="shared" si="170"/>
        <v>0</v>
      </c>
    </row>
    <row r="400" spans="1:80" ht="71.25" customHeight="1" x14ac:dyDescent="0.2">
      <c r="A400" s="42"/>
      <c r="B400" s="205"/>
      <c r="C400" s="702">
        <v>17</v>
      </c>
      <c r="D400" s="728" t="s">
        <v>522</v>
      </c>
      <c r="E400" s="274">
        <v>0.63270000000000004</v>
      </c>
      <c r="F400" s="712">
        <v>0.5</v>
      </c>
      <c r="G400" s="49"/>
      <c r="H400" s="57">
        <v>79</v>
      </c>
      <c r="I400" s="729" t="s">
        <v>523</v>
      </c>
      <c r="J400" s="169">
        <v>96</v>
      </c>
      <c r="K400" s="190">
        <v>213</v>
      </c>
      <c r="L400" s="190">
        <v>203</v>
      </c>
      <c r="M400" s="921"/>
      <c r="N400" s="923"/>
      <c r="O400" s="924"/>
      <c r="P400" s="926"/>
      <c r="Q400" s="57" t="s">
        <v>67</v>
      </c>
      <c r="R400" s="401">
        <v>0</v>
      </c>
      <c r="S400" s="401"/>
      <c r="T400" s="401"/>
      <c r="U400" s="401">
        <v>0</v>
      </c>
      <c r="V400" s="401"/>
      <c r="W400" s="401"/>
      <c r="X400" s="401">
        <v>0</v>
      </c>
      <c r="Y400" s="401"/>
      <c r="Z400" s="401"/>
      <c r="AA400" s="401">
        <v>0</v>
      </c>
      <c r="AB400" s="401"/>
      <c r="AC400" s="401"/>
      <c r="AD400" s="401">
        <v>0</v>
      </c>
      <c r="AE400" s="401"/>
      <c r="AF400" s="401"/>
      <c r="AG400" s="401">
        <v>0</v>
      </c>
      <c r="AH400" s="401"/>
      <c r="AI400" s="401"/>
      <c r="AJ400" s="401">
        <v>0</v>
      </c>
      <c r="AK400" s="401"/>
      <c r="AL400" s="401"/>
      <c r="AM400" s="401"/>
      <c r="AN400" s="401"/>
      <c r="AO400" s="401"/>
      <c r="AP400" s="401"/>
      <c r="AQ400" s="401"/>
      <c r="AR400" s="401"/>
      <c r="AS400" s="401">
        <v>0</v>
      </c>
      <c r="AT400" s="401"/>
      <c r="AU400" s="401"/>
      <c r="AV400" s="401">
        <v>0</v>
      </c>
      <c r="AW400" s="401"/>
      <c r="AX400" s="401"/>
      <c r="AY400" s="401"/>
      <c r="AZ400" s="401"/>
      <c r="BA400" s="401"/>
      <c r="BB400" s="401"/>
      <c r="BC400" s="401"/>
      <c r="BD400" s="401"/>
      <c r="BE400" s="401">
        <v>0</v>
      </c>
      <c r="BF400" s="401"/>
      <c r="BG400" s="401"/>
      <c r="BH400" s="401">
        <v>0</v>
      </c>
      <c r="BI400" s="485"/>
      <c r="BJ400" s="485"/>
      <c r="BK400" s="684">
        <v>15800000</v>
      </c>
      <c r="BL400" s="684"/>
      <c r="BM400" s="684"/>
      <c r="BN400" s="415"/>
      <c r="BO400" s="415"/>
      <c r="BP400" s="415"/>
      <c r="BQ400" s="401">
        <v>0</v>
      </c>
      <c r="BR400" s="403"/>
      <c r="BS400" s="403"/>
      <c r="BT400" s="403"/>
      <c r="BU400" s="403"/>
      <c r="BV400" s="403"/>
      <c r="BW400" s="403"/>
      <c r="BX400" s="403"/>
      <c r="BY400" s="403"/>
      <c r="BZ400" s="401">
        <f t="shared" si="170"/>
        <v>15800000</v>
      </c>
      <c r="CA400" s="401">
        <f t="shared" si="170"/>
        <v>0</v>
      </c>
      <c r="CB400" s="401">
        <f t="shared" si="170"/>
        <v>0</v>
      </c>
    </row>
    <row r="401" spans="1:80" ht="71.25" customHeight="1" x14ac:dyDescent="0.2">
      <c r="A401" s="42"/>
      <c r="B401" s="205"/>
      <c r="C401" s="702"/>
      <c r="D401" s="728"/>
      <c r="E401" s="274"/>
      <c r="F401" s="716"/>
      <c r="G401" s="49"/>
      <c r="H401" s="57">
        <v>80</v>
      </c>
      <c r="I401" s="729" t="s">
        <v>524</v>
      </c>
      <c r="J401" s="169">
        <v>2906</v>
      </c>
      <c r="K401" s="190">
        <v>4476</v>
      </c>
      <c r="L401" s="190">
        <v>6199</v>
      </c>
      <c r="M401" s="921"/>
      <c r="N401" s="923"/>
      <c r="O401" s="924"/>
      <c r="P401" s="926"/>
      <c r="Q401" s="57" t="s">
        <v>67</v>
      </c>
      <c r="R401" s="401">
        <v>0</v>
      </c>
      <c r="S401" s="401"/>
      <c r="T401" s="401"/>
      <c r="U401" s="401">
        <v>0</v>
      </c>
      <c r="V401" s="401"/>
      <c r="W401" s="401"/>
      <c r="X401" s="401">
        <v>0</v>
      </c>
      <c r="Y401" s="401"/>
      <c r="Z401" s="401"/>
      <c r="AA401" s="401">
        <v>0</v>
      </c>
      <c r="AB401" s="401"/>
      <c r="AC401" s="401"/>
      <c r="AD401" s="401">
        <v>0</v>
      </c>
      <c r="AE401" s="401"/>
      <c r="AF401" s="401"/>
      <c r="AG401" s="401">
        <v>0</v>
      </c>
      <c r="AH401" s="401"/>
      <c r="AI401" s="401"/>
      <c r="AJ401" s="401">
        <v>0</v>
      </c>
      <c r="AK401" s="401"/>
      <c r="AL401" s="401"/>
      <c r="AM401" s="401"/>
      <c r="AN401" s="401"/>
      <c r="AO401" s="401"/>
      <c r="AP401" s="401"/>
      <c r="AQ401" s="401"/>
      <c r="AR401" s="401"/>
      <c r="AS401" s="401">
        <v>0</v>
      </c>
      <c r="AT401" s="401"/>
      <c r="AU401" s="401"/>
      <c r="AV401" s="401">
        <v>0</v>
      </c>
      <c r="AW401" s="401"/>
      <c r="AX401" s="401"/>
      <c r="AY401" s="401"/>
      <c r="AZ401" s="401"/>
      <c r="BA401" s="401"/>
      <c r="BB401" s="401"/>
      <c r="BC401" s="401"/>
      <c r="BD401" s="401"/>
      <c r="BE401" s="401">
        <v>0</v>
      </c>
      <c r="BF401" s="401"/>
      <c r="BG401" s="401"/>
      <c r="BH401" s="401">
        <v>0</v>
      </c>
      <c r="BI401" s="401"/>
      <c r="BJ401" s="401"/>
      <c r="BK401" s="402">
        <v>0</v>
      </c>
      <c r="BL401" s="402"/>
      <c r="BM401" s="402"/>
      <c r="BN401" s="415"/>
      <c r="BO401" s="415"/>
      <c r="BP401" s="415"/>
      <c r="BQ401" s="401">
        <v>0</v>
      </c>
      <c r="BR401" s="403"/>
      <c r="BS401" s="403"/>
      <c r="BT401" s="403"/>
      <c r="BU401" s="403"/>
      <c r="BV401" s="403"/>
      <c r="BW401" s="403"/>
      <c r="BX401" s="403"/>
      <c r="BY401" s="403"/>
      <c r="BZ401" s="401">
        <f t="shared" si="170"/>
        <v>0</v>
      </c>
      <c r="CA401" s="401">
        <f t="shared" si="170"/>
        <v>0</v>
      </c>
      <c r="CB401" s="401">
        <f t="shared" si="170"/>
        <v>0</v>
      </c>
    </row>
    <row r="402" spans="1:80" ht="71.25" customHeight="1" x14ac:dyDescent="0.2">
      <c r="A402" s="42"/>
      <c r="B402" s="205"/>
      <c r="C402" s="702"/>
      <c r="D402" s="708" t="s">
        <v>69</v>
      </c>
      <c r="E402" s="274"/>
      <c r="F402" s="716"/>
      <c r="G402" s="49"/>
      <c r="H402" s="57">
        <v>81</v>
      </c>
      <c r="I402" s="729" t="s">
        <v>525</v>
      </c>
      <c r="J402" s="44">
        <v>13</v>
      </c>
      <c r="K402" s="190">
        <v>32</v>
      </c>
      <c r="L402" s="190">
        <v>18</v>
      </c>
      <c r="M402" s="921"/>
      <c r="N402" s="923"/>
      <c r="O402" s="924"/>
      <c r="P402" s="926"/>
      <c r="Q402" s="57" t="s">
        <v>67</v>
      </c>
      <c r="R402" s="401">
        <v>0</v>
      </c>
      <c r="S402" s="401"/>
      <c r="T402" s="401"/>
      <c r="U402" s="401">
        <v>0</v>
      </c>
      <c r="V402" s="401"/>
      <c r="W402" s="401"/>
      <c r="X402" s="401">
        <v>0</v>
      </c>
      <c r="Y402" s="401"/>
      <c r="Z402" s="401"/>
      <c r="AA402" s="401">
        <v>0</v>
      </c>
      <c r="AB402" s="401"/>
      <c r="AC402" s="401"/>
      <c r="AD402" s="401">
        <v>0</v>
      </c>
      <c r="AE402" s="401"/>
      <c r="AF402" s="401"/>
      <c r="AG402" s="401">
        <v>0</v>
      </c>
      <c r="AH402" s="401"/>
      <c r="AI402" s="401"/>
      <c r="AJ402" s="401">
        <v>0</v>
      </c>
      <c r="AK402" s="401"/>
      <c r="AL402" s="401"/>
      <c r="AM402" s="401"/>
      <c r="AN402" s="401"/>
      <c r="AO402" s="401"/>
      <c r="AP402" s="401"/>
      <c r="AQ402" s="401"/>
      <c r="AR402" s="401"/>
      <c r="AS402" s="401">
        <v>0</v>
      </c>
      <c r="AT402" s="401"/>
      <c r="AU402" s="401"/>
      <c r="AV402" s="401">
        <v>0</v>
      </c>
      <c r="AW402" s="401"/>
      <c r="AX402" s="401"/>
      <c r="AY402" s="401"/>
      <c r="AZ402" s="401"/>
      <c r="BA402" s="401"/>
      <c r="BB402" s="401"/>
      <c r="BC402" s="401"/>
      <c r="BD402" s="401"/>
      <c r="BE402" s="401">
        <v>0</v>
      </c>
      <c r="BF402" s="401"/>
      <c r="BG402" s="401"/>
      <c r="BH402" s="401">
        <v>0</v>
      </c>
      <c r="BI402" s="401"/>
      <c r="BJ402" s="401"/>
      <c r="BK402" s="402">
        <v>0</v>
      </c>
      <c r="BL402" s="402"/>
      <c r="BM402" s="402"/>
      <c r="BN402" s="415"/>
      <c r="BO402" s="415"/>
      <c r="BP402" s="415"/>
      <c r="BQ402" s="401">
        <v>0</v>
      </c>
      <c r="BR402" s="403"/>
      <c r="BS402" s="403"/>
      <c r="BT402" s="403"/>
      <c r="BU402" s="403"/>
      <c r="BV402" s="403"/>
      <c r="BW402" s="403"/>
      <c r="BX402" s="403"/>
      <c r="BY402" s="403"/>
      <c r="BZ402" s="401">
        <f t="shared" si="170"/>
        <v>0</v>
      </c>
      <c r="CA402" s="401">
        <f t="shared" si="170"/>
        <v>0</v>
      </c>
      <c r="CB402" s="401">
        <f t="shared" si="170"/>
        <v>0</v>
      </c>
    </row>
    <row r="403" spans="1:80" ht="71.25" customHeight="1" x14ac:dyDescent="0.2">
      <c r="A403" s="42"/>
      <c r="B403" s="205"/>
      <c r="C403" s="702"/>
      <c r="D403" s="708" t="s">
        <v>69</v>
      </c>
      <c r="E403" s="716"/>
      <c r="F403" s="716"/>
      <c r="G403" s="92"/>
      <c r="H403" s="57">
        <v>82</v>
      </c>
      <c r="I403" s="729" t="s">
        <v>526</v>
      </c>
      <c r="J403" s="44">
        <v>14</v>
      </c>
      <c r="K403" s="190">
        <v>32</v>
      </c>
      <c r="L403" s="190">
        <v>18</v>
      </c>
      <c r="M403" s="922"/>
      <c r="N403" s="923"/>
      <c r="O403" s="924"/>
      <c r="P403" s="927"/>
      <c r="Q403" s="57" t="s">
        <v>67</v>
      </c>
      <c r="R403" s="401">
        <v>0</v>
      </c>
      <c r="S403" s="401"/>
      <c r="T403" s="401"/>
      <c r="U403" s="401">
        <v>0</v>
      </c>
      <c r="V403" s="401"/>
      <c r="W403" s="401"/>
      <c r="X403" s="401">
        <v>0</v>
      </c>
      <c r="Y403" s="401"/>
      <c r="Z403" s="401"/>
      <c r="AA403" s="401">
        <v>0</v>
      </c>
      <c r="AB403" s="401"/>
      <c r="AC403" s="401"/>
      <c r="AD403" s="401">
        <v>0</v>
      </c>
      <c r="AE403" s="401"/>
      <c r="AF403" s="401"/>
      <c r="AG403" s="401">
        <v>0</v>
      </c>
      <c r="AH403" s="401"/>
      <c r="AI403" s="401"/>
      <c r="AJ403" s="401">
        <v>0</v>
      </c>
      <c r="AK403" s="401"/>
      <c r="AL403" s="401"/>
      <c r="AM403" s="401"/>
      <c r="AN403" s="401"/>
      <c r="AO403" s="401"/>
      <c r="AP403" s="401"/>
      <c r="AQ403" s="401"/>
      <c r="AR403" s="401"/>
      <c r="AS403" s="401">
        <v>0</v>
      </c>
      <c r="AT403" s="401"/>
      <c r="AU403" s="401"/>
      <c r="AV403" s="401">
        <v>0</v>
      </c>
      <c r="AW403" s="401"/>
      <c r="AX403" s="401"/>
      <c r="AY403" s="401"/>
      <c r="AZ403" s="401"/>
      <c r="BA403" s="401"/>
      <c r="BB403" s="401"/>
      <c r="BC403" s="401"/>
      <c r="BD403" s="401"/>
      <c r="BE403" s="401">
        <v>0</v>
      </c>
      <c r="BF403" s="401"/>
      <c r="BG403" s="401"/>
      <c r="BH403" s="401">
        <v>0</v>
      </c>
      <c r="BI403" s="401"/>
      <c r="BJ403" s="401"/>
      <c r="BK403" s="402">
        <v>0</v>
      </c>
      <c r="BL403" s="402"/>
      <c r="BM403" s="402"/>
      <c r="BN403" s="415"/>
      <c r="BO403" s="415"/>
      <c r="BP403" s="415"/>
      <c r="BQ403" s="401">
        <v>0</v>
      </c>
      <c r="BR403" s="403"/>
      <c r="BS403" s="403"/>
      <c r="BT403" s="403"/>
      <c r="BU403" s="403"/>
      <c r="BV403" s="403"/>
      <c r="BW403" s="403"/>
      <c r="BX403" s="403"/>
      <c r="BY403" s="403"/>
      <c r="BZ403" s="401">
        <f t="shared" si="170"/>
        <v>0</v>
      </c>
      <c r="CA403" s="401">
        <f t="shared" si="170"/>
        <v>0</v>
      </c>
      <c r="CB403" s="401">
        <f t="shared" si="170"/>
        <v>0</v>
      </c>
    </row>
    <row r="404" spans="1:80" ht="30" customHeight="1" x14ac:dyDescent="0.2">
      <c r="A404" s="42"/>
      <c r="B404" s="205"/>
      <c r="C404" s="702"/>
      <c r="D404" s="708"/>
      <c r="E404" s="702"/>
      <c r="F404" s="702"/>
      <c r="G404" s="275"/>
      <c r="H404" s="59"/>
      <c r="I404" s="58"/>
      <c r="J404" s="60"/>
      <c r="K404" s="196"/>
      <c r="L404" s="293"/>
      <c r="M404" s="196"/>
      <c r="N404" s="276"/>
      <c r="O404" s="289"/>
      <c r="P404" s="58"/>
      <c r="Q404" s="59"/>
      <c r="R404" s="410">
        <f t="shared" ref="R404:BZ404" si="171">SUM(R396:R403)</f>
        <v>0</v>
      </c>
      <c r="S404" s="410">
        <f t="shared" si="171"/>
        <v>0</v>
      </c>
      <c r="T404" s="410">
        <f t="shared" si="171"/>
        <v>0</v>
      </c>
      <c r="U404" s="410">
        <f t="shared" si="171"/>
        <v>0</v>
      </c>
      <c r="V404" s="410">
        <f t="shared" si="171"/>
        <v>0</v>
      </c>
      <c r="W404" s="410">
        <f t="shared" si="171"/>
        <v>0</v>
      </c>
      <c r="X404" s="410">
        <f t="shared" si="171"/>
        <v>0</v>
      </c>
      <c r="Y404" s="410">
        <f t="shared" si="171"/>
        <v>0</v>
      </c>
      <c r="Z404" s="410">
        <f t="shared" si="171"/>
        <v>0</v>
      </c>
      <c r="AA404" s="410">
        <f t="shared" si="171"/>
        <v>0</v>
      </c>
      <c r="AB404" s="410">
        <f t="shared" si="171"/>
        <v>0</v>
      </c>
      <c r="AC404" s="410">
        <f t="shared" si="171"/>
        <v>0</v>
      </c>
      <c r="AD404" s="410">
        <f t="shared" si="171"/>
        <v>0</v>
      </c>
      <c r="AE404" s="410">
        <f t="shared" si="171"/>
        <v>0</v>
      </c>
      <c r="AF404" s="410">
        <f t="shared" si="171"/>
        <v>0</v>
      </c>
      <c r="AG404" s="410">
        <f t="shared" si="171"/>
        <v>0</v>
      </c>
      <c r="AH404" s="410">
        <f t="shared" si="171"/>
        <v>0</v>
      </c>
      <c r="AI404" s="410">
        <f t="shared" si="171"/>
        <v>0</v>
      </c>
      <c r="AJ404" s="410">
        <f t="shared" si="171"/>
        <v>0</v>
      </c>
      <c r="AK404" s="410">
        <f t="shared" si="171"/>
        <v>0</v>
      </c>
      <c r="AL404" s="410">
        <f t="shared" si="171"/>
        <v>0</v>
      </c>
      <c r="AM404" s="410">
        <f t="shared" si="171"/>
        <v>0</v>
      </c>
      <c r="AN404" s="410">
        <f t="shared" si="171"/>
        <v>0</v>
      </c>
      <c r="AO404" s="410">
        <f t="shared" si="171"/>
        <v>0</v>
      </c>
      <c r="AP404" s="410">
        <f t="shared" si="171"/>
        <v>0</v>
      </c>
      <c r="AQ404" s="410">
        <f t="shared" si="171"/>
        <v>0</v>
      </c>
      <c r="AR404" s="410">
        <f t="shared" si="171"/>
        <v>0</v>
      </c>
      <c r="AS404" s="410">
        <f t="shared" si="171"/>
        <v>0</v>
      </c>
      <c r="AT404" s="410">
        <f t="shared" si="171"/>
        <v>0</v>
      </c>
      <c r="AU404" s="410">
        <f t="shared" si="171"/>
        <v>0</v>
      </c>
      <c r="AV404" s="410">
        <f t="shared" si="171"/>
        <v>0</v>
      </c>
      <c r="AW404" s="410">
        <f t="shared" si="171"/>
        <v>0</v>
      </c>
      <c r="AX404" s="410">
        <f t="shared" si="171"/>
        <v>0</v>
      </c>
      <c r="AY404" s="410">
        <f t="shared" si="171"/>
        <v>0</v>
      </c>
      <c r="AZ404" s="410">
        <f t="shared" si="171"/>
        <v>0</v>
      </c>
      <c r="BA404" s="410">
        <f t="shared" si="171"/>
        <v>0</v>
      </c>
      <c r="BB404" s="410">
        <f t="shared" si="171"/>
        <v>0</v>
      </c>
      <c r="BC404" s="410">
        <f t="shared" si="171"/>
        <v>0</v>
      </c>
      <c r="BD404" s="410">
        <f t="shared" si="171"/>
        <v>0</v>
      </c>
      <c r="BE404" s="410">
        <f t="shared" si="171"/>
        <v>0</v>
      </c>
      <c r="BF404" s="410">
        <f t="shared" si="171"/>
        <v>0</v>
      </c>
      <c r="BG404" s="410">
        <f t="shared" si="171"/>
        <v>0</v>
      </c>
      <c r="BH404" s="410">
        <f t="shared" si="171"/>
        <v>0</v>
      </c>
      <c r="BI404" s="410">
        <f t="shared" si="171"/>
        <v>0</v>
      </c>
      <c r="BJ404" s="410">
        <f t="shared" si="171"/>
        <v>0</v>
      </c>
      <c r="BK404" s="410">
        <f t="shared" si="171"/>
        <v>248165345</v>
      </c>
      <c r="BL404" s="410">
        <f t="shared" si="171"/>
        <v>156125000</v>
      </c>
      <c r="BM404" s="410">
        <f t="shared" si="171"/>
        <v>141775000</v>
      </c>
      <c r="BN404" s="410">
        <f t="shared" si="171"/>
        <v>0</v>
      </c>
      <c r="BO404" s="410">
        <f t="shared" si="171"/>
        <v>0</v>
      </c>
      <c r="BP404" s="410">
        <f t="shared" si="171"/>
        <v>0</v>
      </c>
      <c r="BQ404" s="410">
        <f t="shared" si="171"/>
        <v>0</v>
      </c>
      <c r="BR404" s="410">
        <f t="shared" si="171"/>
        <v>0</v>
      </c>
      <c r="BS404" s="410">
        <f t="shared" si="171"/>
        <v>0</v>
      </c>
      <c r="BT404" s="410">
        <f t="shared" si="171"/>
        <v>0</v>
      </c>
      <c r="BU404" s="410">
        <f t="shared" si="171"/>
        <v>0</v>
      </c>
      <c r="BV404" s="410">
        <f t="shared" si="171"/>
        <v>0</v>
      </c>
      <c r="BW404" s="410">
        <f t="shared" si="171"/>
        <v>0</v>
      </c>
      <c r="BX404" s="410">
        <f t="shared" si="171"/>
        <v>0</v>
      </c>
      <c r="BY404" s="410">
        <f t="shared" si="171"/>
        <v>0</v>
      </c>
      <c r="BZ404" s="410">
        <f t="shared" si="171"/>
        <v>248165345</v>
      </c>
      <c r="CA404" s="410">
        <f t="shared" ref="CA404:CB404" si="172">SUM(CA396:CA403)</f>
        <v>156125000</v>
      </c>
      <c r="CB404" s="410">
        <f t="shared" si="172"/>
        <v>141775000</v>
      </c>
    </row>
    <row r="405" spans="1:80" ht="30" customHeight="1" x14ac:dyDescent="0.2">
      <c r="A405" s="42"/>
      <c r="B405" s="42"/>
      <c r="C405" s="137"/>
      <c r="D405" s="72"/>
      <c r="E405" s="264"/>
      <c r="F405" s="264"/>
      <c r="G405" s="72"/>
      <c r="H405" s="150"/>
      <c r="I405" s="72"/>
      <c r="J405" s="73"/>
      <c r="K405" s="277"/>
      <c r="L405" s="278"/>
      <c r="M405" s="278"/>
      <c r="N405" s="119"/>
      <c r="O405" s="400"/>
      <c r="P405" s="101"/>
      <c r="Q405" s="150"/>
      <c r="R405" s="405"/>
      <c r="S405" s="405"/>
      <c r="T405" s="405"/>
      <c r="U405" s="405"/>
      <c r="V405" s="405"/>
      <c r="W405" s="405"/>
      <c r="X405" s="405"/>
      <c r="Y405" s="405"/>
      <c r="Z405" s="405"/>
      <c r="AA405" s="405"/>
      <c r="AB405" s="405"/>
      <c r="AC405" s="405"/>
      <c r="AD405" s="405"/>
      <c r="AE405" s="405"/>
      <c r="AF405" s="405"/>
      <c r="AG405" s="405"/>
      <c r="AH405" s="405"/>
      <c r="AI405" s="405"/>
      <c r="AJ405" s="405"/>
      <c r="AK405" s="405"/>
      <c r="AL405" s="405"/>
      <c r="AM405" s="405"/>
      <c r="AN405" s="405"/>
      <c r="AO405" s="405"/>
      <c r="AP405" s="405"/>
      <c r="AQ405" s="405"/>
      <c r="AR405" s="405"/>
      <c r="AS405" s="405"/>
      <c r="AT405" s="405"/>
      <c r="AU405" s="405"/>
      <c r="AV405" s="405"/>
      <c r="AW405" s="405"/>
      <c r="AX405" s="405"/>
      <c r="AY405" s="405"/>
      <c r="AZ405" s="405"/>
      <c r="BA405" s="405"/>
      <c r="BB405" s="405"/>
      <c r="BC405" s="405"/>
      <c r="BD405" s="405"/>
      <c r="BE405" s="405"/>
      <c r="BF405" s="405"/>
      <c r="BG405" s="405"/>
      <c r="BH405" s="405"/>
      <c r="BI405" s="405"/>
      <c r="BJ405" s="405"/>
      <c r="BK405" s="407"/>
      <c r="BL405" s="407"/>
      <c r="BM405" s="407"/>
      <c r="BN405" s="405"/>
      <c r="BO405" s="405"/>
      <c r="BP405" s="405"/>
      <c r="BQ405" s="405"/>
      <c r="BR405" s="405"/>
      <c r="BS405" s="405"/>
      <c r="BT405" s="405"/>
      <c r="BU405" s="405"/>
      <c r="BV405" s="405"/>
      <c r="BW405" s="405"/>
      <c r="BX405" s="405"/>
      <c r="BY405" s="405"/>
      <c r="BZ405" s="409"/>
      <c r="CA405" s="409"/>
      <c r="CB405" s="409"/>
    </row>
    <row r="406" spans="1:80" ht="30" customHeight="1" x14ac:dyDescent="0.2">
      <c r="A406" s="42"/>
      <c r="B406" s="42"/>
      <c r="C406" s="137"/>
      <c r="D406" s="72"/>
      <c r="E406" s="150"/>
      <c r="F406" s="727"/>
      <c r="G406" s="160">
        <v>20</v>
      </c>
      <c r="H406" s="172" t="s">
        <v>527</v>
      </c>
      <c r="I406" s="80"/>
      <c r="J406" s="80"/>
      <c r="K406" s="221"/>
      <c r="L406" s="221"/>
      <c r="M406" s="221"/>
      <c r="N406" s="173"/>
      <c r="O406" s="173"/>
      <c r="P406" s="80"/>
      <c r="Q406" s="80"/>
      <c r="R406" s="267"/>
      <c r="S406" s="267"/>
      <c r="T406" s="267"/>
      <c r="U406" s="267"/>
      <c r="V406" s="267"/>
      <c r="W406" s="267"/>
      <c r="X406" s="267"/>
      <c r="Y406" s="267"/>
      <c r="Z406" s="267"/>
      <c r="AA406" s="267"/>
      <c r="AB406" s="267"/>
      <c r="AC406" s="267"/>
      <c r="AD406" s="267"/>
      <c r="AE406" s="267"/>
      <c r="AF406" s="267"/>
      <c r="AG406" s="267"/>
      <c r="AH406" s="267"/>
      <c r="AI406" s="267"/>
      <c r="AJ406" s="267"/>
      <c r="AK406" s="267"/>
      <c r="AL406" s="267"/>
      <c r="AM406" s="267"/>
      <c r="AN406" s="267"/>
      <c r="AO406" s="267"/>
      <c r="AP406" s="267"/>
      <c r="AQ406" s="267"/>
      <c r="AR406" s="267"/>
      <c r="AS406" s="267"/>
      <c r="AT406" s="267"/>
      <c r="AU406" s="267"/>
      <c r="AV406" s="267"/>
      <c r="AW406" s="267"/>
      <c r="AX406" s="267"/>
      <c r="AY406" s="267"/>
      <c r="AZ406" s="267"/>
      <c r="BA406" s="267"/>
      <c r="BB406" s="267"/>
      <c r="BC406" s="267"/>
      <c r="BD406" s="267"/>
      <c r="BE406" s="267"/>
      <c r="BF406" s="267"/>
      <c r="BG406" s="267"/>
      <c r="BH406" s="267"/>
      <c r="BI406" s="267"/>
      <c r="BJ406" s="267"/>
      <c r="BK406" s="414"/>
      <c r="BL406" s="414"/>
      <c r="BM406" s="414"/>
      <c r="BN406" s="267"/>
      <c r="BO406" s="267"/>
      <c r="BP406" s="267"/>
      <c r="BQ406" s="267"/>
      <c r="BR406" s="267"/>
      <c r="BS406" s="267"/>
      <c r="BT406" s="267"/>
      <c r="BU406" s="267"/>
      <c r="BV406" s="267"/>
      <c r="BW406" s="267"/>
      <c r="BX406" s="267"/>
      <c r="BY406" s="267"/>
      <c r="BZ406" s="269"/>
      <c r="CA406" s="269"/>
      <c r="CB406" s="269"/>
    </row>
    <row r="407" spans="1:80" ht="69" customHeight="1" x14ac:dyDescent="0.2">
      <c r="A407" s="42"/>
      <c r="B407" s="205"/>
      <c r="C407" s="374"/>
      <c r="D407" s="375"/>
      <c r="E407" s="375"/>
      <c r="F407" s="375"/>
      <c r="G407" s="165"/>
      <c r="H407" s="57">
        <v>83</v>
      </c>
      <c r="I407" s="729" t="s">
        <v>528</v>
      </c>
      <c r="J407" s="169">
        <v>0</v>
      </c>
      <c r="K407" s="190">
        <v>47</v>
      </c>
      <c r="L407" s="190">
        <v>54</v>
      </c>
      <c r="M407" s="884">
        <v>2017003630099</v>
      </c>
      <c r="N407" s="915" t="s">
        <v>485</v>
      </c>
      <c r="O407" s="895" t="s">
        <v>529</v>
      </c>
      <c r="P407" s="890" t="s">
        <v>989</v>
      </c>
      <c r="Q407" s="57" t="s">
        <v>67</v>
      </c>
      <c r="R407" s="401">
        <v>0</v>
      </c>
      <c r="S407" s="401"/>
      <c r="T407" s="401"/>
      <c r="U407" s="401">
        <v>0</v>
      </c>
      <c r="V407" s="401"/>
      <c r="W407" s="401"/>
      <c r="X407" s="401">
        <v>0</v>
      </c>
      <c r="Y407" s="401"/>
      <c r="Z407" s="401"/>
      <c r="AA407" s="401">
        <v>0</v>
      </c>
      <c r="AB407" s="401"/>
      <c r="AC407" s="401"/>
      <c r="AD407" s="401">
        <v>0</v>
      </c>
      <c r="AE407" s="401"/>
      <c r="AF407" s="401"/>
      <c r="AG407" s="401">
        <v>0</v>
      </c>
      <c r="AH407" s="401"/>
      <c r="AI407" s="401"/>
      <c r="AJ407" s="401">
        <v>0</v>
      </c>
      <c r="AK407" s="401"/>
      <c r="AL407" s="401"/>
      <c r="AM407" s="401"/>
      <c r="AN407" s="401"/>
      <c r="AO407" s="401"/>
      <c r="AP407" s="401"/>
      <c r="AQ407" s="401"/>
      <c r="AR407" s="401"/>
      <c r="AS407" s="401">
        <v>0</v>
      </c>
      <c r="AT407" s="401"/>
      <c r="AU407" s="401"/>
      <c r="AV407" s="401">
        <v>0</v>
      </c>
      <c r="AW407" s="401"/>
      <c r="AX407" s="401"/>
      <c r="AY407" s="401"/>
      <c r="AZ407" s="401"/>
      <c r="BA407" s="401"/>
      <c r="BB407" s="401"/>
      <c r="BC407" s="401"/>
      <c r="BD407" s="401"/>
      <c r="BE407" s="401">
        <v>0</v>
      </c>
      <c r="BF407" s="401"/>
      <c r="BG407" s="401"/>
      <c r="BH407" s="401">
        <v>0</v>
      </c>
      <c r="BI407" s="401"/>
      <c r="BJ407" s="401"/>
      <c r="BK407" s="402">
        <f>0+80000000+32100000</f>
        <v>112100000</v>
      </c>
      <c r="BL407" s="402">
        <v>74900000</v>
      </c>
      <c r="BM407" s="402">
        <v>69550000</v>
      </c>
      <c r="BN407" s="415"/>
      <c r="BO407" s="415"/>
      <c r="BP407" s="415"/>
      <c r="BQ407" s="401">
        <v>0</v>
      </c>
      <c r="BR407" s="403"/>
      <c r="BS407" s="403"/>
      <c r="BT407" s="403"/>
      <c r="BU407" s="403"/>
      <c r="BV407" s="403"/>
      <c r="BW407" s="403"/>
      <c r="BX407" s="403"/>
      <c r="BY407" s="403"/>
      <c r="BZ407" s="401">
        <f t="shared" ref="BZ407:CB416" si="173">R407+U407+X407+AA407+AD407+AG407+AJ407+AM407+AP407+AS407+AV407+AY407+BB407+BE407+BH407+BK407+BN407+BQ407+BT407+BW407</f>
        <v>112100000</v>
      </c>
      <c r="CA407" s="401">
        <f t="shared" si="173"/>
        <v>74900000</v>
      </c>
      <c r="CB407" s="401">
        <f t="shared" si="173"/>
        <v>69550000</v>
      </c>
    </row>
    <row r="408" spans="1:80" ht="69" customHeight="1" x14ac:dyDescent="0.2">
      <c r="A408" s="42"/>
      <c r="B408" s="205"/>
      <c r="C408" s="374"/>
      <c r="D408" s="375"/>
      <c r="E408" s="375"/>
      <c r="F408" s="375"/>
      <c r="G408" s="51"/>
      <c r="H408" s="57">
        <v>84</v>
      </c>
      <c r="I408" s="729" t="s">
        <v>531</v>
      </c>
      <c r="J408" s="169">
        <v>0</v>
      </c>
      <c r="K408" s="190">
        <v>26</v>
      </c>
      <c r="L408" s="190">
        <v>28</v>
      </c>
      <c r="M408" s="885"/>
      <c r="N408" s="919"/>
      <c r="O408" s="883"/>
      <c r="P408" s="891"/>
      <c r="Q408" s="57" t="s">
        <v>67</v>
      </c>
      <c r="R408" s="401">
        <v>0</v>
      </c>
      <c r="S408" s="401"/>
      <c r="T408" s="401"/>
      <c r="U408" s="401">
        <v>0</v>
      </c>
      <c r="V408" s="401"/>
      <c r="W408" s="401"/>
      <c r="X408" s="401">
        <v>0</v>
      </c>
      <c r="Y408" s="401"/>
      <c r="Z408" s="401"/>
      <c r="AA408" s="401">
        <v>0</v>
      </c>
      <c r="AB408" s="401"/>
      <c r="AC408" s="401"/>
      <c r="AD408" s="401">
        <v>0</v>
      </c>
      <c r="AE408" s="401"/>
      <c r="AF408" s="401"/>
      <c r="AG408" s="401">
        <v>0</v>
      </c>
      <c r="AH408" s="401"/>
      <c r="AI408" s="401"/>
      <c r="AJ408" s="401">
        <v>0</v>
      </c>
      <c r="AK408" s="401"/>
      <c r="AL408" s="401"/>
      <c r="AM408" s="401"/>
      <c r="AN408" s="401"/>
      <c r="AO408" s="401"/>
      <c r="AP408" s="401"/>
      <c r="AQ408" s="401"/>
      <c r="AR408" s="401"/>
      <c r="AS408" s="401">
        <v>0</v>
      </c>
      <c r="AT408" s="401"/>
      <c r="AU408" s="401"/>
      <c r="AV408" s="401">
        <v>0</v>
      </c>
      <c r="AW408" s="401"/>
      <c r="AX408" s="401"/>
      <c r="AY408" s="401"/>
      <c r="AZ408" s="401"/>
      <c r="BA408" s="401"/>
      <c r="BB408" s="401"/>
      <c r="BC408" s="401"/>
      <c r="BD408" s="401"/>
      <c r="BE408" s="401">
        <v>0</v>
      </c>
      <c r="BF408" s="401"/>
      <c r="BG408" s="401"/>
      <c r="BH408" s="401">
        <v>0</v>
      </c>
      <c r="BI408" s="401"/>
      <c r="BJ408" s="401"/>
      <c r="BK408" s="402"/>
      <c r="BL408" s="402"/>
      <c r="BM408" s="402"/>
      <c r="BN408" s="415"/>
      <c r="BO408" s="415"/>
      <c r="BP408" s="415"/>
      <c r="BQ408" s="401">
        <v>0</v>
      </c>
      <c r="BR408" s="403"/>
      <c r="BS408" s="403"/>
      <c r="BT408" s="403"/>
      <c r="BU408" s="403"/>
      <c r="BV408" s="403"/>
      <c r="BW408" s="403"/>
      <c r="BX408" s="403"/>
      <c r="BY408" s="403"/>
      <c r="BZ408" s="401">
        <f t="shared" si="173"/>
        <v>0</v>
      </c>
      <c r="CA408" s="401">
        <f t="shared" si="173"/>
        <v>0</v>
      </c>
      <c r="CB408" s="401">
        <f t="shared" si="173"/>
        <v>0</v>
      </c>
    </row>
    <row r="409" spans="1:80" ht="69" customHeight="1" x14ac:dyDescent="0.2">
      <c r="A409" s="42"/>
      <c r="B409" s="205"/>
      <c r="C409" s="374"/>
      <c r="D409" s="375"/>
      <c r="E409" s="375"/>
      <c r="F409" s="375"/>
      <c r="G409" s="51"/>
      <c r="H409" s="57">
        <v>85</v>
      </c>
      <c r="I409" s="729" t="s">
        <v>532</v>
      </c>
      <c r="J409" s="169">
        <v>0</v>
      </c>
      <c r="K409" s="190">
        <v>26</v>
      </c>
      <c r="L409" s="190">
        <v>54</v>
      </c>
      <c r="M409" s="885"/>
      <c r="N409" s="919"/>
      <c r="O409" s="883"/>
      <c r="P409" s="891"/>
      <c r="Q409" s="57" t="s">
        <v>67</v>
      </c>
      <c r="R409" s="401">
        <v>0</v>
      </c>
      <c r="S409" s="401"/>
      <c r="T409" s="401"/>
      <c r="U409" s="401">
        <v>0</v>
      </c>
      <c r="V409" s="401"/>
      <c r="W409" s="401"/>
      <c r="X409" s="401">
        <v>0</v>
      </c>
      <c r="Y409" s="401"/>
      <c r="Z409" s="401"/>
      <c r="AA409" s="401">
        <v>0</v>
      </c>
      <c r="AB409" s="401"/>
      <c r="AC409" s="401"/>
      <c r="AD409" s="401">
        <v>0</v>
      </c>
      <c r="AE409" s="401"/>
      <c r="AF409" s="401"/>
      <c r="AG409" s="401">
        <v>0</v>
      </c>
      <c r="AH409" s="401"/>
      <c r="AI409" s="401"/>
      <c r="AJ409" s="401">
        <v>0</v>
      </c>
      <c r="AK409" s="401"/>
      <c r="AL409" s="401"/>
      <c r="AM409" s="401"/>
      <c r="AN409" s="401"/>
      <c r="AO409" s="401"/>
      <c r="AP409" s="401"/>
      <c r="AQ409" s="401"/>
      <c r="AR409" s="401"/>
      <c r="AS409" s="401">
        <v>0</v>
      </c>
      <c r="AT409" s="401"/>
      <c r="AU409" s="401"/>
      <c r="AV409" s="401">
        <v>0</v>
      </c>
      <c r="AW409" s="401"/>
      <c r="AX409" s="401"/>
      <c r="AY409" s="401"/>
      <c r="AZ409" s="401"/>
      <c r="BA409" s="401"/>
      <c r="BB409" s="401"/>
      <c r="BC409" s="401"/>
      <c r="BD409" s="401"/>
      <c r="BE409" s="401">
        <v>0</v>
      </c>
      <c r="BF409" s="401"/>
      <c r="BG409" s="401"/>
      <c r="BH409" s="401">
        <v>0</v>
      </c>
      <c r="BI409" s="401"/>
      <c r="BJ409" s="401"/>
      <c r="BK409" s="672">
        <f>16050000-16050000</f>
        <v>0</v>
      </c>
      <c r="BL409" s="672"/>
      <c r="BM409" s="402"/>
      <c r="BN409" s="415"/>
      <c r="BO409" s="415"/>
      <c r="BP409" s="415"/>
      <c r="BQ409" s="401">
        <v>0</v>
      </c>
      <c r="BR409" s="403"/>
      <c r="BS409" s="403"/>
      <c r="BT409" s="403"/>
      <c r="BU409" s="403"/>
      <c r="BV409" s="403"/>
      <c r="BW409" s="403"/>
      <c r="BX409" s="403"/>
      <c r="BY409" s="403"/>
      <c r="BZ409" s="401">
        <f t="shared" si="173"/>
        <v>0</v>
      </c>
      <c r="CA409" s="401">
        <f t="shared" si="173"/>
        <v>0</v>
      </c>
      <c r="CB409" s="401">
        <f t="shared" si="173"/>
        <v>0</v>
      </c>
    </row>
    <row r="410" spans="1:80" ht="69" customHeight="1" x14ac:dyDescent="0.2">
      <c r="A410" s="42"/>
      <c r="B410" s="205"/>
      <c r="C410" s="702">
        <v>14</v>
      </c>
      <c r="D410" s="49" t="s">
        <v>492</v>
      </c>
      <c r="E410" s="716">
        <v>6.2E-2</v>
      </c>
      <c r="F410" s="716">
        <v>0.03</v>
      </c>
      <c r="G410" s="51"/>
      <c r="H410" s="57">
        <v>87</v>
      </c>
      <c r="I410" s="729" t="s">
        <v>533</v>
      </c>
      <c r="J410" s="169">
        <v>0</v>
      </c>
      <c r="K410" s="190">
        <v>30</v>
      </c>
      <c r="L410" s="682">
        <v>5</v>
      </c>
      <c r="M410" s="885"/>
      <c r="N410" s="919"/>
      <c r="O410" s="883"/>
      <c r="P410" s="891"/>
      <c r="Q410" s="57" t="s">
        <v>52</v>
      </c>
      <c r="R410" s="401">
        <v>0</v>
      </c>
      <c r="S410" s="401"/>
      <c r="T410" s="401"/>
      <c r="U410" s="401">
        <v>0</v>
      </c>
      <c r="V410" s="401"/>
      <c r="W410" s="401"/>
      <c r="X410" s="401">
        <v>0</v>
      </c>
      <c r="Y410" s="401"/>
      <c r="Z410" s="401"/>
      <c r="AA410" s="401">
        <v>0</v>
      </c>
      <c r="AB410" s="401"/>
      <c r="AC410" s="401"/>
      <c r="AD410" s="401">
        <v>0</v>
      </c>
      <c r="AE410" s="401"/>
      <c r="AF410" s="401"/>
      <c r="AG410" s="401">
        <v>0</v>
      </c>
      <c r="AH410" s="401"/>
      <c r="AI410" s="401"/>
      <c r="AJ410" s="401">
        <v>0</v>
      </c>
      <c r="AK410" s="401"/>
      <c r="AL410" s="401"/>
      <c r="AM410" s="401"/>
      <c r="AN410" s="401"/>
      <c r="AO410" s="401"/>
      <c r="AP410" s="401"/>
      <c r="AQ410" s="401"/>
      <c r="AR410" s="401"/>
      <c r="AS410" s="401">
        <v>0</v>
      </c>
      <c r="AT410" s="401"/>
      <c r="AU410" s="401"/>
      <c r="AV410" s="401">
        <v>0</v>
      </c>
      <c r="AW410" s="401"/>
      <c r="AX410" s="401"/>
      <c r="AY410" s="401">
        <v>0</v>
      </c>
      <c r="AZ410" s="401"/>
      <c r="BA410" s="401"/>
      <c r="BB410" s="401"/>
      <c r="BC410" s="401"/>
      <c r="BD410" s="401"/>
      <c r="BE410" s="401">
        <v>0</v>
      </c>
      <c r="BF410" s="401"/>
      <c r="BG410" s="401"/>
      <c r="BH410" s="401">
        <v>0</v>
      </c>
      <c r="BI410" s="403"/>
      <c r="BJ410" s="403"/>
      <c r="BK410" s="685">
        <f>20000000+30000000</f>
        <v>50000000</v>
      </c>
      <c r="BL410" s="685">
        <f>[6]METAS!$P$54+[6]METAS!$P$55</f>
        <v>36000000</v>
      </c>
      <c r="BM410" s="483">
        <f>[6]METAS!$Q$54+[6]METAS!$Q$55</f>
        <v>36000000</v>
      </c>
      <c r="BN410" s="415"/>
      <c r="BO410" s="415"/>
      <c r="BP410" s="415"/>
      <c r="BQ410" s="401">
        <v>0</v>
      </c>
      <c r="BR410" s="403"/>
      <c r="BS410" s="403"/>
      <c r="BT410" s="403"/>
      <c r="BU410" s="403"/>
      <c r="BV410" s="403"/>
      <c r="BW410" s="403"/>
      <c r="BX410" s="403"/>
      <c r="BY410" s="403"/>
      <c r="BZ410" s="401">
        <f t="shared" si="173"/>
        <v>50000000</v>
      </c>
      <c r="CA410" s="401">
        <f t="shared" si="173"/>
        <v>36000000</v>
      </c>
      <c r="CB410" s="401">
        <f t="shared" si="173"/>
        <v>36000000</v>
      </c>
    </row>
    <row r="411" spans="1:80" ht="69" customHeight="1" x14ac:dyDescent="0.2">
      <c r="A411" s="42"/>
      <c r="B411" s="205"/>
      <c r="C411" s="702">
        <v>15</v>
      </c>
      <c r="D411" s="708" t="s">
        <v>483</v>
      </c>
      <c r="E411" s="716">
        <v>0.73229999999999995</v>
      </c>
      <c r="F411" s="716">
        <v>0.78</v>
      </c>
      <c r="G411" s="51"/>
      <c r="H411" s="57">
        <v>88</v>
      </c>
      <c r="I411" s="729" t="s">
        <v>534</v>
      </c>
      <c r="J411" s="169">
        <v>21</v>
      </c>
      <c r="K411" s="190">
        <v>34</v>
      </c>
      <c r="L411" s="190">
        <v>54</v>
      </c>
      <c r="M411" s="885"/>
      <c r="N411" s="919"/>
      <c r="O411" s="883"/>
      <c r="P411" s="891"/>
      <c r="Q411" s="57" t="s">
        <v>67</v>
      </c>
      <c r="R411" s="401">
        <v>0</v>
      </c>
      <c r="S411" s="401"/>
      <c r="T411" s="401"/>
      <c r="U411" s="401">
        <v>0</v>
      </c>
      <c r="V411" s="401"/>
      <c r="W411" s="401"/>
      <c r="X411" s="401">
        <v>0</v>
      </c>
      <c r="Y411" s="401"/>
      <c r="Z411" s="401"/>
      <c r="AA411" s="401">
        <v>0</v>
      </c>
      <c r="AB411" s="401"/>
      <c r="AC411" s="401"/>
      <c r="AD411" s="401">
        <v>0</v>
      </c>
      <c r="AE411" s="401"/>
      <c r="AF411" s="401"/>
      <c r="AG411" s="401">
        <v>0</v>
      </c>
      <c r="AH411" s="401"/>
      <c r="AI411" s="401"/>
      <c r="AJ411" s="401">
        <v>0</v>
      </c>
      <c r="AK411" s="401"/>
      <c r="AL411" s="401"/>
      <c r="AM411" s="401"/>
      <c r="AN411" s="401"/>
      <c r="AO411" s="401"/>
      <c r="AP411" s="401"/>
      <c r="AQ411" s="401"/>
      <c r="AR411" s="401"/>
      <c r="AS411" s="401">
        <v>0</v>
      </c>
      <c r="AT411" s="401"/>
      <c r="AU411" s="401"/>
      <c r="AV411" s="401">
        <v>0</v>
      </c>
      <c r="AW411" s="401"/>
      <c r="AX411" s="401"/>
      <c r="AY411" s="401"/>
      <c r="AZ411" s="401"/>
      <c r="BA411" s="401"/>
      <c r="BB411" s="401"/>
      <c r="BC411" s="401"/>
      <c r="BD411" s="401"/>
      <c r="BE411" s="401">
        <v>0</v>
      </c>
      <c r="BF411" s="401"/>
      <c r="BG411" s="401"/>
      <c r="BH411" s="401">
        <v>0</v>
      </c>
      <c r="BI411" s="401"/>
      <c r="BJ411" s="401"/>
      <c r="BK411" s="402">
        <f>53000000+16050000</f>
        <v>69050000</v>
      </c>
      <c r="BL411" s="402">
        <v>53450000</v>
      </c>
      <c r="BM411" s="402">
        <v>32100000</v>
      </c>
      <c r="BN411" s="415"/>
      <c r="BO411" s="415"/>
      <c r="BP411" s="415"/>
      <c r="BQ411" s="401">
        <v>0</v>
      </c>
      <c r="BR411" s="403"/>
      <c r="BS411" s="403"/>
      <c r="BT411" s="403"/>
      <c r="BU411" s="403"/>
      <c r="BV411" s="403"/>
      <c r="BW411" s="403"/>
      <c r="BX411" s="403"/>
      <c r="BY411" s="403"/>
      <c r="BZ411" s="401">
        <f t="shared" si="173"/>
        <v>69050000</v>
      </c>
      <c r="CA411" s="401">
        <f t="shared" si="173"/>
        <v>53450000</v>
      </c>
      <c r="CB411" s="401">
        <f t="shared" si="173"/>
        <v>32100000</v>
      </c>
    </row>
    <row r="412" spans="1:80" ht="69" customHeight="1" x14ac:dyDescent="0.2">
      <c r="A412" s="42"/>
      <c r="B412" s="205"/>
      <c r="C412" s="702">
        <v>19</v>
      </c>
      <c r="D412" s="708" t="s">
        <v>488</v>
      </c>
      <c r="E412" s="716" t="s">
        <v>535</v>
      </c>
      <c r="F412" s="716" t="s">
        <v>500</v>
      </c>
      <c r="G412" s="51"/>
      <c r="H412" s="57">
        <v>86</v>
      </c>
      <c r="I412" s="729" t="s">
        <v>536</v>
      </c>
      <c r="J412" s="169">
        <v>0</v>
      </c>
      <c r="K412" s="190">
        <v>3</v>
      </c>
      <c r="L412" s="190">
        <v>0</v>
      </c>
      <c r="M412" s="885"/>
      <c r="N412" s="919"/>
      <c r="O412" s="883"/>
      <c r="P412" s="891"/>
      <c r="Q412" s="57" t="s">
        <v>67</v>
      </c>
      <c r="R412" s="401"/>
      <c r="S412" s="401"/>
      <c r="T412" s="401"/>
      <c r="U412" s="401"/>
      <c r="V412" s="401"/>
      <c r="W412" s="401"/>
      <c r="X412" s="401"/>
      <c r="Y412" s="401"/>
      <c r="Z412" s="401"/>
      <c r="AA412" s="401"/>
      <c r="AB412" s="401"/>
      <c r="AC412" s="401"/>
      <c r="AD412" s="401"/>
      <c r="AE412" s="401"/>
      <c r="AF412" s="401"/>
      <c r="AG412" s="401"/>
      <c r="AH412" s="401"/>
      <c r="AI412" s="401"/>
      <c r="AJ412" s="488"/>
      <c r="AK412" s="488"/>
      <c r="AL412" s="488"/>
      <c r="AM412" s="401"/>
      <c r="AN412" s="401"/>
      <c r="AO412" s="401"/>
      <c r="AP412" s="401"/>
      <c r="AQ412" s="401"/>
      <c r="AR412" s="401"/>
      <c r="AS412" s="401"/>
      <c r="AT412" s="401"/>
      <c r="AU412" s="401"/>
      <c r="AV412" s="401"/>
      <c r="AW412" s="401"/>
      <c r="AX412" s="401"/>
      <c r="AY412" s="401"/>
      <c r="AZ412" s="401"/>
      <c r="BA412" s="401"/>
      <c r="BB412" s="401"/>
      <c r="BC412" s="401"/>
      <c r="BD412" s="401"/>
      <c r="BE412" s="401"/>
      <c r="BF412" s="401"/>
      <c r="BG412" s="401"/>
      <c r="BH412" s="401"/>
      <c r="BI412" s="401"/>
      <c r="BJ412" s="401"/>
      <c r="BK412" s="402"/>
      <c r="BL412" s="402"/>
      <c r="BM412" s="402"/>
      <c r="BN412" s="415"/>
      <c r="BO412" s="415"/>
      <c r="BP412" s="415"/>
      <c r="BQ412" s="401"/>
      <c r="BR412" s="403"/>
      <c r="BS412" s="403"/>
      <c r="BT412" s="403"/>
      <c r="BU412" s="403"/>
      <c r="BV412" s="403"/>
      <c r="BW412" s="403"/>
      <c r="BX412" s="403"/>
      <c r="BY412" s="403"/>
      <c r="BZ412" s="401">
        <f t="shared" si="173"/>
        <v>0</v>
      </c>
      <c r="CA412" s="401">
        <f t="shared" si="173"/>
        <v>0</v>
      </c>
      <c r="CB412" s="401">
        <f t="shared" si="173"/>
        <v>0</v>
      </c>
    </row>
    <row r="413" spans="1:80" ht="69" customHeight="1" x14ac:dyDescent="0.2">
      <c r="A413" s="42"/>
      <c r="B413" s="205"/>
      <c r="C413" s="702"/>
      <c r="D413" s="49"/>
      <c r="E413" s="279"/>
      <c r="F413" s="279"/>
      <c r="G413" s="51"/>
      <c r="H413" s="57">
        <v>89</v>
      </c>
      <c r="I413" s="729" t="s">
        <v>537</v>
      </c>
      <c r="J413" s="169" t="s">
        <v>43</v>
      </c>
      <c r="K413" s="190">
        <v>17500</v>
      </c>
      <c r="L413" s="190">
        <v>17458</v>
      </c>
      <c r="M413" s="885"/>
      <c r="N413" s="919"/>
      <c r="O413" s="883"/>
      <c r="P413" s="891"/>
      <c r="Q413" s="57" t="s">
        <v>67</v>
      </c>
      <c r="R413" s="401">
        <v>0</v>
      </c>
      <c r="S413" s="401"/>
      <c r="T413" s="401"/>
      <c r="U413" s="401">
        <v>0</v>
      </c>
      <c r="V413" s="401"/>
      <c r="W413" s="401"/>
      <c r="X413" s="401">
        <v>0</v>
      </c>
      <c r="Y413" s="401"/>
      <c r="Z413" s="401"/>
      <c r="AA413" s="401">
        <v>0</v>
      </c>
      <c r="AB413" s="401"/>
      <c r="AC413" s="401"/>
      <c r="AD413" s="401">
        <v>0</v>
      </c>
      <c r="AE413" s="401"/>
      <c r="AF413" s="401"/>
      <c r="AG413" s="401">
        <v>0</v>
      </c>
      <c r="AH413" s="401"/>
      <c r="AI413" s="401"/>
      <c r="AJ413" s="401"/>
      <c r="AK413" s="401"/>
      <c r="AL413" s="401"/>
      <c r="AM413" s="401"/>
      <c r="AN413" s="401"/>
      <c r="AO413" s="401"/>
      <c r="AP413" s="401"/>
      <c r="AQ413" s="401"/>
      <c r="AR413" s="401"/>
      <c r="AS413" s="401">
        <v>0</v>
      </c>
      <c r="AT413" s="401"/>
      <c r="AU413" s="401"/>
      <c r="AV413" s="401">
        <v>0</v>
      </c>
      <c r="AW413" s="401"/>
      <c r="AX413" s="401"/>
      <c r="AY413" s="401"/>
      <c r="AZ413" s="401"/>
      <c r="BA413" s="401"/>
      <c r="BB413" s="401"/>
      <c r="BC413" s="401"/>
      <c r="BD413" s="401"/>
      <c r="BE413" s="401">
        <v>0</v>
      </c>
      <c r="BF413" s="401"/>
      <c r="BG413" s="401"/>
      <c r="BH413" s="401">
        <v>0</v>
      </c>
      <c r="BI413" s="401"/>
      <c r="BJ413" s="401"/>
      <c r="BK413" s="402"/>
      <c r="BL413" s="402"/>
      <c r="BM413" s="402"/>
      <c r="BN413" s="415"/>
      <c r="BO413" s="415"/>
      <c r="BP413" s="415"/>
      <c r="BQ413" s="401">
        <v>0</v>
      </c>
      <c r="BR413" s="403"/>
      <c r="BS413" s="403"/>
      <c r="BT413" s="403"/>
      <c r="BU413" s="403"/>
      <c r="BV413" s="403"/>
      <c r="BW413" s="403"/>
      <c r="BX413" s="403"/>
      <c r="BY413" s="403"/>
      <c r="BZ413" s="401">
        <f t="shared" si="173"/>
        <v>0</v>
      </c>
      <c r="CA413" s="401">
        <f t="shared" si="173"/>
        <v>0</v>
      </c>
      <c r="CB413" s="401">
        <f t="shared" si="173"/>
        <v>0</v>
      </c>
    </row>
    <row r="414" spans="1:80" ht="69" customHeight="1" x14ac:dyDescent="0.2">
      <c r="A414" s="42"/>
      <c r="B414" s="205"/>
      <c r="C414" s="702"/>
      <c r="D414" s="49"/>
      <c r="E414" s="279"/>
      <c r="F414" s="279"/>
      <c r="G414" s="51"/>
      <c r="H414" s="57">
        <v>90</v>
      </c>
      <c r="I414" s="729" t="s">
        <v>538</v>
      </c>
      <c r="J414" s="169">
        <v>100</v>
      </c>
      <c r="K414" s="190">
        <v>126</v>
      </c>
      <c r="L414" s="190">
        <v>134</v>
      </c>
      <c r="M414" s="885"/>
      <c r="N414" s="919"/>
      <c r="O414" s="883"/>
      <c r="P414" s="891"/>
      <c r="Q414" s="57" t="s">
        <v>67</v>
      </c>
      <c r="R414" s="401">
        <v>0</v>
      </c>
      <c r="S414" s="401"/>
      <c r="T414" s="401"/>
      <c r="U414" s="401">
        <v>0</v>
      </c>
      <c r="V414" s="401"/>
      <c r="W414" s="401"/>
      <c r="X414" s="401">
        <v>0</v>
      </c>
      <c r="Y414" s="401"/>
      <c r="Z414" s="401"/>
      <c r="AA414" s="401">
        <v>0</v>
      </c>
      <c r="AB414" s="401"/>
      <c r="AC414" s="401"/>
      <c r="AD414" s="401">
        <v>0</v>
      </c>
      <c r="AE414" s="401"/>
      <c r="AF414" s="401"/>
      <c r="AG414" s="401">
        <v>0</v>
      </c>
      <c r="AH414" s="401"/>
      <c r="AI414" s="401"/>
      <c r="AJ414" s="489"/>
      <c r="AK414" s="489"/>
      <c r="AL414" s="489"/>
      <c r="AM414" s="401"/>
      <c r="AN414" s="401"/>
      <c r="AO414" s="401"/>
      <c r="AP414" s="401"/>
      <c r="AQ414" s="401"/>
      <c r="AR414" s="401"/>
      <c r="AS414" s="401">
        <v>0</v>
      </c>
      <c r="AT414" s="401"/>
      <c r="AU414" s="401"/>
      <c r="AV414" s="401">
        <v>0</v>
      </c>
      <c r="AW414" s="401"/>
      <c r="AX414" s="401"/>
      <c r="AY414" s="401"/>
      <c r="AZ414" s="401"/>
      <c r="BA414" s="401"/>
      <c r="BB414" s="401"/>
      <c r="BC414" s="401"/>
      <c r="BD414" s="401"/>
      <c r="BE414" s="401">
        <v>0</v>
      </c>
      <c r="BF414" s="401"/>
      <c r="BG414" s="401"/>
      <c r="BH414" s="401">
        <v>0</v>
      </c>
      <c r="BI414" s="401"/>
      <c r="BJ414" s="401"/>
      <c r="BK414" s="672">
        <f>20000000+20000000</f>
        <v>40000000</v>
      </c>
      <c r="BL414" s="402">
        <v>16420932</v>
      </c>
      <c r="BM414" s="402">
        <v>16420932</v>
      </c>
      <c r="BN414" s="415"/>
      <c r="BO414" s="415"/>
      <c r="BP414" s="415"/>
      <c r="BQ414" s="401">
        <v>0</v>
      </c>
      <c r="BR414" s="403"/>
      <c r="BS414" s="403"/>
      <c r="BT414" s="403"/>
      <c r="BU414" s="403"/>
      <c r="BV414" s="403"/>
      <c r="BW414" s="403"/>
      <c r="BX414" s="403"/>
      <c r="BY414" s="403"/>
      <c r="BZ414" s="401">
        <f t="shared" si="173"/>
        <v>40000000</v>
      </c>
      <c r="CA414" s="401">
        <f t="shared" si="173"/>
        <v>16420932</v>
      </c>
      <c r="CB414" s="401">
        <f t="shared" si="173"/>
        <v>16420932</v>
      </c>
    </row>
    <row r="415" spans="1:80" ht="69" customHeight="1" x14ac:dyDescent="0.2">
      <c r="A415" s="42"/>
      <c r="B415" s="205"/>
      <c r="C415" s="702"/>
      <c r="D415" s="49"/>
      <c r="E415" s="279"/>
      <c r="F415" s="279"/>
      <c r="G415" s="51"/>
      <c r="H415" s="57">
        <v>91</v>
      </c>
      <c r="I415" s="729" t="s">
        <v>539</v>
      </c>
      <c r="J415" s="169">
        <v>0</v>
      </c>
      <c r="K415" s="190">
        <v>54</v>
      </c>
      <c r="L415" s="190">
        <v>0</v>
      </c>
      <c r="M415" s="885"/>
      <c r="N415" s="919"/>
      <c r="O415" s="883"/>
      <c r="P415" s="891"/>
      <c r="Q415" s="57" t="s">
        <v>52</v>
      </c>
      <c r="R415" s="401">
        <v>0</v>
      </c>
      <c r="S415" s="401"/>
      <c r="T415" s="401"/>
      <c r="U415" s="401">
        <v>0</v>
      </c>
      <c r="V415" s="401"/>
      <c r="W415" s="401"/>
      <c r="X415" s="401">
        <v>0</v>
      </c>
      <c r="Y415" s="401"/>
      <c r="Z415" s="401"/>
      <c r="AA415" s="401">
        <v>0</v>
      </c>
      <c r="AB415" s="401"/>
      <c r="AC415" s="401"/>
      <c r="AD415" s="401">
        <v>0</v>
      </c>
      <c r="AE415" s="401"/>
      <c r="AF415" s="401"/>
      <c r="AG415" s="401">
        <v>0</v>
      </c>
      <c r="AH415" s="401"/>
      <c r="AI415" s="401"/>
      <c r="AJ415" s="401"/>
      <c r="AK415" s="401"/>
      <c r="AL415" s="401"/>
      <c r="AM415" s="401"/>
      <c r="AN415" s="401"/>
      <c r="AO415" s="401"/>
      <c r="AP415" s="401"/>
      <c r="AQ415" s="401"/>
      <c r="AR415" s="401"/>
      <c r="AS415" s="401">
        <v>0</v>
      </c>
      <c r="AT415" s="401"/>
      <c r="AU415" s="401"/>
      <c r="AV415" s="401">
        <v>0</v>
      </c>
      <c r="AW415" s="401"/>
      <c r="AX415" s="401"/>
      <c r="AY415" s="680">
        <f>0+2296502</f>
        <v>2296502</v>
      </c>
      <c r="AZ415" s="401"/>
      <c r="BA415" s="401"/>
      <c r="BB415" s="401"/>
      <c r="BC415" s="401"/>
      <c r="BD415" s="401"/>
      <c r="BE415" s="401">
        <v>0</v>
      </c>
      <c r="BF415" s="401"/>
      <c r="BG415" s="401"/>
      <c r="BH415" s="401">
        <v>0</v>
      </c>
      <c r="BI415" s="401"/>
      <c r="BJ415" s="401"/>
      <c r="BK415" s="672">
        <f>20000000+74000000-64000000</f>
        <v>30000000</v>
      </c>
      <c r="BL415" s="402"/>
      <c r="BM415" s="402"/>
      <c r="BN415" s="415"/>
      <c r="BO415" s="415"/>
      <c r="BP415" s="415"/>
      <c r="BQ415" s="401">
        <v>0</v>
      </c>
      <c r="BR415" s="403"/>
      <c r="BS415" s="403"/>
      <c r="BT415" s="403"/>
      <c r="BU415" s="403"/>
      <c r="BV415" s="403"/>
      <c r="BW415" s="403"/>
      <c r="BX415" s="403"/>
      <c r="BY415" s="403"/>
      <c r="BZ415" s="401">
        <f t="shared" si="173"/>
        <v>32296502</v>
      </c>
      <c r="CA415" s="401">
        <f t="shared" si="173"/>
        <v>0</v>
      </c>
      <c r="CB415" s="401">
        <f t="shared" si="173"/>
        <v>0</v>
      </c>
    </row>
    <row r="416" spans="1:80" ht="69" customHeight="1" x14ac:dyDescent="0.2">
      <c r="A416" s="42"/>
      <c r="B416" s="205"/>
      <c r="C416" s="702"/>
      <c r="D416" s="708"/>
      <c r="E416" s="716"/>
      <c r="F416" s="716"/>
      <c r="G416" s="53"/>
      <c r="H416" s="57">
        <v>92</v>
      </c>
      <c r="I416" s="729" t="s">
        <v>540</v>
      </c>
      <c r="J416" s="169">
        <v>0</v>
      </c>
      <c r="K416" s="190">
        <v>2</v>
      </c>
      <c r="L416" s="190">
        <v>4</v>
      </c>
      <c r="M416" s="886"/>
      <c r="N416" s="916"/>
      <c r="O416" s="898"/>
      <c r="P416" s="892"/>
      <c r="Q416" s="57" t="s">
        <v>67</v>
      </c>
      <c r="R416" s="401"/>
      <c r="S416" s="401"/>
      <c r="T416" s="401"/>
      <c r="U416" s="401"/>
      <c r="V416" s="401"/>
      <c r="W416" s="401"/>
      <c r="X416" s="401"/>
      <c r="Y416" s="401"/>
      <c r="Z416" s="401"/>
      <c r="AA416" s="401"/>
      <c r="AB416" s="401"/>
      <c r="AC416" s="401"/>
      <c r="AD416" s="401"/>
      <c r="AE416" s="401"/>
      <c r="AF416" s="401"/>
      <c r="AG416" s="401"/>
      <c r="AH416" s="401"/>
      <c r="AI416" s="401"/>
      <c r="AJ416" s="401"/>
      <c r="AK416" s="401"/>
      <c r="AL416" s="401"/>
      <c r="AM416" s="401"/>
      <c r="AN416" s="401"/>
      <c r="AO416" s="401"/>
      <c r="AP416" s="401"/>
      <c r="AQ416" s="401"/>
      <c r="AR416" s="401"/>
      <c r="AS416" s="401"/>
      <c r="AT416" s="401"/>
      <c r="AU416" s="401"/>
      <c r="AV416" s="401"/>
      <c r="AW416" s="401"/>
      <c r="AX416" s="401"/>
      <c r="AY416" s="401"/>
      <c r="AZ416" s="401"/>
      <c r="BA416" s="401"/>
      <c r="BB416" s="401"/>
      <c r="BC416" s="401"/>
      <c r="BD416" s="401"/>
      <c r="BE416" s="401"/>
      <c r="BF416" s="401"/>
      <c r="BG416" s="401"/>
      <c r="BH416" s="401"/>
      <c r="BI416" s="401"/>
      <c r="BJ416" s="401"/>
      <c r="BK416" s="672">
        <v>30050000</v>
      </c>
      <c r="BL416" s="402">
        <v>30048480</v>
      </c>
      <c r="BM416" s="402"/>
      <c r="BN416" s="415"/>
      <c r="BO416" s="415"/>
      <c r="BP416" s="415"/>
      <c r="BQ416" s="401"/>
      <c r="BR416" s="403"/>
      <c r="BS416" s="403"/>
      <c r="BT416" s="403"/>
      <c r="BU416" s="403"/>
      <c r="BV416" s="403"/>
      <c r="BW416" s="403"/>
      <c r="BX416" s="403"/>
      <c r="BY416" s="403"/>
      <c r="BZ416" s="401">
        <f t="shared" si="173"/>
        <v>30050000</v>
      </c>
      <c r="CA416" s="401">
        <f t="shared" si="173"/>
        <v>30048480</v>
      </c>
      <c r="CB416" s="401">
        <f t="shared" si="173"/>
        <v>0</v>
      </c>
    </row>
    <row r="417" spans="1:80" ht="30" customHeight="1" x14ac:dyDescent="0.2">
      <c r="A417" s="42"/>
      <c r="B417" s="205"/>
      <c r="C417" s="714"/>
      <c r="D417" s="709"/>
      <c r="E417" s="714"/>
      <c r="F417" s="714"/>
      <c r="G417" s="275"/>
      <c r="H417" s="59"/>
      <c r="I417" s="58"/>
      <c r="J417" s="191"/>
      <c r="K417" s="196"/>
      <c r="L417" s="293"/>
      <c r="M417" s="196"/>
      <c r="N417" s="196"/>
      <c r="O417" s="59"/>
      <c r="P417" s="58"/>
      <c r="Q417" s="59"/>
      <c r="R417" s="410">
        <f t="shared" ref="R417:BY417" si="174">SUM(R407:R416)</f>
        <v>0</v>
      </c>
      <c r="S417" s="410">
        <f t="shared" si="174"/>
        <v>0</v>
      </c>
      <c r="T417" s="410">
        <f t="shared" si="174"/>
        <v>0</v>
      </c>
      <c r="U417" s="410">
        <f t="shared" si="174"/>
        <v>0</v>
      </c>
      <c r="V417" s="410">
        <f t="shared" si="174"/>
        <v>0</v>
      </c>
      <c r="W417" s="410">
        <f t="shared" si="174"/>
        <v>0</v>
      </c>
      <c r="X417" s="410">
        <f t="shared" si="174"/>
        <v>0</v>
      </c>
      <c r="Y417" s="410">
        <f t="shared" si="174"/>
        <v>0</v>
      </c>
      <c r="Z417" s="410">
        <f t="shared" si="174"/>
        <v>0</v>
      </c>
      <c r="AA417" s="410">
        <f t="shared" si="174"/>
        <v>0</v>
      </c>
      <c r="AB417" s="410">
        <f t="shared" si="174"/>
        <v>0</v>
      </c>
      <c r="AC417" s="410">
        <f t="shared" si="174"/>
        <v>0</v>
      </c>
      <c r="AD417" s="410">
        <f t="shared" si="174"/>
        <v>0</v>
      </c>
      <c r="AE417" s="410">
        <f t="shared" si="174"/>
        <v>0</v>
      </c>
      <c r="AF417" s="410">
        <f t="shared" si="174"/>
        <v>0</v>
      </c>
      <c r="AG417" s="410">
        <f t="shared" si="174"/>
        <v>0</v>
      </c>
      <c r="AH417" s="410">
        <f t="shared" si="174"/>
        <v>0</v>
      </c>
      <c r="AI417" s="410">
        <f t="shared" si="174"/>
        <v>0</v>
      </c>
      <c r="AJ417" s="410">
        <f t="shared" si="174"/>
        <v>0</v>
      </c>
      <c r="AK417" s="410">
        <f t="shared" si="174"/>
        <v>0</v>
      </c>
      <c r="AL417" s="410">
        <f t="shared" si="174"/>
        <v>0</v>
      </c>
      <c r="AM417" s="410">
        <f t="shared" si="174"/>
        <v>0</v>
      </c>
      <c r="AN417" s="410">
        <f t="shared" si="174"/>
        <v>0</v>
      </c>
      <c r="AO417" s="410">
        <f t="shared" si="174"/>
        <v>0</v>
      </c>
      <c r="AP417" s="410">
        <f t="shared" si="174"/>
        <v>0</v>
      </c>
      <c r="AQ417" s="410">
        <f t="shared" si="174"/>
        <v>0</v>
      </c>
      <c r="AR417" s="410">
        <f t="shared" si="174"/>
        <v>0</v>
      </c>
      <c r="AS417" s="410">
        <f t="shared" si="174"/>
        <v>0</v>
      </c>
      <c r="AT417" s="410">
        <f t="shared" si="174"/>
        <v>0</v>
      </c>
      <c r="AU417" s="410">
        <f t="shared" si="174"/>
        <v>0</v>
      </c>
      <c r="AV417" s="410">
        <f t="shared" si="174"/>
        <v>0</v>
      </c>
      <c r="AW417" s="410">
        <f t="shared" si="174"/>
        <v>0</v>
      </c>
      <c r="AX417" s="410">
        <f t="shared" si="174"/>
        <v>0</v>
      </c>
      <c r="AY417" s="410">
        <f t="shared" si="174"/>
        <v>2296502</v>
      </c>
      <c r="AZ417" s="410">
        <f t="shared" si="174"/>
        <v>0</v>
      </c>
      <c r="BA417" s="410">
        <f t="shared" si="174"/>
        <v>0</v>
      </c>
      <c r="BB417" s="410">
        <f t="shared" si="174"/>
        <v>0</v>
      </c>
      <c r="BC417" s="410">
        <f t="shared" si="174"/>
        <v>0</v>
      </c>
      <c r="BD417" s="410">
        <f t="shared" si="174"/>
        <v>0</v>
      </c>
      <c r="BE417" s="410">
        <f t="shared" si="174"/>
        <v>0</v>
      </c>
      <c r="BF417" s="410">
        <f t="shared" si="174"/>
        <v>0</v>
      </c>
      <c r="BG417" s="410">
        <f t="shared" si="174"/>
        <v>0</v>
      </c>
      <c r="BH417" s="410">
        <f t="shared" si="174"/>
        <v>0</v>
      </c>
      <c r="BI417" s="410">
        <f t="shared" si="174"/>
        <v>0</v>
      </c>
      <c r="BJ417" s="410">
        <f t="shared" si="174"/>
        <v>0</v>
      </c>
      <c r="BK417" s="410">
        <f t="shared" si="174"/>
        <v>331200000</v>
      </c>
      <c r="BL417" s="410">
        <f t="shared" si="174"/>
        <v>210819412</v>
      </c>
      <c r="BM417" s="410">
        <f t="shared" si="174"/>
        <v>154070932</v>
      </c>
      <c r="BN417" s="410">
        <f t="shared" si="174"/>
        <v>0</v>
      </c>
      <c r="BO417" s="410">
        <f t="shared" si="174"/>
        <v>0</v>
      </c>
      <c r="BP417" s="410">
        <f t="shared" si="174"/>
        <v>0</v>
      </c>
      <c r="BQ417" s="410">
        <f t="shared" si="174"/>
        <v>0</v>
      </c>
      <c r="BR417" s="410">
        <f t="shared" si="174"/>
        <v>0</v>
      </c>
      <c r="BS417" s="410">
        <f t="shared" si="174"/>
        <v>0</v>
      </c>
      <c r="BT417" s="410">
        <f t="shared" si="174"/>
        <v>0</v>
      </c>
      <c r="BU417" s="410">
        <f t="shared" si="174"/>
        <v>0</v>
      </c>
      <c r="BV417" s="410">
        <f t="shared" si="174"/>
        <v>0</v>
      </c>
      <c r="BW417" s="410">
        <f t="shared" si="174"/>
        <v>0</v>
      </c>
      <c r="BX417" s="410">
        <f t="shared" si="174"/>
        <v>0</v>
      </c>
      <c r="BY417" s="410">
        <f t="shared" si="174"/>
        <v>0</v>
      </c>
      <c r="BZ417" s="410">
        <f t="shared" ref="BZ417:CB417" si="175">SUM(BZ407:BZ416)</f>
        <v>333496502</v>
      </c>
      <c r="CA417" s="410">
        <f t="shared" si="175"/>
        <v>210819412</v>
      </c>
      <c r="CB417" s="410">
        <f t="shared" si="175"/>
        <v>154070932</v>
      </c>
    </row>
    <row r="418" spans="1:80" ht="30" customHeight="1" x14ac:dyDescent="0.2">
      <c r="A418" s="42"/>
      <c r="B418" s="42"/>
      <c r="C418" s="150"/>
      <c r="D418" s="72"/>
      <c r="E418" s="264"/>
      <c r="F418" s="264"/>
      <c r="G418" s="72"/>
      <c r="H418" s="150"/>
      <c r="I418" s="72"/>
      <c r="J418" s="73"/>
      <c r="K418" s="197"/>
      <c r="L418" s="278"/>
      <c r="M418" s="206"/>
      <c r="N418" s="119"/>
      <c r="O418" s="400"/>
      <c r="P418" s="101"/>
      <c r="Q418" s="150"/>
      <c r="R418" s="405"/>
      <c r="S418" s="405"/>
      <c r="T418" s="405"/>
      <c r="U418" s="406"/>
      <c r="V418" s="406"/>
      <c r="W418" s="406"/>
      <c r="X418" s="405"/>
      <c r="Y418" s="405"/>
      <c r="Z418" s="405"/>
      <c r="AA418" s="405"/>
      <c r="AB418" s="405"/>
      <c r="AC418" s="405"/>
      <c r="AD418" s="405"/>
      <c r="AE418" s="405"/>
      <c r="AF418" s="405"/>
      <c r="AG418" s="405"/>
      <c r="AH418" s="405"/>
      <c r="AI418" s="405"/>
      <c r="AJ418" s="405"/>
      <c r="AK418" s="405"/>
      <c r="AL418" s="405"/>
      <c r="AM418" s="405"/>
      <c r="AN418" s="405"/>
      <c r="AO418" s="405"/>
      <c r="AP418" s="405"/>
      <c r="AQ418" s="405"/>
      <c r="AR418" s="405"/>
      <c r="AS418" s="405"/>
      <c r="AT418" s="405"/>
      <c r="AU418" s="405"/>
      <c r="AV418" s="405"/>
      <c r="AW418" s="405"/>
      <c r="AX418" s="405"/>
      <c r="AY418" s="405"/>
      <c r="AZ418" s="405"/>
      <c r="BA418" s="405"/>
      <c r="BB418" s="405"/>
      <c r="BC418" s="405"/>
      <c r="BD418" s="405"/>
      <c r="BE418" s="405"/>
      <c r="BF418" s="405"/>
      <c r="BG418" s="405"/>
      <c r="BH418" s="405"/>
      <c r="BI418" s="791"/>
      <c r="BJ418" s="791"/>
      <c r="BK418" s="801"/>
      <c r="BL418" s="801"/>
      <c r="BM418" s="801"/>
      <c r="BN418" s="405"/>
      <c r="BO418" s="405"/>
      <c r="BP418" s="405"/>
      <c r="BQ418" s="405"/>
      <c r="BR418" s="405"/>
      <c r="BS418" s="405"/>
      <c r="BT418" s="405"/>
      <c r="BU418" s="405"/>
      <c r="BV418" s="405"/>
      <c r="BW418" s="405"/>
      <c r="BX418" s="405"/>
      <c r="BY418" s="405"/>
      <c r="BZ418" s="409"/>
      <c r="CA418" s="409"/>
      <c r="CB418" s="409"/>
    </row>
    <row r="419" spans="1:80" ht="30" customHeight="1" x14ac:dyDescent="0.2">
      <c r="A419" s="42"/>
      <c r="B419" s="42"/>
      <c r="C419" s="713"/>
      <c r="D419" s="707"/>
      <c r="E419" s="713"/>
      <c r="F419" s="713"/>
      <c r="G419" s="140">
        <v>21</v>
      </c>
      <c r="H419" s="172" t="s">
        <v>541</v>
      </c>
      <c r="I419" s="80"/>
      <c r="J419" s="80"/>
      <c r="K419" s="153"/>
      <c r="L419" s="221"/>
      <c r="M419" s="153"/>
      <c r="N419" s="173"/>
      <c r="O419" s="173"/>
      <c r="P419" s="80"/>
      <c r="Q419" s="80"/>
      <c r="R419" s="267"/>
      <c r="S419" s="267"/>
      <c r="T419" s="267"/>
      <c r="U419" s="267"/>
      <c r="V419" s="267"/>
      <c r="W419" s="267"/>
      <c r="X419" s="267"/>
      <c r="Y419" s="267"/>
      <c r="Z419" s="267"/>
      <c r="AA419" s="267"/>
      <c r="AB419" s="267"/>
      <c r="AC419" s="267"/>
      <c r="AD419" s="267"/>
      <c r="AE419" s="267"/>
      <c r="AF419" s="267"/>
      <c r="AG419" s="267"/>
      <c r="AH419" s="267"/>
      <c r="AI419" s="267"/>
      <c r="AJ419" s="267"/>
      <c r="AK419" s="267"/>
      <c r="AL419" s="267"/>
      <c r="AM419" s="267"/>
      <c r="AN419" s="267"/>
      <c r="AO419" s="267"/>
      <c r="AP419" s="267"/>
      <c r="AQ419" s="267"/>
      <c r="AR419" s="267"/>
      <c r="AS419" s="267"/>
      <c r="AT419" s="267"/>
      <c r="AU419" s="267"/>
      <c r="AV419" s="267"/>
      <c r="AW419" s="267"/>
      <c r="AX419" s="267"/>
      <c r="AY419" s="267"/>
      <c r="AZ419" s="267"/>
      <c r="BA419" s="267"/>
      <c r="BB419" s="267"/>
      <c r="BC419" s="267"/>
      <c r="BD419" s="267"/>
      <c r="BE419" s="267"/>
      <c r="BF419" s="267"/>
      <c r="BG419" s="267"/>
      <c r="BH419" s="267"/>
      <c r="BI419" s="267"/>
      <c r="BJ419" s="267"/>
      <c r="BK419" s="414"/>
      <c r="BL419" s="414"/>
      <c r="BM419" s="414"/>
      <c r="BN419" s="267"/>
      <c r="BO419" s="267"/>
      <c r="BP419" s="267"/>
      <c r="BQ419" s="267"/>
      <c r="BR419" s="267"/>
      <c r="BS419" s="267"/>
      <c r="BT419" s="267"/>
      <c r="BU419" s="267"/>
      <c r="BV419" s="267"/>
      <c r="BW419" s="267"/>
      <c r="BX419" s="267"/>
      <c r="BY419" s="267"/>
      <c r="BZ419" s="269"/>
      <c r="CA419" s="269"/>
      <c r="CB419" s="269"/>
    </row>
    <row r="420" spans="1:80" ht="84.75" customHeight="1" x14ac:dyDescent="0.2">
      <c r="A420" s="42"/>
      <c r="B420" s="205"/>
      <c r="C420" s="702">
        <v>14</v>
      </c>
      <c r="D420" s="49" t="s">
        <v>492</v>
      </c>
      <c r="E420" s="716">
        <v>6.2E-2</v>
      </c>
      <c r="F420" s="716">
        <v>0.03</v>
      </c>
      <c r="G420" s="165"/>
      <c r="H420" s="57">
        <v>93</v>
      </c>
      <c r="I420" s="729" t="s">
        <v>542</v>
      </c>
      <c r="J420" s="169" t="s">
        <v>43</v>
      </c>
      <c r="K420" s="190">
        <v>32</v>
      </c>
      <c r="L420" s="190">
        <v>20</v>
      </c>
      <c r="M420" s="884">
        <v>2017003630038</v>
      </c>
      <c r="N420" s="915" t="s">
        <v>485</v>
      </c>
      <c r="O420" s="895" t="s">
        <v>543</v>
      </c>
      <c r="P420" s="890" t="s">
        <v>990</v>
      </c>
      <c r="Q420" s="57" t="s">
        <v>67</v>
      </c>
      <c r="R420" s="401">
        <v>0</v>
      </c>
      <c r="S420" s="401"/>
      <c r="T420" s="401"/>
      <c r="U420" s="428">
        <v>0</v>
      </c>
      <c r="V420" s="428"/>
      <c r="W420" s="428"/>
      <c r="X420" s="401">
        <v>0</v>
      </c>
      <c r="Y420" s="401"/>
      <c r="Z420" s="401"/>
      <c r="AA420" s="401">
        <v>0</v>
      </c>
      <c r="AB420" s="401"/>
      <c r="AC420" s="401"/>
      <c r="AD420" s="401">
        <v>0</v>
      </c>
      <c r="AE420" s="401"/>
      <c r="AF420" s="401"/>
      <c r="AG420" s="401">
        <v>0</v>
      </c>
      <c r="AH420" s="401"/>
      <c r="AI420" s="401"/>
      <c r="AJ420" s="401">
        <v>0</v>
      </c>
      <c r="AK420" s="401"/>
      <c r="AL420" s="401"/>
      <c r="AM420" s="401"/>
      <c r="AN420" s="401"/>
      <c r="AO420" s="401"/>
      <c r="AP420" s="401"/>
      <c r="AQ420" s="401"/>
      <c r="AR420" s="401"/>
      <c r="AS420" s="401">
        <v>0</v>
      </c>
      <c r="AT420" s="401"/>
      <c r="AU420" s="401"/>
      <c r="AV420" s="401">
        <v>0</v>
      </c>
      <c r="AW420" s="485"/>
      <c r="AX420" s="485"/>
      <c r="AY420" s="490"/>
      <c r="AZ420" s="490"/>
      <c r="BA420" s="490"/>
      <c r="BB420" s="485"/>
      <c r="BC420" s="485"/>
      <c r="BD420" s="485"/>
      <c r="BE420" s="401">
        <v>0</v>
      </c>
      <c r="BF420" s="401"/>
      <c r="BG420" s="401"/>
      <c r="BH420" s="401">
        <v>0</v>
      </c>
      <c r="BI420" s="401"/>
      <c r="BJ420" s="401"/>
      <c r="BK420" s="672">
        <f>59100000-8000000-30000000</f>
        <v>21100000</v>
      </c>
      <c r="BL420" s="402"/>
      <c r="BM420" s="402"/>
      <c r="BN420" s="415"/>
      <c r="BO420" s="415"/>
      <c r="BP420" s="415"/>
      <c r="BQ420" s="401">
        <v>0</v>
      </c>
      <c r="BR420" s="403"/>
      <c r="BS420" s="403"/>
      <c r="BT420" s="403"/>
      <c r="BU420" s="403"/>
      <c r="BV420" s="403"/>
      <c r="BW420" s="403"/>
      <c r="BX420" s="403"/>
      <c r="BY420" s="403"/>
      <c r="BZ420" s="401">
        <f t="shared" ref="BZ420:CB423" si="176">R420+U420+X420+AA420+AD420+AG420+AJ420+AM420+AP420+AS420+AV420+AY420+BB420+BE420+BH420+BK420+BN420+BQ420+BT420+BW420</f>
        <v>21100000</v>
      </c>
      <c r="CA420" s="401">
        <f t="shared" si="176"/>
        <v>0</v>
      </c>
      <c r="CB420" s="401">
        <f t="shared" si="176"/>
        <v>0</v>
      </c>
    </row>
    <row r="421" spans="1:80" ht="84.75" customHeight="1" x14ac:dyDescent="0.2">
      <c r="A421" s="42"/>
      <c r="B421" s="205"/>
      <c r="C421" s="702">
        <v>15</v>
      </c>
      <c r="D421" s="708" t="s">
        <v>483</v>
      </c>
      <c r="E421" s="716">
        <v>0.73229999999999995</v>
      </c>
      <c r="F421" s="716">
        <v>0.78</v>
      </c>
      <c r="G421" s="51"/>
      <c r="H421" s="57">
        <v>94</v>
      </c>
      <c r="I421" s="729" t="s">
        <v>545</v>
      </c>
      <c r="J421" s="169">
        <v>70</v>
      </c>
      <c r="K421" s="779">
        <v>55</v>
      </c>
      <c r="L421" s="190">
        <v>0</v>
      </c>
      <c r="M421" s="885"/>
      <c r="N421" s="919"/>
      <c r="O421" s="883"/>
      <c r="P421" s="891"/>
      <c r="Q421" s="57" t="s">
        <v>67</v>
      </c>
      <c r="R421" s="401">
        <v>0</v>
      </c>
      <c r="S421" s="401"/>
      <c r="T421" s="401"/>
      <c r="U421" s="428">
        <v>0</v>
      </c>
      <c r="V421" s="428"/>
      <c r="W421" s="428"/>
      <c r="X421" s="401">
        <v>0</v>
      </c>
      <c r="Y421" s="401"/>
      <c r="Z421" s="401"/>
      <c r="AA421" s="401">
        <v>0</v>
      </c>
      <c r="AB421" s="401"/>
      <c r="AC421" s="401"/>
      <c r="AD421" s="401">
        <v>0</v>
      </c>
      <c r="AE421" s="401"/>
      <c r="AF421" s="401"/>
      <c r="AG421" s="401">
        <v>0</v>
      </c>
      <c r="AH421" s="401"/>
      <c r="AI421" s="401"/>
      <c r="AJ421" s="401">
        <v>0</v>
      </c>
      <c r="AK421" s="401"/>
      <c r="AL421" s="401"/>
      <c r="AM421" s="401"/>
      <c r="AN421" s="401"/>
      <c r="AO421" s="401"/>
      <c r="AP421" s="401"/>
      <c r="AQ421" s="401"/>
      <c r="AR421" s="401"/>
      <c r="AS421" s="401">
        <v>0</v>
      </c>
      <c r="AT421" s="401"/>
      <c r="AU421" s="401"/>
      <c r="AV421" s="401">
        <v>0</v>
      </c>
      <c r="AW421" s="401"/>
      <c r="AX421" s="401"/>
      <c r="AY421" s="672">
        <f>50000000+177770022-80000000+80000000</f>
        <v>227770022</v>
      </c>
      <c r="AZ421" s="402"/>
      <c r="BA421" s="402"/>
      <c r="BB421" s="402"/>
      <c r="BC421" s="402"/>
      <c r="BD421" s="402"/>
      <c r="BE421" s="401">
        <v>0</v>
      </c>
      <c r="BF421" s="401"/>
      <c r="BG421" s="401"/>
      <c r="BH421" s="401">
        <v>0</v>
      </c>
      <c r="BI421" s="401"/>
      <c r="BJ421" s="401"/>
      <c r="BK421" s="672">
        <f>22000000+55000000+8000000</f>
        <v>85000000</v>
      </c>
      <c r="BL421" s="402"/>
      <c r="BM421" s="402"/>
      <c r="BN421" s="415"/>
      <c r="BO421" s="415"/>
      <c r="BP421" s="415"/>
      <c r="BQ421" s="401">
        <v>0</v>
      </c>
      <c r="BR421" s="403"/>
      <c r="BS421" s="403"/>
      <c r="BT421" s="403"/>
      <c r="BU421" s="403"/>
      <c r="BV421" s="403"/>
      <c r="BW421" s="403"/>
      <c r="BX421" s="403"/>
      <c r="BY421" s="403"/>
      <c r="BZ421" s="401">
        <f t="shared" si="176"/>
        <v>312770022</v>
      </c>
      <c r="CA421" s="401">
        <f t="shared" si="176"/>
        <v>0</v>
      </c>
      <c r="CB421" s="401">
        <f t="shared" si="176"/>
        <v>0</v>
      </c>
    </row>
    <row r="422" spans="1:80" ht="84.75" customHeight="1" x14ac:dyDescent="0.2">
      <c r="A422" s="42"/>
      <c r="B422" s="205"/>
      <c r="C422" s="702">
        <v>19</v>
      </c>
      <c r="D422" s="708" t="s">
        <v>488</v>
      </c>
      <c r="E422" s="716" t="s">
        <v>535</v>
      </c>
      <c r="F422" s="716" t="s">
        <v>546</v>
      </c>
      <c r="G422" s="51"/>
      <c r="H422" s="57">
        <v>95</v>
      </c>
      <c r="I422" s="729" t="s">
        <v>547</v>
      </c>
      <c r="J422" s="169">
        <v>0</v>
      </c>
      <c r="K422" s="190">
        <v>500</v>
      </c>
      <c r="L422" s="190">
        <v>171</v>
      </c>
      <c r="M422" s="885"/>
      <c r="N422" s="919"/>
      <c r="O422" s="883"/>
      <c r="P422" s="891"/>
      <c r="Q422" s="57" t="s">
        <v>52</v>
      </c>
      <c r="R422" s="401">
        <v>0</v>
      </c>
      <c r="S422" s="401"/>
      <c r="T422" s="401"/>
      <c r="U422" s="428">
        <v>0</v>
      </c>
      <c r="V422" s="428"/>
      <c r="W422" s="428"/>
      <c r="X422" s="401">
        <v>0</v>
      </c>
      <c r="Y422" s="401"/>
      <c r="Z422" s="401"/>
      <c r="AA422" s="401">
        <v>0</v>
      </c>
      <c r="AB422" s="401"/>
      <c r="AC422" s="401"/>
      <c r="AD422" s="401">
        <v>0</v>
      </c>
      <c r="AE422" s="401"/>
      <c r="AF422" s="401"/>
      <c r="AG422" s="401">
        <v>0</v>
      </c>
      <c r="AH422" s="401"/>
      <c r="AI422" s="401"/>
      <c r="AJ422" s="401">
        <v>0</v>
      </c>
      <c r="AK422" s="401"/>
      <c r="AL422" s="401"/>
      <c r="AM422" s="401"/>
      <c r="AN422" s="401"/>
      <c r="AO422" s="401"/>
      <c r="AP422" s="401"/>
      <c r="AQ422" s="401"/>
      <c r="AR422" s="401"/>
      <c r="AS422" s="401">
        <v>0</v>
      </c>
      <c r="AT422" s="401"/>
      <c r="AU422" s="401"/>
      <c r="AV422" s="401">
        <v>0</v>
      </c>
      <c r="AW422" s="401"/>
      <c r="AX422" s="401"/>
      <c r="AY422" s="672">
        <f>10000000-10000000</f>
        <v>0</v>
      </c>
      <c r="AZ422" s="491"/>
      <c r="BA422" s="491"/>
      <c r="BB422" s="402"/>
      <c r="BC422" s="402"/>
      <c r="BD422" s="402"/>
      <c r="BE422" s="401">
        <v>0</v>
      </c>
      <c r="BF422" s="401"/>
      <c r="BG422" s="401"/>
      <c r="BH422" s="401">
        <v>0</v>
      </c>
      <c r="BI422" s="403"/>
      <c r="BJ422" s="403"/>
      <c r="BK422" s="685"/>
      <c r="BL422" s="492"/>
      <c r="BM422" s="492"/>
      <c r="BN422" s="415"/>
      <c r="BO422" s="415"/>
      <c r="BP422" s="415"/>
      <c r="BQ422" s="401">
        <v>0</v>
      </c>
      <c r="BR422" s="403"/>
      <c r="BS422" s="403"/>
      <c r="BT422" s="403"/>
      <c r="BU422" s="403"/>
      <c r="BV422" s="403"/>
      <c r="BW422" s="403"/>
      <c r="BX422" s="403"/>
      <c r="BY422" s="403"/>
      <c r="BZ422" s="401">
        <f t="shared" si="176"/>
        <v>0</v>
      </c>
      <c r="CA422" s="401">
        <f t="shared" si="176"/>
        <v>0</v>
      </c>
      <c r="CB422" s="401">
        <f t="shared" si="176"/>
        <v>0</v>
      </c>
    </row>
    <row r="423" spans="1:80" ht="84.75" customHeight="1" x14ac:dyDescent="0.2">
      <c r="A423" s="42"/>
      <c r="B423" s="205"/>
      <c r="C423" s="702"/>
      <c r="D423" s="49"/>
      <c r="E423" s="49"/>
      <c r="F423" s="545"/>
      <c r="G423" s="53"/>
      <c r="H423" s="57">
        <v>96</v>
      </c>
      <c r="I423" s="729" t="s">
        <v>548</v>
      </c>
      <c r="J423" s="169">
        <v>0</v>
      </c>
      <c r="K423" s="190">
        <v>2</v>
      </c>
      <c r="L423" s="190">
        <v>0</v>
      </c>
      <c r="M423" s="886"/>
      <c r="N423" s="916"/>
      <c r="O423" s="898"/>
      <c r="P423" s="892"/>
      <c r="Q423" s="57" t="s">
        <v>67</v>
      </c>
      <c r="R423" s="401">
        <v>0</v>
      </c>
      <c r="S423" s="401"/>
      <c r="T423" s="401"/>
      <c r="U423" s="428">
        <v>0</v>
      </c>
      <c r="V423" s="428"/>
      <c r="W423" s="428"/>
      <c r="X423" s="401">
        <v>0</v>
      </c>
      <c r="Y423" s="401"/>
      <c r="Z423" s="401"/>
      <c r="AA423" s="401">
        <v>0</v>
      </c>
      <c r="AB423" s="401"/>
      <c r="AC423" s="401"/>
      <c r="AD423" s="401">
        <v>0</v>
      </c>
      <c r="AE423" s="401"/>
      <c r="AF423" s="401"/>
      <c r="AG423" s="401">
        <v>0</v>
      </c>
      <c r="AH423" s="401"/>
      <c r="AI423" s="401"/>
      <c r="AJ423" s="401">
        <v>0</v>
      </c>
      <c r="AK423" s="401"/>
      <c r="AL423" s="401"/>
      <c r="AM423" s="401"/>
      <c r="AN423" s="401"/>
      <c r="AO423" s="401"/>
      <c r="AP423" s="401"/>
      <c r="AQ423" s="401"/>
      <c r="AR423" s="401"/>
      <c r="AS423" s="401">
        <v>0</v>
      </c>
      <c r="AT423" s="401"/>
      <c r="AU423" s="401"/>
      <c r="AV423" s="401">
        <v>0</v>
      </c>
      <c r="AW423" s="401"/>
      <c r="AX423" s="401"/>
      <c r="AY423" s="672">
        <f>20000000+10000000</f>
        <v>30000000</v>
      </c>
      <c r="AZ423" s="491"/>
      <c r="BA423" s="491"/>
      <c r="BB423" s="402"/>
      <c r="BC423" s="402"/>
      <c r="BD423" s="402"/>
      <c r="BE423" s="401">
        <v>0</v>
      </c>
      <c r="BF423" s="401"/>
      <c r="BG423" s="401"/>
      <c r="BH423" s="401">
        <v>0</v>
      </c>
      <c r="BI423" s="403"/>
      <c r="BJ423" s="403"/>
      <c r="BK423" s="685">
        <f>0+30000000</f>
        <v>30000000</v>
      </c>
      <c r="BL423" s="492"/>
      <c r="BM423" s="492"/>
      <c r="BN423" s="415"/>
      <c r="BO423" s="415"/>
      <c r="BP423" s="415"/>
      <c r="BQ423" s="401">
        <v>0</v>
      </c>
      <c r="BR423" s="403"/>
      <c r="BS423" s="403"/>
      <c r="BT423" s="403"/>
      <c r="BU423" s="403"/>
      <c r="BV423" s="403"/>
      <c r="BW423" s="403"/>
      <c r="BX423" s="403"/>
      <c r="BY423" s="403"/>
      <c r="BZ423" s="401">
        <f t="shared" si="176"/>
        <v>60000000</v>
      </c>
      <c r="CA423" s="401">
        <f t="shared" si="176"/>
        <v>0</v>
      </c>
      <c r="CB423" s="401">
        <f t="shared" si="176"/>
        <v>0</v>
      </c>
    </row>
    <row r="424" spans="1:80" ht="30" customHeight="1" x14ac:dyDescent="0.2">
      <c r="A424" s="42"/>
      <c r="B424" s="42"/>
      <c r="C424" s="714"/>
      <c r="D424" s="709"/>
      <c r="E424" s="714"/>
      <c r="F424" s="714"/>
      <c r="G424" s="58"/>
      <c r="H424" s="59"/>
      <c r="I424" s="58"/>
      <c r="J424" s="191"/>
      <c r="K424" s="196"/>
      <c r="L424" s="293"/>
      <c r="M424" s="196"/>
      <c r="N424" s="196"/>
      <c r="O424" s="59"/>
      <c r="P424" s="58"/>
      <c r="Q424" s="59"/>
      <c r="R424" s="410">
        <f t="shared" ref="R424:BZ424" si="177">SUM(R420:R423)</f>
        <v>0</v>
      </c>
      <c r="S424" s="410">
        <f t="shared" si="177"/>
        <v>0</v>
      </c>
      <c r="T424" s="410">
        <f t="shared" si="177"/>
        <v>0</v>
      </c>
      <c r="U424" s="410">
        <f t="shared" si="177"/>
        <v>0</v>
      </c>
      <c r="V424" s="410">
        <f t="shared" si="177"/>
        <v>0</v>
      </c>
      <c r="W424" s="410">
        <f t="shared" si="177"/>
        <v>0</v>
      </c>
      <c r="X424" s="410">
        <f t="shared" si="177"/>
        <v>0</v>
      </c>
      <c r="Y424" s="410">
        <f t="shared" si="177"/>
        <v>0</v>
      </c>
      <c r="Z424" s="410">
        <f t="shared" si="177"/>
        <v>0</v>
      </c>
      <c r="AA424" s="410">
        <f t="shared" si="177"/>
        <v>0</v>
      </c>
      <c r="AB424" s="410">
        <f t="shared" si="177"/>
        <v>0</v>
      </c>
      <c r="AC424" s="410">
        <f t="shared" si="177"/>
        <v>0</v>
      </c>
      <c r="AD424" s="410">
        <f t="shared" si="177"/>
        <v>0</v>
      </c>
      <c r="AE424" s="410">
        <f t="shared" si="177"/>
        <v>0</v>
      </c>
      <c r="AF424" s="410">
        <f t="shared" si="177"/>
        <v>0</v>
      </c>
      <c r="AG424" s="410">
        <f t="shared" si="177"/>
        <v>0</v>
      </c>
      <c r="AH424" s="410">
        <f t="shared" si="177"/>
        <v>0</v>
      </c>
      <c r="AI424" s="410">
        <f t="shared" si="177"/>
        <v>0</v>
      </c>
      <c r="AJ424" s="410">
        <f t="shared" si="177"/>
        <v>0</v>
      </c>
      <c r="AK424" s="410">
        <f t="shared" si="177"/>
        <v>0</v>
      </c>
      <c r="AL424" s="410">
        <f t="shared" si="177"/>
        <v>0</v>
      </c>
      <c r="AM424" s="410">
        <f t="shared" si="177"/>
        <v>0</v>
      </c>
      <c r="AN424" s="410">
        <f t="shared" si="177"/>
        <v>0</v>
      </c>
      <c r="AO424" s="410">
        <f t="shared" si="177"/>
        <v>0</v>
      </c>
      <c r="AP424" s="410">
        <f t="shared" si="177"/>
        <v>0</v>
      </c>
      <c r="AQ424" s="410">
        <f t="shared" si="177"/>
        <v>0</v>
      </c>
      <c r="AR424" s="410">
        <f t="shared" si="177"/>
        <v>0</v>
      </c>
      <c r="AS424" s="410">
        <f t="shared" si="177"/>
        <v>0</v>
      </c>
      <c r="AT424" s="410">
        <f t="shared" si="177"/>
        <v>0</v>
      </c>
      <c r="AU424" s="410">
        <f t="shared" si="177"/>
        <v>0</v>
      </c>
      <c r="AV424" s="410">
        <f t="shared" si="177"/>
        <v>0</v>
      </c>
      <c r="AW424" s="410">
        <f t="shared" si="177"/>
        <v>0</v>
      </c>
      <c r="AX424" s="410">
        <f t="shared" si="177"/>
        <v>0</v>
      </c>
      <c r="AY424" s="410">
        <f t="shared" si="177"/>
        <v>257770022</v>
      </c>
      <c r="AZ424" s="410">
        <f t="shared" si="177"/>
        <v>0</v>
      </c>
      <c r="BA424" s="410">
        <f t="shared" si="177"/>
        <v>0</v>
      </c>
      <c r="BB424" s="410">
        <f t="shared" si="177"/>
        <v>0</v>
      </c>
      <c r="BC424" s="410">
        <f t="shared" si="177"/>
        <v>0</v>
      </c>
      <c r="BD424" s="410">
        <f t="shared" si="177"/>
        <v>0</v>
      </c>
      <c r="BE424" s="410">
        <f t="shared" si="177"/>
        <v>0</v>
      </c>
      <c r="BF424" s="410">
        <f t="shared" si="177"/>
        <v>0</v>
      </c>
      <c r="BG424" s="410">
        <f t="shared" si="177"/>
        <v>0</v>
      </c>
      <c r="BH424" s="410">
        <f t="shared" si="177"/>
        <v>0</v>
      </c>
      <c r="BI424" s="410">
        <f t="shared" si="177"/>
        <v>0</v>
      </c>
      <c r="BJ424" s="410">
        <f t="shared" si="177"/>
        <v>0</v>
      </c>
      <c r="BK424" s="410">
        <f t="shared" si="177"/>
        <v>136100000</v>
      </c>
      <c r="BL424" s="410">
        <f t="shared" si="177"/>
        <v>0</v>
      </c>
      <c r="BM424" s="410">
        <f t="shared" si="177"/>
        <v>0</v>
      </c>
      <c r="BN424" s="410">
        <f t="shared" si="177"/>
        <v>0</v>
      </c>
      <c r="BO424" s="410">
        <f t="shared" si="177"/>
        <v>0</v>
      </c>
      <c r="BP424" s="410">
        <f t="shared" si="177"/>
        <v>0</v>
      </c>
      <c r="BQ424" s="410">
        <f t="shared" si="177"/>
        <v>0</v>
      </c>
      <c r="BR424" s="410">
        <f t="shared" si="177"/>
        <v>0</v>
      </c>
      <c r="BS424" s="410">
        <f t="shared" si="177"/>
        <v>0</v>
      </c>
      <c r="BT424" s="410">
        <f t="shared" si="177"/>
        <v>0</v>
      </c>
      <c r="BU424" s="410">
        <f t="shared" si="177"/>
        <v>0</v>
      </c>
      <c r="BV424" s="410">
        <f t="shared" si="177"/>
        <v>0</v>
      </c>
      <c r="BW424" s="410">
        <f t="shared" si="177"/>
        <v>0</v>
      </c>
      <c r="BX424" s="410">
        <f t="shared" si="177"/>
        <v>0</v>
      </c>
      <c r="BY424" s="410">
        <f t="shared" si="177"/>
        <v>0</v>
      </c>
      <c r="BZ424" s="410">
        <f t="shared" si="177"/>
        <v>393870022</v>
      </c>
      <c r="CA424" s="410">
        <f t="shared" ref="CA424:CB424" si="178">SUM(CA420:CA423)</f>
        <v>0</v>
      </c>
      <c r="CB424" s="410">
        <f t="shared" si="178"/>
        <v>0</v>
      </c>
    </row>
    <row r="425" spans="1:80" ht="30" customHeight="1" x14ac:dyDescent="0.2">
      <c r="A425" s="42"/>
      <c r="B425" s="42"/>
      <c r="C425" s="150"/>
      <c r="D425" s="72"/>
      <c r="E425" s="264"/>
      <c r="F425" s="264"/>
      <c r="G425" s="72"/>
      <c r="H425" s="150"/>
      <c r="I425" s="72"/>
      <c r="J425" s="73"/>
      <c r="K425" s="197"/>
      <c r="L425" s="278"/>
      <c r="M425" s="206"/>
      <c r="N425" s="119"/>
      <c r="O425" s="400"/>
      <c r="P425" s="101"/>
      <c r="Q425" s="150"/>
      <c r="R425" s="405"/>
      <c r="S425" s="405"/>
      <c r="T425" s="405"/>
      <c r="U425" s="406"/>
      <c r="V425" s="406"/>
      <c r="W425" s="406"/>
      <c r="X425" s="405"/>
      <c r="Y425" s="405"/>
      <c r="Z425" s="405"/>
      <c r="AA425" s="405"/>
      <c r="AB425" s="405"/>
      <c r="AC425" s="405"/>
      <c r="AD425" s="405"/>
      <c r="AE425" s="405"/>
      <c r="AF425" s="405"/>
      <c r="AG425" s="405"/>
      <c r="AH425" s="405"/>
      <c r="AI425" s="405"/>
      <c r="AJ425" s="405"/>
      <c r="AK425" s="405"/>
      <c r="AL425" s="405"/>
      <c r="AM425" s="405"/>
      <c r="AN425" s="405"/>
      <c r="AO425" s="405"/>
      <c r="AP425" s="405"/>
      <c r="AQ425" s="405"/>
      <c r="AR425" s="405"/>
      <c r="AS425" s="405"/>
      <c r="AT425" s="405"/>
      <c r="AU425" s="405"/>
      <c r="AV425" s="405"/>
      <c r="AW425" s="405"/>
      <c r="AX425" s="405"/>
      <c r="AY425" s="405"/>
      <c r="AZ425" s="405"/>
      <c r="BA425" s="405"/>
      <c r="BB425" s="405"/>
      <c r="BC425" s="405"/>
      <c r="BD425" s="405"/>
      <c r="BE425" s="405"/>
      <c r="BF425" s="405"/>
      <c r="BG425" s="405"/>
      <c r="BH425" s="405"/>
      <c r="BI425" s="791"/>
      <c r="BJ425" s="791"/>
      <c r="BK425" s="801"/>
      <c r="BL425" s="801"/>
      <c r="BM425" s="801"/>
      <c r="BN425" s="405"/>
      <c r="BO425" s="405"/>
      <c r="BP425" s="405"/>
      <c r="BQ425" s="405"/>
      <c r="BR425" s="405"/>
      <c r="BS425" s="405"/>
      <c r="BT425" s="405"/>
      <c r="BU425" s="405"/>
      <c r="BV425" s="405"/>
      <c r="BW425" s="405"/>
      <c r="BX425" s="405"/>
      <c r="BY425" s="405"/>
      <c r="BZ425" s="409"/>
      <c r="CA425" s="409"/>
      <c r="CB425" s="409"/>
    </row>
    <row r="426" spans="1:80" ht="30" customHeight="1" x14ac:dyDescent="0.2">
      <c r="A426" s="42"/>
      <c r="B426" s="42"/>
      <c r="C426" s="713"/>
      <c r="D426" s="707"/>
      <c r="E426" s="732"/>
      <c r="F426" s="732"/>
      <c r="G426" s="78">
        <v>22</v>
      </c>
      <c r="H426" s="80" t="s">
        <v>549</v>
      </c>
      <c r="I426" s="80"/>
      <c r="J426" s="80"/>
      <c r="K426" s="153"/>
      <c r="L426" s="221"/>
      <c r="M426" s="153"/>
      <c r="N426" s="173"/>
      <c r="O426" s="173"/>
      <c r="P426" s="80"/>
      <c r="Q426" s="80"/>
      <c r="R426" s="267"/>
      <c r="S426" s="267"/>
      <c r="T426" s="267"/>
      <c r="U426" s="267"/>
      <c r="V426" s="267"/>
      <c r="W426" s="267"/>
      <c r="X426" s="267"/>
      <c r="Y426" s="267"/>
      <c r="Z426" s="267"/>
      <c r="AA426" s="267"/>
      <c r="AB426" s="267"/>
      <c r="AC426" s="267"/>
      <c r="AD426" s="267"/>
      <c r="AE426" s="267"/>
      <c r="AF426" s="267"/>
      <c r="AG426" s="267"/>
      <c r="AH426" s="267"/>
      <c r="AI426" s="267"/>
      <c r="AJ426" s="267"/>
      <c r="AK426" s="267"/>
      <c r="AL426" s="267"/>
      <c r="AM426" s="267"/>
      <c r="AN426" s="267"/>
      <c r="AO426" s="267"/>
      <c r="AP426" s="267"/>
      <c r="AQ426" s="267"/>
      <c r="AR426" s="267"/>
      <c r="AS426" s="267"/>
      <c r="AT426" s="267"/>
      <c r="AU426" s="267"/>
      <c r="AV426" s="267"/>
      <c r="AW426" s="267"/>
      <c r="AX426" s="267"/>
      <c r="AY426" s="267"/>
      <c r="AZ426" s="267"/>
      <c r="BA426" s="267"/>
      <c r="BB426" s="267"/>
      <c r="BC426" s="267"/>
      <c r="BD426" s="267"/>
      <c r="BE426" s="267"/>
      <c r="BF426" s="267"/>
      <c r="BG426" s="267"/>
      <c r="BH426" s="267"/>
      <c r="BI426" s="267"/>
      <c r="BJ426" s="267"/>
      <c r="BK426" s="414"/>
      <c r="BL426" s="414"/>
      <c r="BM426" s="414"/>
      <c r="BN426" s="267"/>
      <c r="BO426" s="267"/>
      <c r="BP426" s="267"/>
      <c r="BQ426" s="267"/>
      <c r="BR426" s="267"/>
      <c r="BS426" s="267"/>
      <c r="BT426" s="267"/>
      <c r="BU426" s="267"/>
      <c r="BV426" s="267"/>
      <c r="BW426" s="267"/>
      <c r="BX426" s="267"/>
      <c r="BY426" s="267"/>
      <c r="BZ426" s="269"/>
      <c r="CA426" s="269"/>
      <c r="CB426" s="269"/>
    </row>
    <row r="427" spans="1:80" ht="125.25" customHeight="1" x14ac:dyDescent="0.2">
      <c r="A427" s="42"/>
      <c r="B427" s="42"/>
      <c r="C427" s="702" t="s">
        <v>507</v>
      </c>
      <c r="D427" s="708" t="s">
        <v>508</v>
      </c>
      <c r="E427" s="716" t="s">
        <v>509</v>
      </c>
      <c r="F427" s="716" t="s">
        <v>550</v>
      </c>
      <c r="G427" s="729"/>
      <c r="H427" s="57">
        <v>97</v>
      </c>
      <c r="I427" s="729" t="s">
        <v>551</v>
      </c>
      <c r="J427" s="169" t="s">
        <v>43</v>
      </c>
      <c r="K427" s="190">
        <v>46</v>
      </c>
      <c r="L427" s="190">
        <v>46</v>
      </c>
      <c r="M427" s="46">
        <v>2017003630027</v>
      </c>
      <c r="N427" s="190" t="s">
        <v>485</v>
      </c>
      <c r="O427" s="57" t="s">
        <v>552</v>
      </c>
      <c r="P427" s="729" t="s">
        <v>553</v>
      </c>
      <c r="Q427" s="57" t="s">
        <v>67</v>
      </c>
      <c r="R427" s="401">
        <v>0</v>
      </c>
      <c r="S427" s="401"/>
      <c r="T427" s="401"/>
      <c r="U427" s="401">
        <v>0</v>
      </c>
      <c r="V427" s="401"/>
      <c r="W427" s="401"/>
      <c r="X427" s="401">
        <v>0</v>
      </c>
      <c r="Y427" s="401"/>
      <c r="Z427" s="401"/>
      <c r="AA427" s="401">
        <v>0</v>
      </c>
      <c r="AB427" s="401"/>
      <c r="AC427" s="401"/>
      <c r="AD427" s="401">
        <v>0</v>
      </c>
      <c r="AE427" s="401"/>
      <c r="AF427" s="401"/>
      <c r="AG427" s="401">
        <v>0</v>
      </c>
      <c r="AH427" s="401"/>
      <c r="AI427" s="401"/>
      <c r="AJ427" s="401">
        <v>0</v>
      </c>
      <c r="AK427" s="401"/>
      <c r="AL427" s="401"/>
      <c r="AM427" s="401"/>
      <c r="AN427" s="401"/>
      <c r="AO427" s="401"/>
      <c r="AP427" s="401"/>
      <c r="AQ427" s="401"/>
      <c r="AR427" s="401"/>
      <c r="AS427" s="401">
        <v>0</v>
      </c>
      <c r="AT427" s="401"/>
      <c r="AU427" s="401"/>
      <c r="AV427" s="401">
        <v>0</v>
      </c>
      <c r="AW427" s="485"/>
      <c r="AX427" s="485"/>
      <c r="AY427" s="686">
        <f>10000000-10000000+10000000</f>
        <v>10000000</v>
      </c>
      <c r="AZ427" s="493"/>
      <c r="BA427" s="493"/>
      <c r="BB427" s="485"/>
      <c r="BC427" s="485"/>
      <c r="BD427" s="485"/>
      <c r="BE427" s="485">
        <v>0</v>
      </c>
      <c r="BF427" s="485"/>
      <c r="BG427" s="485"/>
      <c r="BH427" s="401">
        <v>0</v>
      </c>
      <c r="BI427" s="401"/>
      <c r="BJ427" s="401"/>
      <c r="BK427" s="402">
        <v>0</v>
      </c>
      <c r="BL427" s="402"/>
      <c r="BM427" s="402"/>
      <c r="BN427" s="415"/>
      <c r="BO427" s="415"/>
      <c r="BP427" s="415"/>
      <c r="BQ427" s="401">
        <v>0</v>
      </c>
      <c r="BR427" s="403"/>
      <c r="BS427" s="403"/>
      <c r="BT427" s="403"/>
      <c r="BU427" s="403"/>
      <c r="BV427" s="403"/>
      <c r="BW427" s="403"/>
      <c r="BX427" s="403"/>
      <c r="BY427" s="403"/>
      <c r="BZ427" s="401">
        <f>R427+U427+X427+AA427+AD427+AG427+AJ427+AM427+AP427+AS427+AV427+AY427+BB427+BE427+BH427+BK427+BN427+BQ427+BT427+BW427</f>
        <v>10000000</v>
      </c>
      <c r="CA427" s="401">
        <f t="shared" ref="CA427:CB427" si="179">S427+V427+Y427+AB427+AE427+AH427+AK427+AN427+AQ427+AT427+AW427+AZ427+BC427+BF427+BI427+BL427+BO427+BR427+BU427+BX427</f>
        <v>0</v>
      </c>
      <c r="CB427" s="401">
        <f t="shared" si="179"/>
        <v>0</v>
      </c>
    </row>
    <row r="428" spans="1:80" ht="30" customHeight="1" x14ac:dyDescent="0.2">
      <c r="A428" s="42"/>
      <c r="B428" s="55"/>
      <c r="C428" s="714"/>
      <c r="D428" s="709"/>
      <c r="E428" s="287"/>
      <c r="F428" s="287"/>
      <c r="G428" s="58"/>
      <c r="H428" s="59"/>
      <c r="I428" s="58"/>
      <c r="J428" s="191"/>
      <c r="K428" s="196"/>
      <c r="L428" s="293"/>
      <c r="M428" s="196"/>
      <c r="N428" s="196"/>
      <c r="O428" s="59"/>
      <c r="P428" s="58"/>
      <c r="Q428" s="59"/>
      <c r="R428" s="410">
        <f t="shared" ref="R428:CB428" si="180">SUM(R427)</f>
        <v>0</v>
      </c>
      <c r="S428" s="410">
        <f t="shared" si="180"/>
        <v>0</v>
      </c>
      <c r="T428" s="410">
        <f t="shared" si="180"/>
        <v>0</v>
      </c>
      <c r="U428" s="410">
        <f t="shared" si="180"/>
        <v>0</v>
      </c>
      <c r="V428" s="410">
        <f t="shared" si="180"/>
        <v>0</v>
      </c>
      <c r="W428" s="410">
        <f t="shared" si="180"/>
        <v>0</v>
      </c>
      <c r="X428" s="410">
        <f t="shared" si="180"/>
        <v>0</v>
      </c>
      <c r="Y428" s="410">
        <f t="shared" si="180"/>
        <v>0</v>
      </c>
      <c r="Z428" s="410">
        <f t="shared" si="180"/>
        <v>0</v>
      </c>
      <c r="AA428" s="410">
        <f t="shared" si="180"/>
        <v>0</v>
      </c>
      <c r="AB428" s="410">
        <f t="shared" si="180"/>
        <v>0</v>
      </c>
      <c r="AC428" s="410">
        <f t="shared" si="180"/>
        <v>0</v>
      </c>
      <c r="AD428" s="410">
        <f t="shared" si="180"/>
        <v>0</v>
      </c>
      <c r="AE428" s="410">
        <f t="shared" si="180"/>
        <v>0</v>
      </c>
      <c r="AF428" s="410">
        <f t="shared" si="180"/>
        <v>0</v>
      </c>
      <c r="AG428" s="410">
        <f t="shared" si="180"/>
        <v>0</v>
      </c>
      <c r="AH428" s="410">
        <f t="shared" si="180"/>
        <v>0</v>
      </c>
      <c r="AI428" s="410">
        <f t="shared" si="180"/>
        <v>0</v>
      </c>
      <c r="AJ428" s="410">
        <f t="shared" si="180"/>
        <v>0</v>
      </c>
      <c r="AK428" s="410">
        <f t="shared" si="180"/>
        <v>0</v>
      </c>
      <c r="AL428" s="410">
        <f t="shared" si="180"/>
        <v>0</v>
      </c>
      <c r="AM428" s="410">
        <f t="shared" si="180"/>
        <v>0</v>
      </c>
      <c r="AN428" s="410">
        <f t="shared" si="180"/>
        <v>0</v>
      </c>
      <c r="AO428" s="410">
        <f t="shared" si="180"/>
        <v>0</v>
      </c>
      <c r="AP428" s="410">
        <f t="shared" si="180"/>
        <v>0</v>
      </c>
      <c r="AQ428" s="410">
        <f t="shared" si="180"/>
        <v>0</v>
      </c>
      <c r="AR428" s="410">
        <f t="shared" si="180"/>
        <v>0</v>
      </c>
      <c r="AS428" s="410">
        <f t="shared" si="180"/>
        <v>0</v>
      </c>
      <c r="AT428" s="410">
        <f t="shared" si="180"/>
        <v>0</v>
      </c>
      <c r="AU428" s="410">
        <f t="shared" si="180"/>
        <v>0</v>
      </c>
      <c r="AV428" s="410">
        <f t="shared" si="180"/>
        <v>0</v>
      </c>
      <c r="AW428" s="410">
        <f t="shared" si="180"/>
        <v>0</v>
      </c>
      <c r="AX428" s="410">
        <f t="shared" si="180"/>
        <v>0</v>
      </c>
      <c r="AY428" s="410">
        <f t="shared" si="180"/>
        <v>10000000</v>
      </c>
      <c r="AZ428" s="410">
        <f t="shared" si="180"/>
        <v>0</v>
      </c>
      <c r="BA428" s="410">
        <f t="shared" si="180"/>
        <v>0</v>
      </c>
      <c r="BB428" s="410">
        <f t="shared" si="180"/>
        <v>0</v>
      </c>
      <c r="BC428" s="410">
        <f t="shared" si="180"/>
        <v>0</v>
      </c>
      <c r="BD428" s="410">
        <f t="shared" si="180"/>
        <v>0</v>
      </c>
      <c r="BE428" s="410">
        <f t="shared" si="180"/>
        <v>0</v>
      </c>
      <c r="BF428" s="410">
        <f t="shared" si="180"/>
        <v>0</v>
      </c>
      <c r="BG428" s="410">
        <f t="shared" si="180"/>
        <v>0</v>
      </c>
      <c r="BH428" s="410">
        <f t="shared" si="180"/>
        <v>0</v>
      </c>
      <c r="BI428" s="410">
        <f t="shared" si="180"/>
        <v>0</v>
      </c>
      <c r="BJ428" s="410">
        <f t="shared" si="180"/>
        <v>0</v>
      </c>
      <c r="BK428" s="410">
        <f t="shared" si="180"/>
        <v>0</v>
      </c>
      <c r="BL428" s="410">
        <f t="shared" si="180"/>
        <v>0</v>
      </c>
      <c r="BM428" s="410">
        <f t="shared" si="180"/>
        <v>0</v>
      </c>
      <c r="BN428" s="410">
        <f t="shared" si="180"/>
        <v>0</v>
      </c>
      <c r="BO428" s="410">
        <f t="shared" si="180"/>
        <v>0</v>
      </c>
      <c r="BP428" s="410">
        <f t="shared" si="180"/>
        <v>0</v>
      </c>
      <c r="BQ428" s="410">
        <f t="shared" si="180"/>
        <v>0</v>
      </c>
      <c r="BR428" s="410">
        <f t="shared" si="180"/>
        <v>0</v>
      </c>
      <c r="BS428" s="410">
        <f t="shared" si="180"/>
        <v>0</v>
      </c>
      <c r="BT428" s="410">
        <f t="shared" si="180"/>
        <v>0</v>
      </c>
      <c r="BU428" s="410">
        <f t="shared" si="180"/>
        <v>0</v>
      </c>
      <c r="BV428" s="410">
        <f t="shared" si="180"/>
        <v>0</v>
      </c>
      <c r="BW428" s="410">
        <f t="shared" si="180"/>
        <v>0</v>
      </c>
      <c r="BX428" s="410">
        <f t="shared" si="180"/>
        <v>0</v>
      </c>
      <c r="BY428" s="410">
        <f t="shared" si="180"/>
        <v>0</v>
      </c>
      <c r="BZ428" s="410">
        <f t="shared" si="180"/>
        <v>10000000</v>
      </c>
      <c r="CA428" s="410">
        <f t="shared" si="180"/>
        <v>0</v>
      </c>
      <c r="CB428" s="410">
        <f t="shared" si="180"/>
        <v>0</v>
      </c>
    </row>
    <row r="429" spans="1:80" ht="30" customHeight="1" x14ac:dyDescent="0.2">
      <c r="A429" s="42"/>
      <c r="B429" s="95"/>
      <c r="C429" s="63"/>
      <c r="D429" s="62"/>
      <c r="E429" s="270"/>
      <c r="F429" s="270"/>
      <c r="G429" s="62"/>
      <c r="H429" s="63"/>
      <c r="I429" s="62"/>
      <c r="J429" s="208"/>
      <c r="K429" s="208"/>
      <c r="L429" s="224"/>
      <c r="M429" s="208"/>
      <c r="N429" s="208"/>
      <c r="O429" s="63"/>
      <c r="P429" s="62"/>
      <c r="Q429" s="63"/>
      <c r="R429" s="416">
        <f t="shared" ref="R429:CB429" si="181">R428+R424+R417+R404</f>
        <v>0</v>
      </c>
      <c r="S429" s="416">
        <f t="shared" si="181"/>
        <v>0</v>
      </c>
      <c r="T429" s="416">
        <f t="shared" si="181"/>
        <v>0</v>
      </c>
      <c r="U429" s="416">
        <f t="shared" si="181"/>
        <v>0</v>
      </c>
      <c r="V429" s="416">
        <f t="shared" si="181"/>
        <v>0</v>
      </c>
      <c r="W429" s="416">
        <f t="shared" si="181"/>
        <v>0</v>
      </c>
      <c r="X429" s="416">
        <f t="shared" si="181"/>
        <v>0</v>
      </c>
      <c r="Y429" s="416">
        <f t="shared" si="181"/>
        <v>0</v>
      </c>
      <c r="Z429" s="416">
        <f t="shared" si="181"/>
        <v>0</v>
      </c>
      <c r="AA429" s="416">
        <f t="shared" si="181"/>
        <v>0</v>
      </c>
      <c r="AB429" s="416">
        <f t="shared" si="181"/>
        <v>0</v>
      </c>
      <c r="AC429" s="416">
        <f t="shared" si="181"/>
        <v>0</v>
      </c>
      <c r="AD429" s="416">
        <f t="shared" si="181"/>
        <v>0</v>
      </c>
      <c r="AE429" s="416">
        <f t="shared" si="181"/>
        <v>0</v>
      </c>
      <c r="AF429" s="416">
        <f t="shared" si="181"/>
        <v>0</v>
      </c>
      <c r="AG429" s="416">
        <f t="shared" si="181"/>
        <v>0</v>
      </c>
      <c r="AH429" s="416">
        <f t="shared" si="181"/>
        <v>0</v>
      </c>
      <c r="AI429" s="416">
        <f t="shared" si="181"/>
        <v>0</v>
      </c>
      <c r="AJ429" s="416">
        <f t="shared" si="181"/>
        <v>0</v>
      </c>
      <c r="AK429" s="416">
        <f t="shared" si="181"/>
        <v>0</v>
      </c>
      <c r="AL429" s="416">
        <f t="shared" si="181"/>
        <v>0</v>
      </c>
      <c r="AM429" s="416">
        <f t="shared" si="181"/>
        <v>0</v>
      </c>
      <c r="AN429" s="416">
        <f t="shared" si="181"/>
        <v>0</v>
      </c>
      <c r="AO429" s="416">
        <f t="shared" si="181"/>
        <v>0</v>
      </c>
      <c r="AP429" s="416">
        <f t="shared" si="181"/>
        <v>0</v>
      </c>
      <c r="AQ429" s="416">
        <f t="shared" si="181"/>
        <v>0</v>
      </c>
      <c r="AR429" s="416">
        <f t="shared" si="181"/>
        <v>0</v>
      </c>
      <c r="AS429" s="416">
        <f t="shared" si="181"/>
        <v>0</v>
      </c>
      <c r="AT429" s="416">
        <f t="shared" si="181"/>
        <v>0</v>
      </c>
      <c r="AU429" s="416">
        <f t="shared" si="181"/>
        <v>0</v>
      </c>
      <c r="AV429" s="416">
        <f t="shared" si="181"/>
        <v>0</v>
      </c>
      <c r="AW429" s="416">
        <f t="shared" si="181"/>
        <v>0</v>
      </c>
      <c r="AX429" s="416">
        <f t="shared" si="181"/>
        <v>0</v>
      </c>
      <c r="AY429" s="416">
        <f t="shared" si="181"/>
        <v>270066524</v>
      </c>
      <c r="AZ429" s="416">
        <f t="shared" si="181"/>
        <v>0</v>
      </c>
      <c r="BA429" s="416">
        <f t="shared" si="181"/>
        <v>0</v>
      </c>
      <c r="BB429" s="416">
        <f t="shared" si="181"/>
        <v>0</v>
      </c>
      <c r="BC429" s="416">
        <f t="shared" si="181"/>
        <v>0</v>
      </c>
      <c r="BD429" s="416">
        <f t="shared" si="181"/>
        <v>0</v>
      </c>
      <c r="BE429" s="416">
        <f t="shared" si="181"/>
        <v>0</v>
      </c>
      <c r="BF429" s="416">
        <f t="shared" si="181"/>
        <v>0</v>
      </c>
      <c r="BG429" s="416">
        <f t="shared" si="181"/>
        <v>0</v>
      </c>
      <c r="BH429" s="416">
        <f t="shared" si="181"/>
        <v>0</v>
      </c>
      <c r="BI429" s="416">
        <f t="shared" si="181"/>
        <v>0</v>
      </c>
      <c r="BJ429" s="416">
        <f t="shared" si="181"/>
        <v>0</v>
      </c>
      <c r="BK429" s="416">
        <f t="shared" si="181"/>
        <v>715465345</v>
      </c>
      <c r="BL429" s="416">
        <f t="shared" si="181"/>
        <v>366944412</v>
      </c>
      <c r="BM429" s="416">
        <f t="shared" si="181"/>
        <v>295845932</v>
      </c>
      <c r="BN429" s="416">
        <f t="shared" si="181"/>
        <v>0</v>
      </c>
      <c r="BO429" s="416">
        <f t="shared" si="181"/>
        <v>0</v>
      </c>
      <c r="BP429" s="416">
        <f t="shared" si="181"/>
        <v>0</v>
      </c>
      <c r="BQ429" s="416">
        <f t="shared" si="181"/>
        <v>0</v>
      </c>
      <c r="BR429" s="416">
        <f t="shared" si="181"/>
        <v>0</v>
      </c>
      <c r="BS429" s="416">
        <f t="shared" si="181"/>
        <v>0</v>
      </c>
      <c r="BT429" s="416">
        <f t="shared" si="181"/>
        <v>0</v>
      </c>
      <c r="BU429" s="416">
        <f t="shared" si="181"/>
        <v>0</v>
      </c>
      <c r="BV429" s="416">
        <f t="shared" si="181"/>
        <v>0</v>
      </c>
      <c r="BW429" s="416">
        <f t="shared" si="181"/>
        <v>0</v>
      </c>
      <c r="BX429" s="416">
        <f t="shared" si="181"/>
        <v>0</v>
      </c>
      <c r="BY429" s="416">
        <f t="shared" si="181"/>
        <v>0</v>
      </c>
      <c r="BZ429" s="416">
        <f t="shared" si="181"/>
        <v>985531869</v>
      </c>
      <c r="CA429" s="416">
        <f t="shared" si="181"/>
        <v>366944412</v>
      </c>
      <c r="CB429" s="416">
        <f t="shared" si="181"/>
        <v>295845932</v>
      </c>
    </row>
    <row r="430" spans="1:80" ht="30" customHeight="1" x14ac:dyDescent="0.2">
      <c r="A430" s="42"/>
      <c r="B430" s="280"/>
      <c r="C430" s="192"/>
      <c r="D430" s="280"/>
      <c r="E430" s="281"/>
      <c r="F430" s="281"/>
      <c r="G430" s="280"/>
      <c r="H430" s="192"/>
      <c r="I430" s="280"/>
      <c r="J430" s="282"/>
      <c r="K430" s="282"/>
      <c r="L430" s="803"/>
      <c r="M430" s="804"/>
      <c r="N430" s="804"/>
      <c r="O430" s="747"/>
      <c r="P430" s="748"/>
      <c r="Q430" s="192"/>
      <c r="R430" s="442"/>
      <c r="S430" s="442"/>
      <c r="T430" s="442"/>
      <c r="U430" s="442"/>
      <c r="V430" s="442"/>
      <c r="W430" s="442"/>
      <c r="X430" s="442"/>
      <c r="Y430" s="442"/>
      <c r="Z430" s="442"/>
      <c r="AA430" s="442"/>
      <c r="AB430" s="442"/>
      <c r="AC430" s="442"/>
      <c r="AD430" s="442"/>
      <c r="AE430" s="442"/>
      <c r="AF430" s="442"/>
      <c r="AG430" s="442"/>
      <c r="AH430" s="791"/>
      <c r="AI430" s="791"/>
      <c r="AJ430" s="791"/>
      <c r="AK430" s="791"/>
      <c r="AL430" s="791"/>
      <c r="AM430" s="442"/>
      <c r="AN430" s="442"/>
      <c r="AO430" s="442"/>
      <c r="AP430" s="442"/>
      <c r="AQ430" s="442"/>
      <c r="AR430" s="442"/>
      <c r="AS430" s="442"/>
      <c r="AT430" s="442"/>
      <c r="AU430" s="442"/>
      <c r="AV430" s="442"/>
      <c r="AW430" s="442"/>
      <c r="AX430" s="442"/>
      <c r="AY430" s="494"/>
      <c r="AZ430" s="494"/>
      <c r="BA430" s="494"/>
      <c r="BB430" s="494"/>
      <c r="BC430" s="494"/>
      <c r="BD430" s="494"/>
      <c r="BE430" s="442"/>
      <c r="BF430" s="442"/>
      <c r="BG430" s="442"/>
      <c r="BH430" s="442"/>
      <c r="BI430" s="791"/>
      <c r="BJ430" s="791"/>
      <c r="BK430" s="793"/>
      <c r="BL430" s="793"/>
      <c r="BM430" s="793"/>
      <c r="BN430" s="791"/>
      <c r="BO430" s="791"/>
      <c r="BP430" s="791"/>
      <c r="BQ430" s="442"/>
      <c r="BR430" s="442"/>
      <c r="BS430" s="442"/>
      <c r="BT430" s="442"/>
      <c r="BU430" s="442"/>
      <c r="BV430" s="442"/>
      <c r="BW430" s="442"/>
      <c r="BX430" s="442"/>
      <c r="BY430" s="442"/>
      <c r="BZ430" s="495"/>
      <c r="CA430" s="495"/>
      <c r="CB430" s="495"/>
    </row>
    <row r="431" spans="1:80" ht="30" customHeight="1" x14ac:dyDescent="0.2">
      <c r="A431" s="42"/>
      <c r="B431" s="125">
        <v>7</v>
      </c>
      <c r="C431" s="38" t="s">
        <v>554</v>
      </c>
      <c r="D431" s="39"/>
      <c r="E431" s="39"/>
      <c r="F431" s="39"/>
      <c r="G431" s="39"/>
      <c r="H431" s="40"/>
      <c r="I431" s="39"/>
      <c r="J431" s="39"/>
      <c r="K431" s="201"/>
      <c r="L431" s="225"/>
      <c r="M431" s="201"/>
      <c r="N431" s="40"/>
      <c r="O431" s="40"/>
      <c r="P431" s="39"/>
      <c r="Q431" s="39"/>
      <c r="R431" s="412"/>
      <c r="S431" s="412"/>
      <c r="T431" s="412"/>
      <c r="U431" s="412"/>
      <c r="V431" s="412"/>
      <c r="W431" s="412"/>
      <c r="X431" s="412"/>
      <c r="Y431" s="412"/>
      <c r="Z431" s="412"/>
      <c r="AA431" s="412"/>
      <c r="AB431" s="412"/>
      <c r="AC431" s="412"/>
      <c r="AD431" s="412"/>
      <c r="AE431" s="412"/>
      <c r="AF431" s="412"/>
      <c r="AG431" s="412"/>
      <c r="AH431" s="412"/>
      <c r="AI431" s="412"/>
      <c r="AJ431" s="412"/>
      <c r="AK431" s="412"/>
      <c r="AL431" s="412"/>
      <c r="AM431" s="412"/>
      <c r="AN431" s="412"/>
      <c r="AO431" s="412"/>
      <c r="AP431" s="412"/>
      <c r="AQ431" s="412"/>
      <c r="AR431" s="412"/>
      <c r="AS431" s="412"/>
      <c r="AT431" s="412"/>
      <c r="AU431" s="412"/>
      <c r="AV431" s="412"/>
      <c r="AW431" s="412"/>
      <c r="AX431" s="412"/>
      <c r="AY431" s="412"/>
      <c r="AZ431" s="412"/>
      <c r="BA431" s="412"/>
      <c r="BB431" s="412"/>
      <c r="BC431" s="412"/>
      <c r="BD431" s="412"/>
      <c r="BE431" s="412"/>
      <c r="BF431" s="412"/>
      <c r="BG431" s="412"/>
      <c r="BH431" s="412"/>
      <c r="BI431" s="412"/>
      <c r="BJ431" s="412"/>
      <c r="BK431" s="413"/>
      <c r="BL431" s="413"/>
      <c r="BM431" s="413"/>
      <c r="BN431" s="412"/>
      <c r="BO431" s="412"/>
      <c r="BP431" s="412"/>
      <c r="BQ431" s="412"/>
      <c r="BR431" s="412"/>
      <c r="BS431" s="412"/>
      <c r="BT431" s="412"/>
      <c r="BU431" s="412"/>
      <c r="BV431" s="412"/>
      <c r="BW431" s="412"/>
      <c r="BX431" s="412"/>
      <c r="BY431" s="412"/>
      <c r="BZ431" s="417"/>
      <c r="CA431" s="417"/>
      <c r="CB431" s="417"/>
    </row>
    <row r="432" spans="1:80" ht="30" customHeight="1" x14ac:dyDescent="0.2">
      <c r="A432" s="42"/>
      <c r="B432" s="76"/>
      <c r="C432" s="713"/>
      <c r="D432" s="707"/>
      <c r="E432" s="713"/>
      <c r="F432" s="713"/>
      <c r="G432" s="219">
        <v>23</v>
      </c>
      <c r="H432" s="80" t="s">
        <v>555</v>
      </c>
      <c r="I432" s="80"/>
      <c r="J432" s="80"/>
      <c r="K432" s="153"/>
      <c r="L432" s="221"/>
      <c r="M432" s="153"/>
      <c r="N432" s="173"/>
      <c r="O432" s="173"/>
      <c r="P432" s="80"/>
      <c r="Q432" s="80"/>
      <c r="R432" s="267"/>
      <c r="S432" s="267"/>
      <c r="T432" s="267"/>
      <c r="U432" s="267"/>
      <c r="V432" s="267"/>
      <c r="W432" s="267"/>
      <c r="X432" s="267"/>
      <c r="Y432" s="267"/>
      <c r="Z432" s="267"/>
      <c r="AA432" s="267"/>
      <c r="AB432" s="267"/>
      <c r="AC432" s="267"/>
      <c r="AD432" s="267"/>
      <c r="AE432" s="267"/>
      <c r="AF432" s="267"/>
      <c r="AG432" s="267"/>
      <c r="AH432" s="267"/>
      <c r="AI432" s="267"/>
      <c r="AJ432" s="267"/>
      <c r="AK432" s="267"/>
      <c r="AL432" s="267"/>
      <c r="AM432" s="267"/>
      <c r="AN432" s="267"/>
      <c r="AO432" s="267"/>
      <c r="AP432" s="267"/>
      <c r="AQ432" s="267"/>
      <c r="AR432" s="267"/>
      <c r="AS432" s="267"/>
      <c r="AT432" s="267"/>
      <c r="AU432" s="267"/>
      <c r="AV432" s="267"/>
      <c r="AW432" s="267"/>
      <c r="AX432" s="267"/>
      <c r="AY432" s="267"/>
      <c r="AZ432" s="267"/>
      <c r="BA432" s="267"/>
      <c r="BB432" s="267"/>
      <c r="BC432" s="267"/>
      <c r="BD432" s="267"/>
      <c r="BE432" s="267"/>
      <c r="BF432" s="267"/>
      <c r="BG432" s="267"/>
      <c r="BH432" s="267"/>
      <c r="BI432" s="267"/>
      <c r="BJ432" s="267"/>
      <c r="BK432" s="414"/>
      <c r="BL432" s="414"/>
      <c r="BM432" s="414"/>
      <c r="BN432" s="267"/>
      <c r="BO432" s="267"/>
      <c r="BP432" s="267"/>
      <c r="BQ432" s="267"/>
      <c r="BR432" s="267"/>
      <c r="BS432" s="267"/>
      <c r="BT432" s="267"/>
      <c r="BU432" s="267"/>
      <c r="BV432" s="267"/>
      <c r="BW432" s="267"/>
      <c r="BX432" s="267"/>
      <c r="BY432" s="267"/>
      <c r="BZ432" s="269"/>
      <c r="CA432" s="269"/>
      <c r="CB432" s="269"/>
    </row>
    <row r="433" spans="1:80" ht="71.25" customHeight="1" x14ac:dyDescent="0.2">
      <c r="A433" s="205"/>
      <c r="B433" s="42"/>
      <c r="C433" s="702"/>
      <c r="D433" s="49"/>
      <c r="E433" s="716"/>
      <c r="F433" s="716"/>
      <c r="G433" s="43"/>
      <c r="H433" s="57">
        <v>98</v>
      </c>
      <c r="I433" s="729" t="s">
        <v>556</v>
      </c>
      <c r="J433" s="169">
        <v>60</v>
      </c>
      <c r="K433" s="190">
        <v>55</v>
      </c>
      <c r="L433" s="190">
        <v>160</v>
      </c>
      <c r="M433" s="884">
        <v>2017003630059</v>
      </c>
      <c r="N433" s="915" t="s">
        <v>485</v>
      </c>
      <c r="O433" s="895" t="s">
        <v>557</v>
      </c>
      <c r="P433" s="890" t="s">
        <v>558</v>
      </c>
      <c r="Q433" s="57" t="s">
        <v>52</v>
      </c>
      <c r="R433" s="401">
        <v>0</v>
      </c>
      <c r="S433" s="401"/>
      <c r="T433" s="401"/>
      <c r="U433" s="401">
        <v>0</v>
      </c>
      <c r="V433" s="401"/>
      <c r="W433" s="401"/>
      <c r="X433" s="401">
        <v>0</v>
      </c>
      <c r="Y433" s="401"/>
      <c r="Z433" s="401"/>
      <c r="AA433" s="401">
        <v>0</v>
      </c>
      <c r="AB433" s="401"/>
      <c r="AC433" s="401"/>
      <c r="AD433" s="401">
        <v>0</v>
      </c>
      <c r="AE433" s="401"/>
      <c r="AF433" s="401"/>
      <c r="AG433" s="401">
        <v>0</v>
      </c>
      <c r="AH433" s="401"/>
      <c r="AI433" s="401"/>
      <c r="AJ433" s="401"/>
      <c r="AK433" s="401"/>
      <c r="AL433" s="401"/>
      <c r="AM433" s="401"/>
      <c r="AN433" s="401"/>
      <c r="AO433" s="401"/>
      <c r="AP433" s="401"/>
      <c r="AQ433" s="401"/>
      <c r="AR433" s="401"/>
      <c r="AS433" s="401">
        <v>0</v>
      </c>
      <c r="AT433" s="401"/>
      <c r="AU433" s="401"/>
      <c r="AV433" s="401">
        <v>0</v>
      </c>
      <c r="AW433" s="403"/>
      <c r="AX433" s="403"/>
      <c r="AY433" s="404"/>
      <c r="AZ433" s="404"/>
      <c r="BA433" s="404"/>
      <c r="BB433" s="404"/>
      <c r="BC433" s="404"/>
      <c r="BD433" s="404"/>
      <c r="BE433" s="401">
        <v>0</v>
      </c>
      <c r="BF433" s="401"/>
      <c r="BG433" s="401"/>
      <c r="BH433" s="401">
        <v>0</v>
      </c>
      <c r="BI433" s="401"/>
      <c r="BJ433" s="401"/>
      <c r="BK433" s="402"/>
      <c r="BL433" s="402"/>
      <c r="BM433" s="402"/>
      <c r="BN433" s="415"/>
      <c r="BO433" s="415"/>
      <c r="BP433" s="415"/>
      <c r="BQ433" s="401">
        <v>0</v>
      </c>
      <c r="BR433" s="403"/>
      <c r="BS433" s="403"/>
      <c r="BT433" s="403"/>
      <c r="BU433" s="403"/>
      <c r="BV433" s="403"/>
      <c r="BW433" s="403"/>
      <c r="BX433" s="403"/>
      <c r="BY433" s="403"/>
      <c r="BZ433" s="401">
        <f t="shared" ref="BZ433:CB437" si="182">R433+U433+X433+AA433+AD433+AG433+AJ433+AM433+AP433+AS433+AV433+AY433+BB433+BE433+BH433+BK433+BN433+BQ433+BT433+BW433</f>
        <v>0</v>
      </c>
      <c r="CA433" s="401">
        <f t="shared" si="182"/>
        <v>0</v>
      </c>
      <c r="CB433" s="401">
        <f t="shared" si="182"/>
        <v>0</v>
      </c>
    </row>
    <row r="434" spans="1:80" ht="99.75" customHeight="1" x14ac:dyDescent="0.2">
      <c r="A434" s="205"/>
      <c r="B434" s="42"/>
      <c r="C434" s="720">
        <v>16</v>
      </c>
      <c r="D434" s="708" t="s">
        <v>559</v>
      </c>
      <c r="E434" s="702">
        <v>45</v>
      </c>
      <c r="F434" s="720">
        <v>90</v>
      </c>
      <c r="G434" s="49"/>
      <c r="H434" s="57">
        <v>99</v>
      </c>
      <c r="I434" s="729" t="s">
        <v>560</v>
      </c>
      <c r="J434" s="169">
        <v>76</v>
      </c>
      <c r="K434" s="190">
        <v>150</v>
      </c>
      <c r="L434" s="190">
        <v>160</v>
      </c>
      <c r="M434" s="885"/>
      <c r="N434" s="919"/>
      <c r="O434" s="883"/>
      <c r="P434" s="891"/>
      <c r="Q434" s="57" t="s">
        <v>52</v>
      </c>
      <c r="R434" s="401">
        <v>0</v>
      </c>
      <c r="S434" s="401"/>
      <c r="T434" s="401"/>
      <c r="U434" s="401">
        <v>0</v>
      </c>
      <c r="V434" s="401"/>
      <c r="W434" s="401"/>
      <c r="X434" s="401">
        <v>0</v>
      </c>
      <c r="Y434" s="401"/>
      <c r="Z434" s="401"/>
      <c r="AA434" s="401">
        <v>0</v>
      </c>
      <c r="AB434" s="401"/>
      <c r="AC434" s="401"/>
      <c r="AD434" s="401">
        <v>0</v>
      </c>
      <c r="AE434" s="401"/>
      <c r="AF434" s="401"/>
      <c r="AG434" s="401">
        <v>0</v>
      </c>
      <c r="AH434" s="401"/>
      <c r="AI434" s="401"/>
      <c r="AJ434" s="401"/>
      <c r="AK434" s="401"/>
      <c r="AL434" s="401"/>
      <c r="AM434" s="401"/>
      <c r="AN434" s="401"/>
      <c r="AO434" s="401"/>
      <c r="AP434" s="401"/>
      <c r="AQ434" s="401"/>
      <c r="AR434" s="401"/>
      <c r="AS434" s="401">
        <v>0</v>
      </c>
      <c r="AT434" s="401"/>
      <c r="AU434" s="401"/>
      <c r="AV434" s="401">
        <v>0</v>
      </c>
      <c r="AW434" s="403"/>
      <c r="AX434" s="403"/>
      <c r="AY434" s="404"/>
      <c r="AZ434" s="404"/>
      <c r="BA434" s="404"/>
      <c r="BB434" s="404"/>
      <c r="BC434" s="404"/>
      <c r="BD434" s="404"/>
      <c r="BE434" s="401">
        <v>0</v>
      </c>
      <c r="BF434" s="401"/>
      <c r="BG434" s="401"/>
      <c r="BH434" s="401">
        <v>0</v>
      </c>
      <c r="BI434" s="401"/>
      <c r="BJ434" s="401"/>
      <c r="BK434" s="402">
        <v>0</v>
      </c>
      <c r="BL434" s="402"/>
      <c r="BM434" s="402"/>
      <c r="BN434" s="415"/>
      <c r="BO434" s="415"/>
      <c r="BP434" s="415"/>
      <c r="BQ434" s="401">
        <v>0</v>
      </c>
      <c r="BR434" s="403"/>
      <c r="BS434" s="403"/>
      <c r="BT434" s="403"/>
      <c r="BU434" s="403"/>
      <c r="BV434" s="403"/>
      <c r="BW434" s="403"/>
      <c r="BX434" s="403"/>
      <c r="BY434" s="403"/>
      <c r="BZ434" s="401">
        <f t="shared" si="182"/>
        <v>0</v>
      </c>
      <c r="CA434" s="401">
        <f t="shared" si="182"/>
        <v>0</v>
      </c>
      <c r="CB434" s="401">
        <f t="shared" si="182"/>
        <v>0</v>
      </c>
    </row>
    <row r="435" spans="1:80" ht="71.25" customHeight="1" x14ac:dyDescent="0.2">
      <c r="A435" s="205"/>
      <c r="B435" s="42"/>
      <c r="C435" s="720">
        <v>17</v>
      </c>
      <c r="D435" s="708" t="s">
        <v>522</v>
      </c>
      <c r="E435" s="716">
        <v>0.63270000000000004</v>
      </c>
      <c r="F435" s="274">
        <v>0.5</v>
      </c>
      <c r="G435" s="49"/>
      <c r="H435" s="57">
        <v>100</v>
      </c>
      <c r="I435" s="729" t="s">
        <v>561</v>
      </c>
      <c r="J435" s="169">
        <v>0</v>
      </c>
      <c r="K435" s="190">
        <v>6</v>
      </c>
      <c r="L435" s="190">
        <v>11</v>
      </c>
      <c r="M435" s="885"/>
      <c r="N435" s="919"/>
      <c r="O435" s="883"/>
      <c r="P435" s="891"/>
      <c r="Q435" s="57" t="s">
        <v>52</v>
      </c>
      <c r="R435" s="401">
        <v>0</v>
      </c>
      <c r="S435" s="401"/>
      <c r="T435" s="401"/>
      <c r="U435" s="401">
        <v>0</v>
      </c>
      <c r="V435" s="401"/>
      <c r="W435" s="401"/>
      <c r="X435" s="401">
        <v>0</v>
      </c>
      <c r="Y435" s="401"/>
      <c r="Z435" s="401"/>
      <c r="AA435" s="401">
        <v>0</v>
      </c>
      <c r="AB435" s="401"/>
      <c r="AC435" s="401"/>
      <c r="AD435" s="401">
        <v>0</v>
      </c>
      <c r="AE435" s="401"/>
      <c r="AF435" s="401"/>
      <c r="AG435" s="401">
        <v>0</v>
      </c>
      <c r="AH435" s="401"/>
      <c r="AI435" s="401"/>
      <c r="AJ435" s="401"/>
      <c r="AK435" s="401"/>
      <c r="AL435" s="401"/>
      <c r="AM435" s="401"/>
      <c r="AN435" s="401"/>
      <c r="AO435" s="401"/>
      <c r="AP435" s="401"/>
      <c r="AQ435" s="401"/>
      <c r="AR435" s="401"/>
      <c r="AS435" s="401">
        <v>0</v>
      </c>
      <c r="AT435" s="401"/>
      <c r="AU435" s="401"/>
      <c r="AV435" s="401">
        <v>0</v>
      </c>
      <c r="AW435" s="403"/>
      <c r="AX435" s="403"/>
      <c r="AY435" s="404"/>
      <c r="AZ435" s="404"/>
      <c r="BA435" s="404"/>
      <c r="BB435" s="404"/>
      <c r="BC435" s="404"/>
      <c r="BD435" s="404"/>
      <c r="BE435" s="401">
        <v>0</v>
      </c>
      <c r="BF435" s="401"/>
      <c r="BG435" s="401"/>
      <c r="BH435" s="401">
        <v>0</v>
      </c>
      <c r="BI435" s="401"/>
      <c r="BJ435" s="401"/>
      <c r="BK435" s="402">
        <f>16050000+8025000</f>
        <v>24075000</v>
      </c>
      <c r="BL435" s="402">
        <v>24075000</v>
      </c>
      <c r="BM435" s="402">
        <v>18725000</v>
      </c>
      <c r="BN435" s="415"/>
      <c r="BO435" s="415"/>
      <c r="BP435" s="415"/>
      <c r="BQ435" s="401">
        <v>0</v>
      </c>
      <c r="BR435" s="403"/>
      <c r="BS435" s="403"/>
      <c r="BT435" s="403"/>
      <c r="BU435" s="403"/>
      <c r="BV435" s="403"/>
      <c r="BW435" s="403"/>
      <c r="BX435" s="403"/>
      <c r="BY435" s="403"/>
      <c r="BZ435" s="401">
        <f t="shared" si="182"/>
        <v>24075000</v>
      </c>
      <c r="CA435" s="401">
        <f t="shared" si="182"/>
        <v>24075000</v>
      </c>
      <c r="CB435" s="401">
        <f t="shared" si="182"/>
        <v>18725000</v>
      </c>
    </row>
    <row r="436" spans="1:80" ht="71.25" customHeight="1" x14ac:dyDescent="0.2">
      <c r="A436" s="205"/>
      <c r="B436" s="42"/>
      <c r="C436" s="720"/>
      <c r="D436" s="49"/>
      <c r="E436" s="279"/>
      <c r="F436" s="284"/>
      <c r="G436" s="49"/>
      <c r="H436" s="57">
        <v>101</v>
      </c>
      <c r="I436" s="729" t="s">
        <v>562</v>
      </c>
      <c r="J436" s="169">
        <v>0</v>
      </c>
      <c r="K436" s="190">
        <v>54</v>
      </c>
      <c r="L436" s="190">
        <v>54</v>
      </c>
      <c r="M436" s="885"/>
      <c r="N436" s="919"/>
      <c r="O436" s="883"/>
      <c r="P436" s="891"/>
      <c r="Q436" s="57" t="s">
        <v>52</v>
      </c>
      <c r="R436" s="401">
        <v>0</v>
      </c>
      <c r="S436" s="401"/>
      <c r="T436" s="401"/>
      <c r="U436" s="401">
        <v>0</v>
      </c>
      <c r="V436" s="401"/>
      <c r="W436" s="401"/>
      <c r="X436" s="401">
        <v>0</v>
      </c>
      <c r="Y436" s="401"/>
      <c r="Z436" s="401"/>
      <c r="AA436" s="401">
        <v>0</v>
      </c>
      <c r="AB436" s="401"/>
      <c r="AC436" s="401"/>
      <c r="AD436" s="401">
        <v>0</v>
      </c>
      <c r="AE436" s="401"/>
      <c r="AF436" s="401"/>
      <c r="AG436" s="401">
        <v>0</v>
      </c>
      <c r="AH436" s="401"/>
      <c r="AI436" s="401"/>
      <c r="AJ436" s="401"/>
      <c r="AK436" s="401"/>
      <c r="AL436" s="401"/>
      <c r="AM436" s="401"/>
      <c r="AN436" s="401"/>
      <c r="AO436" s="401"/>
      <c r="AP436" s="401"/>
      <c r="AQ436" s="401"/>
      <c r="AR436" s="401"/>
      <c r="AS436" s="401">
        <v>0</v>
      </c>
      <c r="AT436" s="401"/>
      <c r="AU436" s="401"/>
      <c r="AV436" s="401">
        <v>0</v>
      </c>
      <c r="AW436" s="403"/>
      <c r="AX436" s="403"/>
      <c r="AY436" s="404"/>
      <c r="AZ436" s="404"/>
      <c r="BA436" s="404"/>
      <c r="BB436" s="404"/>
      <c r="BC436" s="404"/>
      <c r="BD436" s="404"/>
      <c r="BE436" s="401">
        <v>0</v>
      </c>
      <c r="BF436" s="401"/>
      <c r="BG436" s="401"/>
      <c r="BH436" s="401">
        <v>0</v>
      </c>
      <c r="BI436" s="401"/>
      <c r="BJ436" s="401"/>
      <c r="BK436" s="402">
        <v>0</v>
      </c>
      <c r="BL436" s="402"/>
      <c r="BM436" s="402"/>
      <c r="BN436" s="415"/>
      <c r="BO436" s="415"/>
      <c r="BP436" s="415"/>
      <c r="BQ436" s="401">
        <v>0</v>
      </c>
      <c r="BR436" s="403"/>
      <c r="BS436" s="403"/>
      <c r="BT436" s="403"/>
      <c r="BU436" s="403"/>
      <c r="BV436" s="403"/>
      <c r="BW436" s="403"/>
      <c r="BX436" s="403"/>
      <c r="BY436" s="403"/>
      <c r="BZ436" s="401">
        <f t="shared" si="182"/>
        <v>0</v>
      </c>
      <c r="CA436" s="401">
        <f t="shared" si="182"/>
        <v>0</v>
      </c>
      <c r="CB436" s="401">
        <f t="shared" si="182"/>
        <v>0</v>
      </c>
    </row>
    <row r="437" spans="1:80" ht="71.25" customHeight="1" x14ac:dyDescent="0.2">
      <c r="A437" s="205"/>
      <c r="B437" s="42"/>
      <c r="C437" s="702"/>
      <c r="D437" s="49"/>
      <c r="E437" s="279"/>
      <c r="F437" s="279"/>
      <c r="G437" s="92"/>
      <c r="H437" s="57">
        <v>102</v>
      </c>
      <c r="I437" s="729" t="s">
        <v>563</v>
      </c>
      <c r="J437" s="169">
        <v>0</v>
      </c>
      <c r="K437" s="190">
        <v>2</v>
      </c>
      <c r="L437" s="190">
        <v>0</v>
      </c>
      <c r="M437" s="886"/>
      <c r="N437" s="916"/>
      <c r="O437" s="898"/>
      <c r="P437" s="892"/>
      <c r="Q437" s="57" t="s">
        <v>67</v>
      </c>
      <c r="R437" s="401">
        <v>0</v>
      </c>
      <c r="S437" s="401"/>
      <c r="T437" s="401"/>
      <c r="U437" s="401">
        <v>0</v>
      </c>
      <c r="V437" s="401"/>
      <c r="W437" s="401"/>
      <c r="X437" s="401">
        <v>0</v>
      </c>
      <c r="Y437" s="401"/>
      <c r="Z437" s="401"/>
      <c r="AA437" s="401">
        <v>0</v>
      </c>
      <c r="AB437" s="401"/>
      <c r="AC437" s="401"/>
      <c r="AD437" s="401">
        <v>0</v>
      </c>
      <c r="AE437" s="401"/>
      <c r="AF437" s="401"/>
      <c r="AG437" s="401">
        <v>0</v>
      </c>
      <c r="AH437" s="401"/>
      <c r="AI437" s="401"/>
      <c r="AJ437" s="401"/>
      <c r="AK437" s="401"/>
      <c r="AL437" s="401"/>
      <c r="AM437" s="401"/>
      <c r="AN437" s="401"/>
      <c r="AO437" s="401"/>
      <c r="AP437" s="401"/>
      <c r="AQ437" s="401"/>
      <c r="AR437" s="401"/>
      <c r="AS437" s="401">
        <v>0</v>
      </c>
      <c r="AT437" s="401"/>
      <c r="AU437" s="401"/>
      <c r="AV437" s="401">
        <v>0</v>
      </c>
      <c r="AW437" s="403"/>
      <c r="AX437" s="403"/>
      <c r="AY437" s="404"/>
      <c r="AZ437" s="404"/>
      <c r="BA437" s="404"/>
      <c r="BB437" s="404"/>
      <c r="BC437" s="404"/>
      <c r="BD437" s="404"/>
      <c r="BE437" s="401">
        <v>0</v>
      </c>
      <c r="BF437" s="401"/>
      <c r="BG437" s="401"/>
      <c r="BH437" s="401">
        <v>0</v>
      </c>
      <c r="BI437" s="401"/>
      <c r="BJ437" s="401"/>
      <c r="BK437" s="402">
        <f>0+20000000</f>
        <v>20000000</v>
      </c>
      <c r="BL437" s="402">
        <v>20000000</v>
      </c>
      <c r="BM437" s="402">
        <v>20000000</v>
      </c>
      <c r="BN437" s="415"/>
      <c r="BO437" s="415"/>
      <c r="BP437" s="415"/>
      <c r="BQ437" s="401">
        <v>0</v>
      </c>
      <c r="BR437" s="403"/>
      <c r="BS437" s="403"/>
      <c r="BT437" s="403"/>
      <c r="BU437" s="403"/>
      <c r="BV437" s="403"/>
      <c r="BW437" s="403"/>
      <c r="BX437" s="403"/>
      <c r="BY437" s="403"/>
      <c r="BZ437" s="401">
        <f t="shared" si="182"/>
        <v>20000000</v>
      </c>
      <c r="CA437" s="401">
        <f t="shared" si="182"/>
        <v>20000000</v>
      </c>
      <c r="CB437" s="401">
        <f t="shared" si="182"/>
        <v>20000000</v>
      </c>
    </row>
    <row r="438" spans="1:80" ht="30" customHeight="1" x14ac:dyDescent="0.2">
      <c r="A438" s="205"/>
      <c r="B438" s="42"/>
      <c r="C438" s="714"/>
      <c r="D438" s="709"/>
      <c r="E438" s="287"/>
      <c r="F438" s="287"/>
      <c r="G438" s="58"/>
      <c r="H438" s="59"/>
      <c r="I438" s="58"/>
      <c r="J438" s="191"/>
      <c r="K438" s="196"/>
      <c r="L438" s="293"/>
      <c r="M438" s="196"/>
      <c r="N438" s="196"/>
      <c r="O438" s="59"/>
      <c r="P438" s="58"/>
      <c r="Q438" s="59"/>
      <c r="R438" s="410">
        <f t="shared" ref="R438:BY438" si="183">SUM(R433:R437)</f>
        <v>0</v>
      </c>
      <c r="S438" s="410">
        <f t="shared" si="183"/>
        <v>0</v>
      </c>
      <c r="T438" s="410">
        <f t="shared" si="183"/>
        <v>0</v>
      </c>
      <c r="U438" s="410">
        <f t="shared" si="183"/>
        <v>0</v>
      </c>
      <c r="V438" s="410">
        <f t="shared" si="183"/>
        <v>0</v>
      </c>
      <c r="W438" s="410">
        <f t="shared" si="183"/>
        <v>0</v>
      </c>
      <c r="X438" s="410">
        <f t="shared" si="183"/>
        <v>0</v>
      </c>
      <c r="Y438" s="410">
        <f t="shared" si="183"/>
        <v>0</v>
      </c>
      <c r="Z438" s="410">
        <f t="shared" si="183"/>
        <v>0</v>
      </c>
      <c r="AA438" s="410">
        <f t="shared" si="183"/>
        <v>0</v>
      </c>
      <c r="AB438" s="410">
        <f t="shared" si="183"/>
        <v>0</v>
      </c>
      <c r="AC438" s="410">
        <f t="shared" si="183"/>
        <v>0</v>
      </c>
      <c r="AD438" s="410">
        <f t="shared" si="183"/>
        <v>0</v>
      </c>
      <c r="AE438" s="410">
        <f t="shared" si="183"/>
        <v>0</v>
      </c>
      <c r="AF438" s="410">
        <f t="shared" si="183"/>
        <v>0</v>
      </c>
      <c r="AG438" s="410">
        <f t="shared" si="183"/>
        <v>0</v>
      </c>
      <c r="AH438" s="410">
        <f t="shared" si="183"/>
        <v>0</v>
      </c>
      <c r="AI438" s="410">
        <f t="shared" si="183"/>
        <v>0</v>
      </c>
      <c r="AJ438" s="410">
        <f t="shared" si="183"/>
        <v>0</v>
      </c>
      <c r="AK438" s="410">
        <f t="shared" si="183"/>
        <v>0</v>
      </c>
      <c r="AL438" s="410">
        <f t="shared" si="183"/>
        <v>0</v>
      </c>
      <c r="AM438" s="410">
        <f t="shared" si="183"/>
        <v>0</v>
      </c>
      <c r="AN438" s="410">
        <f t="shared" si="183"/>
        <v>0</v>
      </c>
      <c r="AO438" s="410">
        <f t="shared" si="183"/>
        <v>0</v>
      </c>
      <c r="AP438" s="410">
        <f t="shared" si="183"/>
        <v>0</v>
      </c>
      <c r="AQ438" s="410">
        <f t="shared" si="183"/>
        <v>0</v>
      </c>
      <c r="AR438" s="410">
        <f t="shared" si="183"/>
        <v>0</v>
      </c>
      <c r="AS438" s="410">
        <f t="shared" si="183"/>
        <v>0</v>
      </c>
      <c r="AT438" s="410">
        <f t="shared" si="183"/>
        <v>0</v>
      </c>
      <c r="AU438" s="410">
        <f t="shared" si="183"/>
        <v>0</v>
      </c>
      <c r="AV438" s="410">
        <f t="shared" si="183"/>
        <v>0</v>
      </c>
      <c r="AW438" s="410">
        <f t="shared" si="183"/>
        <v>0</v>
      </c>
      <c r="AX438" s="410">
        <f t="shared" si="183"/>
        <v>0</v>
      </c>
      <c r="AY438" s="410">
        <f t="shared" si="183"/>
        <v>0</v>
      </c>
      <c r="AZ438" s="410">
        <f t="shared" si="183"/>
        <v>0</v>
      </c>
      <c r="BA438" s="410">
        <f t="shared" si="183"/>
        <v>0</v>
      </c>
      <c r="BB438" s="410">
        <f t="shared" si="183"/>
        <v>0</v>
      </c>
      <c r="BC438" s="410">
        <f t="shared" si="183"/>
        <v>0</v>
      </c>
      <c r="BD438" s="410">
        <f t="shared" si="183"/>
        <v>0</v>
      </c>
      <c r="BE438" s="410">
        <f t="shared" si="183"/>
        <v>0</v>
      </c>
      <c r="BF438" s="410">
        <f t="shared" si="183"/>
        <v>0</v>
      </c>
      <c r="BG438" s="410">
        <f t="shared" si="183"/>
        <v>0</v>
      </c>
      <c r="BH438" s="410">
        <f t="shared" si="183"/>
        <v>0</v>
      </c>
      <c r="BI438" s="410">
        <f t="shared" si="183"/>
        <v>0</v>
      </c>
      <c r="BJ438" s="410">
        <f t="shared" si="183"/>
        <v>0</v>
      </c>
      <c r="BK438" s="410">
        <f t="shared" si="183"/>
        <v>44075000</v>
      </c>
      <c r="BL438" s="410">
        <f t="shared" si="183"/>
        <v>44075000</v>
      </c>
      <c r="BM438" s="410">
        <f t="shared" si="183"/>
        <v>38725000</v>
      </c>
      <c r="BN438" s="410">
        <f t="shared" si="183"/>
        <v>0</v>
      </c>
      <c r="BO438" s="410">
        <f t="shared" si="183"/>
        <v>0</v>
      </c>
      <c r="BP438" s="410">
        <f t="shared" si="183"/>
        <v>0</v>
      </c>
      <c r="BQ438" s="410">
        <f t="shared" si="183"/>
        <v>0</v>
      </c>
      <c r="BR438" s="410">
        <f t="shared" si="183"/>
        <v>0</v>
      </c>
      <c r="BS438" s="410">
        <f t="shared" si="183"/>
        <v>0</v>
      </c>
      <c r="BT438" s="410">
        <f t="shared" si="183"/>
        <v>0</v>
      </c>
      <c r="BU438" s="410">
        <f t="shared" si="183"/>
        <v>0</v>
      </c>
      <c r="BV438" s="410">
        <f t="shared" si="183"/>
        <v>0</v>
      </c>
      <c r="BW438" s="410">
        <f t="shared" si="183"/>
        <v>0</v>
      </c>
      <c r="BX438" s="410">
        <f t="shared" si="183"/>
        <v>0</v>
      </c>
      <c r="BY438" s="410">
        <f t="shared" si="183"/>
        <v>0</v>
      </c>
      <c r="BZ438" s="410">
        <f>SUM(BZ433:BZ437)</f>
        <v>44075000</v>
      </c>
      <c r="CA438" s="410">
        <f t="shared" ref="CA438:CB438" si="184">SUM(CA433:CA437)</f>
        <v>44075000</v>
      </c>
      <c r="CB438" s="410">
        <f t="shared" si="184"/>
        <v>38725000</v>
      </c>
    </row>
    <row r="439" spans="1:80" ht="30" customHeight="1" x14ac:dyDescent="0.2">
      <c r="A439" s="205"/>
      <c r="B439" s="42"/>
      <c r="C439" s="150"/>
      <c r="D439" s="72"/>
      <c r="E439" s="264"/>
      <c r="F439" s="264"/>
      <c r="G439" s="72"/>
      <c r="H439" s="150"/>
      <c r="I439" s="72"/>
      <c r="J439" s="73"/>
      <c r="K439" s="197"/>
      <c r="L439" s="278"/>
      <c r="M439" s="206"/>
      <c r="N439" s="119"/>
      <c r="O439" s="400"/>
      <c r="P439" s="101"/>
      <c r="Q439" s="150"/>
      <c r="R439" s="405"/>
      <c r="S439" s="405"/>
      <c r="T439" s="405"/>
      <c r="U439" s="405"/>
      <c r="V439" s="405"/>
      <c r="W439" s="405"/>
      <c r="X439" s="405"/>
      <c r="Y439" s="405"/>
      <c r="Z439" s="405"/>
      <c r="AA439" s="405"/>
      <c r="AB439" s="405"/>
      <c r="AC439" s="405"/>
      <c r="AD439" s="405"/>
      <c r="AE439" s="405"/>
      <c r="AF439" s="405"/>
      <c r="AG439" s="405"/>
      <c r="AH439" s="405"/>
      <c r="AI439" s="405"/>
      <c r="AJ439" s="405"/>
      <c r="AK439" s="405"/>
      <c r="AL439" s="405"/>
      <c r="AM439" s="405"/>
      <c r="AN439" s="405"/>
      <c r="AO439" s="405"/>
      <c r="AP439" s="405"/>
      <c r="AQ439" s="405"/>
      <c r="AR439" s="405"/>
      <c r="AS439" s="405"/>
      <c r="AT439" s="405"/>
      <c r="AU439" s="405"/>
      <c r="AV439" s="405"/>
      <c r="AW439" s="405"/>
      <c r="AX439" s="405"/>
      <c r="AY439" s="405"/>
      <c r="AZ439" s="405"/>
      <c r="BA439" s="405"/>
      <c r="BB439" s="405"/>
      <c r="BC439" s="405"/>
      <c r="BD439" s="405"/>
      <c r="BE439" s="405"/>
      <c r="BF439" s="405"/>
      <c r="BG439" s="405"/>
      <c r="BH439" s="405"/>
      <c r="BI439" s="405"/>
      <c r="BJ439" s="405"/>
      <c r="BK439" s="407"/>
      <c r="BL439" s="407"/>
      <c r="BM439" s="407"/>
      <c r="BN439" s="405"/>
      <c r="BO439" s="405"/>
      <c r="BP439" s="405"/>
      <c r="BQ439" s="405"/>
      <c r="BR439" s="405"/>
      <c r="BS439" s="405"/>
      <c r="BT439" s="405"/>
      <c r="BU439" s="405"/>
      <c r="BV439" s="405"/>
      <c r="BW439" s="405"/>
      <c r="BX439" s="405"/>
      <c r="BY439" s="405"/>
      <c r="BZ439" s="409"/>
      <c r="CA439" s="409"/>
      <c r="CB439" s="409"/>
    </row>
    <row r="440" spans="1:80" ht="30" customHeight="1" x14ac:dyDescent="0.2">
      <c r="A440" s="205"/>
      <c r="B440" s="42"/>
      <c r="C440" s="713"/>
      <c r="D440" s="707"/>
      <c r="E440" s="732"/>
      <c r="F440" s="732"/>
      <c r="G440" s="78">
        <v>24</v>
      </c>
      <c r="H440" s="80" t="s">
        <v>564</v>
      </c>
      <c r="I440" s="80"/>
      <c r="J440" s="80"/>
      <c r="K440" s="153"/>
      <c r="L440" s="221"/>
      <c r="M440" s="153"/>
      <c r="N440" s="173"/>
      <c r="O440" s="173"/>
      <c r="P440" s="80"/>
      <c r="Q440" s="80"/>
      <c r="R440" s="267"/>
      <c r="S440" s="267"/>
      <c r="T440" s="267"/>
      <c r="U440" s="267"/>
      <c r="V440" s="267"/>
      <c r="W440" s="267"/>
      <c r="X440" s="267"/>
      <c r="Y440" s="267"/>
      <c r="Z440" s="267"/>
      <c r="AA440" s="267"/>
      <c r="AB440" s="267"/>
      <c r="AC440" s="267"/>
      <c r="AD440" s="267"/>
      <c r="AE440" s="267"/>
      <c r="AF440" s="267"/>
      <c r="AG440" s="267"/>
      <c r="AH440" s="267"/>
      <c r="AI440" s="267"/>
      <c r="AJ440" s="267"/>
      <c r="AK440" s="267"/>
      <c r="AL440" s="267"/>
      <c r="AM440" s="267"/>
      <c r="AN440" s="267"/>
      <c r="AO440" s="267"/>
      <c r="AP440" s="267"/>
      <c r="AQ440" s="267"/>
      <c r="AR440" s="267"/>
      <c r="AS440" s="267"/>
      <c r="AT440" s="267"/>
      <c r="AU440" s="267"/>
      <c r="AV440" s="267"/>
      <c r="AW440" s="267"/>
      <c r="AX440" s="267"/>
      <c r="AY440" s="267"/>
      <c r="AZ440" s="267"/>
      <c r="BA440" s="267"/>
      <c r="BB440" s="267"/>
      <c r="BC440" s="267"/>
      <c r="BD440" s="267"/>
      <c r="BE440" s="267"/>
      <c r="BF440" s="267"/>
      <c r="BG440" s="267"/>
      <c r="BH440" s="267"/>
      <c r="BI440" s="267"/>
      <c r="BJ440" s="267"/>
      <c r="BK440" s="414"/>
      <c r="BL440" s="414"/>
      <c r="BM440" s="414"/>
      <c r="BN440" s="267"/>
      <c r="BO440" s="267"/>
      <c r="BP440" s="267"/>
      <c r="BQ440" s="267"/>
      <c r="BR440" s="267"/>
      <c r="BS440" s="267"/>
      <c r="BT440" s="267"/>
      <c r="BU440" s="267"/>
      <c r="BV440" s="267"/>
      <c r="BW440" s="267"/>
      <c r="BX440" s="267"/>
      <c r="BY440" s="267"/>
      <c r="BZ440" s="269"/>
      <c r="CA440" s="269"/>
      <c r="CB440" s="269"/>
    </row>
    <row r="441" spans="1:80" s="376" customFormat="1" ht="63.75" customHeight="1" x14ac:dyDescent="0.2">
      <c r="A441" s="205"/>
      <c r="B441" s="205"/>
      <c r="C441" s="702"/>
      <c r="D441" s="708"/>
      <c r="E441" s="716"/>
      <c r="F441" s="712"/>
      <c r="G441" s="713"/>
      <c r="H441" s="57">
        <v>103</v>
      </c>
      <c r="I441" s="729" t="s">
        <v>565</v>
      </c>
      <c r="J441" s="169">
        <v>3</v>
      </c>
      <c r="K441" s="190">
        <v>3</v>
      </c>
      <c r="L441" s="190">
        <v>7</v>
      </c>
      <c r="M441" s="884">
        <v>2017003630032</v>
      </c>
      <c r="N441" s="915" t="s">
        <v>485</v>
      </c>
      <c r="O441" s="895" t="s">
        <v>566</v>
      </c>
      <c r="P441" s="890" t="s">
        <v>991</v>
      </c>
      <c r="Q441" s="57" t="s">
        <v>67</v>
      </c>
      <c r="R441" s="401">
        <v>0</v>
      </c>
      <c r="S441" s="401"/>
      <c r="T441" s="401"/>
      <c r="U441" s="401">
        <v>0</v>
      </c>
      <c r="V441" s="401"/>
      <c r="W441" s="401"/>
      <c r="X441" s="401">
        <v>0</v>
      </c>
      <c r="Y441" s="401"/>
      <c r="Z441" s="401"/>
      <c r="AA441" s="401">
        <v>0</v>
      </c>
      <c r="AB441" s="401"/>
      <c r="AC441" s="401"/>
      <c r="AD441" s="401">
        <v>0</v>
      </c>
      <c r="AE441" s="401"/>
      <c r="AF441" s="401"/>
      <c r="AG441" s="401">
        <v>0</v>
      </c>
      <c r="AH441" s="401"/>
      <c r="AI441" s="401"/>
      <c r="AJ441" s="401">
        <v>0</v>
      </c>
      <c r="AK441" s="401"/>
      <c r="AL441" s="401"/>
      <c r="AM441" s="401"/>
      <c r="AN441" s="401"/>
      <c r="AO441" s="401"/>
      <c r="AP441" s="401"/>
      <c r="AQ441" s="401"/>
      <c r="AR441" s="401"/>
      <c r="AS441" s="401">
        <v>0</v>
      </c>
      <c r="AT441" s="401"/>
      <c r="AU441" s="401"/>
      <c r="AV441" s="401">
        <v>0</v>
      </c>
      <c r="AW441" s="401"/>
      <c r="AX441" s="401"/>
      <c r="AY441" s="402"/>
      <c r="AZ441" s="402"/>
      <c r="BA441" s="402"/>
      <c r="BB441" s="402"/>
      <c r="BC441" s="402"/>
      <c r="BD441" s="402"/>
      <c r="BE441" s="401">
        <v>0</v>
      </c>
      <c r="BF441" s="401"/>
      <c r="BG441" s="401"/>
      <c r="BH441" s="401">
        <v>0</v>
      </c>
      <c r="BI441" s="401"/>
      <c r="BJ441" s="401"/>
      <c r="BK441" s="402">
        <f>10000000</f>
        <v>10000000</v>
      </c>
      <c r="BL441" s="805"/>
      <c r="BM441" s="496"/>
      <c r="BN441" s="430"/>
      <c r="BO441" s="430"/>
      <c r="BP441" s="430"/>
      <c r="BQ441" s="401">
        <v>0</v>
      </c>
      <c r="BR441" s="403"/>
      <c r="BS441" s="403"/>
      <c r="BT441" s="403"/>
      <c r="BU441" s="403"/>
      <c r="BV441" s="403"/>
      <c r="BW441" s="403">
        <v>0</v>
      </c>
      <c r="BX441" s="403"/>
      <c r="BY441" s="403"/>
      <c r="BZ441" s="401">
        <f t="shared" ref="BZ441:CB445" si="185">R441+U441+X441+AA441+AD441+AG441+AJ441+AM441+AP441+AS441+AV441+AY441+BB441+BE441+BH441+BK441+BN441+BQ441+BT441+BW441</f>
        <v>10000000</v>
      </c>
      <c r="CA441" s="401">
        <f t="shared" si="185"/>
        <v>0</v>
      </c>
      <c r="CB441" s="401">
        <f t="shared" si="185"/>
        <v>0</v>
      </c>
    </row>
    <row r="442" spans="1:80" s="376" customFormat="1" ht="63.75" customHeight="1" x14ac:dyDescent="0.25">
      <c r="A442" s="205"/>
      <c r="B442" s="205"/>
      <c r="C442" s="702">
        <v>17</v>
      </c>
      <c r="D442" s="708" t="s">
        <v>568</v>
      </c>
      <c r="E442" s="716">
        <v>0.63270000000000004</v>
      </c>
      <c r="F442" s="712">
        <v>0.5</v>
      </c>
      <c r="G442" s="702"/>
      <c r="H442" s="57">
        <v>104</v>
      </c>
      <c r="I442" s="729" t="s">
        <v>569</v>
      </c>
      <c r="J442" s="169">
        <v>4</v>
      </c>
      <c r="K442" s="190">
        <v>44</v>
      </c>
      <c r="L442" s="190">
        <v>54</v>
      </c>
      <c r="M442" s="885"/>
      <c r="N442" s="919"/>
      <c r="O442" s="883"/>
      <c r="P442" s="891"/>
      <c r="Q442" s="57" t="s">
        <v>67</v>
      </c>
      <c r="R442" s="401">
        <v>0</v>
      </c>
      <c r="S442" s="401"/>
      <c r="T442" s="401"/>
      <c r="U442" s="401">
        <v>0</v>
      </c>
      <c r="V442" s="401"/>
      <c r="W442" s="401"/>
      <c r="X442" s="401">
        <v>0</v>
      </c>
      <c r="Y442" s="401"/>
      <c r="Z442" s="401"/>
      <c r="AA442" s="401">
        <v>0</v>
      </c>
      <c r="AB442" s="401"/>
      <c r="AC442" s="401"/>
      <c r="AD442" s="401">
        <v>0</v>
      </c>
      <c r="AE442" s="401"/>
      <c r="AF442" s="401"/>
      <c r="AG442" s="401">
        <v>0</v>
      </c>
      <c r="AH442" s="401"/>
      <c r="AI442" s="401"/>
      <c r="AJ442" s="401"/>
      <c r="AK442" s="401"/>
      <c r="AL442" s="401"/>
      <c r="AM442" s="401"/>
      <c r="AN442" s="401"/>
      <c r="AO442" s="401"/>
      <c r="AP442" s="401"/>
      <c r="AQ442" s="401"/>
      <c r="AR442" s="401"/>
      <c r="AS442" s="401">
        <v>0</v>
      </c>
      <c r="AT442" s="401"/>
      <c r="AU442" s="401"/>
      <c r="AV442" s="401">
        <v>0</v>
      </c>
      <c r="AW442" s="401"/>
      <c r="AX442" s="401"/>
      <c r="AY442" s="402"/>
      <c r="AZ442" s="402"/>
      <c r="BA442" s="402"/>
      <c r="BB442" s="402"/>
      <c r="BC442" s="402"/>
      <c r="BD442" s="402"/>
      <c r="BE442" s="401">
        <v>0</v>
      </c>
      <c r="BF442" s="401"/>
      <c r="BG442" s="401"/>
      <c r="BH442" s="401">
        <v>0</v>
      </c>
      <c r="BI442" s="401"/>
      <c r="BJ442" s="401"/>
      <c r="BK442" s="402">
        <v>10000000</v>
      </c>
      <c r="BL442" s="404"/>
      <c r="BM442" s="402"/>
      <c r="BN442" s="415"/>
      <c r="BO442" s="415"/>
      <c r="BP442" s="415"/>
      <c r="BQ442" s="401">
        <v>0</v>
      </c>
      <c r="BR442" s="403"/>
      <c r="BS442" s="403"/>
      <c r="BT442" s="403"/>
      <c r="BU442" s="403"/>
      <c r="BV442" s="403"/>
      <c r="BW442" s="403">
        <v>0</v>
      </c>
      <c r="BX442" s="403"/>
      <c r="BY442" s="403"/>
      <c r="BZ442" s="401">
        <f t="shared" si="185"/>
        <v>10000000</v>
      </c>
      <c r="CA442" s="401">
        <f t="shared" si="185"/>
        <v>0</v>
      </c>
      <c r="CB442" s="401">
        <f t="shared" si="185"/>
        <v>0</v>
      </c>
    </row>
    <row r="443" spans="1:80" s="376" customFormat="1" ht="63.75" customHeight="1" x14ac:dyDescent="0.25">
      <c r="A443" s="205"/>
      <c r="B443" s="205"/>
      <c r="C443" s="702">
        <v>18</v>
      </c>
      <c r="D443" s="708" t="s">
        <v>570</v>
      </c>
      <c r="E443" s="702">
        <v>6</v>
      </c>
      <c r="F443" s="286">
        <v>12</v>
      </c>
      <c r="G443" s="702"/>
      <c r="H443" s="57">
        <v>105</v>
      </c>
      <c r="I443" s="729" t="s">
        <v>571</v>
      </c>
      <c r="J443" s="169">
        <v>43</v>
      </c>
      <c r="K443" s="190">
        <v>47</v>
      </c>
      <c r="L443" s="190">
        <v>49</v>
      </c>
      <c r="M443" s="885"/>
      <c r="N443" s="919"/>
      <c r="O443" s="883"/>
      <c r="P443" s="891"/>
      <c r="Q443" s="57" t="s">
        <v>52</v>
      </c>
      <c r="R443" s="401">
        <v>0</v>
      </c>
      <c r="S443" s="401"/>
      <c r="T443" s="401"/>
      <c r="U443" s="401">
        <v>0</v>
      </c>
      <c r="V443" s="401"/>
      <c r="W443" s="401"/>
      <c r="X443" s="401">
        <v>0</v>
      </c>
      <c r="Y443" s="401"/>
      <c r="Z443" s="401"/>
      <c r="AA443" s="401">
        <v>0</v>
      </c>
      <c r="AB443" s="401"/>
      <c r="AC443" s="401"/>
      <c r="AD443" s="401">
        <v>0</v>
      </c>
      <c r="AE443" s="401"/>
      <c r="AF443" s="401"/>
      <c r="AG443" s="401">
        <v>0</v>
      </c>
      <c r="AH443" s="401"/>
      <c r="AI443" s="401"/>
      <c r="AJ443" s="401"/>
      <c r="AK443" s="401"/>
      <c r="AL443" s="401"/>
      <c r="AM443" s="401"/>
      <c r="AN443" s="401"/>
      <c r="AO443" s="401"/>
      <c r="AP443" s="401"/>
      <c r="AQ443" s="401"/>
      <c r="AR443" s="401"/>
      <c r="AS443" s="401">
        <v>0</v>
      </c>
      <c r="AT443" s="401"/>
      <c r="AU443" s="401"/>
      <c r="AV443" s="401">
        <v>0</v>
      </c>
      <c r="AW443" s="401"/>
      <c r="AX443" s="401"/>
      <c r="AY443" s="402">
        <f>24300000-24300000</f>
        <v>0</v>
      </c>
      <c r="AZ443" s="402"/>
      <c r="BA443" s="402"/>
      <c r="BB443" s="402"/>
      <c r="BC443" s="402"/>
      <c r="BD443" s="402"/>
      <c r="BE443" s="401">
        <v>0</v>
      </c>
      <c r="BF443" s="401"/>
      <c r="BG443" s="401"/>
      <c r="BH443" s="401">
        <v>0</v>
      </c>
      <c r="BI443" s="401"/>
      <c r="BJ443" s="401"/>
      <c r="BK443" s="672">
        <f>10000000+270000000+50000000</f>
        <v>330000000</v>
      </c>
      <c r="BL443" s="402">
        <v>329532576</v>
      </c>
      <c r="BM443" s="402">
        <v>256585872</v>
      </c>
      <c r="BN443" s="402"/>
      <c r="BO443" s="402"/>
      <c r="BP443" s="402"/>
      <c r="BQ443" s="401">
        <v>0</v>
      </c>
      <c r="BR443" s="403"/>
      <c r="BS443" s="403"/>
      <c r="BT443" s="403"/>
      <c r="BU443" s="403"/>
      <c r="BV443" s="403"/>
      <c r="BW443" s="403">
        <v>0</v>
      </c>
      <c r="BX443" s="403"/>
      <c r="BY443" s="403"/>
      <c r="BZ443" s="401">
        <f t="shared" si="185"/>
        <v>330000000</v>
      </c>
      <c r="CA443" s="401">
        <f t="shared" si="185"/>
        <v>329532576</v>
      </c>
      <c r="CB443" s="401">
        <f t="shared" si="185"/>
        <v>256585872</v>
      </c>
    </row>
    <row r="444" spans="1:80" s="376" customFormat="1" ht="63.75" customHeight="1" x14ac:dyDescent="0.25">
      <c r="A444" s="205"/>
      <c r="B444" s="205"/>
      <c r="C444" s="702">
        <v>20</v>
      </c>
      <c r="D444" s="708" t="s">
        <v>572</v>
      </c>
      <c r="E444" s="716" t="s">
        <v>573</v>
      </c>
      <c r="F444" s="716" t="s">
        <v>574</v>
      </c>
      <c r="G444" s="702"/>
      <c r="H444" s="713">
        <v>106</v>
      </c>
      <c r="I444" s="707" t="s">
        <v>575</v>
      </c>
      <c r="J444" s="170">
        <v>0</v>
      </c>
      <c r="K444" s="725">
        <v>1</v>
      </c>
      <c r="L444" s="606">
        <v>0.75</v>
      </c>
      <c r="M444" s="886"/>
      <c r="N444" s="919"/>
      <c r="O444" s="883"/>
      <c r="P444" s="891"/>
      <c r="Q444" s="713" t="s">
        <v>52</v>
      </c>
      <c r="R444" s="440">
        <v>0</v>
      </c>
      <c r="S444" s="440"/>
      <c r="T444" s="440"/>
      <c r="U444" s="440">
        <v>0</v>
      </c>
      <c r="V444" s="440"/>
      <c r="W444" s="440"/>
      <c r="X444" s="440">
        <v>0</v>
      </c>
      <c r="Y444" s="440"/>
      <c r="Z444" s="440"/>
      <c r="AA444" s="440">
        <v>0</v>
      </c>
      <c r="AB444" s="440"/>
      <c r="AC444" s="440"/>
      <c r="AD444" s="440">
        <v>0</v>
      </c>
      <c r="AE444" s="440"/>
      <c r="AF444" s="440"/>
      <c r="AG444" s="440">
        <v>0</v>
      </c>
      <c r="AH444" s="440"/>
      <c r="AI444" s="440"/>
      <c r="AJ444" s="440"/>
      <c r="AK444" s="440"/>
      <c r="AL444" s="440"/>
      <c r="AM444" s="440"/>
      <c r="AN444" s="440"/>
      <c r="AO444" s="440"/>
      <c r="AP444" s="440"/>
      <c r="AQ444" s="440"/>
      <c r="AR444" s="440"/>
      <c r="AS444" s="440">
        <v>0</v>
      </c>
      <c r="AT444" s="440"/>
      <c r="AU444" s="440"/>
      <c r="AV444" s="440">
        <v>0</v>
      </c>
      <c r="AW444" s="440"/>
      <c r="AX444" s="440"/>
      <c r="AY444" s="402">
        <f>40500000-40500000</f>
        <v>0</v>
      </c>
      <c r="AZ444" s="458"/>
      <c r="BA444" s="458"/>
      <c r="BB444" s="458"/>
      <c r="BC444" s="458"/>
      <c r="BD444" s="458"/>
      <c r="BE444" s="440">
        <v>0</v>
      </c>
      <c r="BF444" s="440"/>
      <c r="BG444" s="440"/>
      <c r="BH444" s="440">
        <v>0</v>
      </c>
      <c r="BI444" s="440"/>
      <c r="BJ444" s="440"/>
      <c r="BK444" s="672">
        <f>16000000+30000000</f>
        <v>46000000</v>
      </c>
      <c r="BL444" s="458">
        <v>46000000</v>
      </c>
      <c r="BM444" s="458">
        <v>25863500</v>
      </c>
      <c r="BN444" s="458"/>
      <c r="BO444" s="458"/>
      <c r="BP444" s="458"/>
      <c r="BQ444" s="440">
        <v>0</v>
      </c>
      <c r="BR444" s="468"/>
      <c r="BS444" s="468"/>
      <c r="BT444" s="468"/>
      <c r="BU444" s="468"/>
      <c r="BV444" s="468"/>
      <c r="BW444" s="468">
        <v>0</v>
      </c>
      <c r="BX444" s="468"/>
      <c r="BY444" s="468"/>
      <c r="BZ444" s="401">
        <f t="shared" si="185"/>
        <v>46000000</v>
      </c>
      <c r="CA444" s="401">
        <f t="shared" si="185"/>
        <v>46000000</v>
      </c>
      <c r="CB444" s="401">
        <f t="shared" si="185"/>
        <v>25863500</v>
      </c>
    </row>
    <row r="445" spans="1:80" s="376" customFormat="1" ht="63.75" customHeight="1" x14ac:dyDescent="0.25">
      <c r="A445" s="205"/>
      <c r="B445" s="205"/>
      <c r="C445" s="713">
        <v>20</v>
      </c>
      <c r="D445" s="707" t="s">
        <v>572</v>
      </c>
      <c r="E445" s="732" t="s">
        <v>573</v>
      </c>
      <c r="F445" s="732" t="s">
        <v>574</v>
      </c>
      <c r="G445" s="57"/>
      <c r="H445" s="57">
        <v>107</v>
      </c>
      <c r="I445" s="729" t="s">
        <v>576</v>
      </c>
      <c r="J445" s="169">
        <v>1</v>
      </c>
      <c r="K445" s="190">
        <v>1</v>
      </c>
      <c r="L445" s="190">
        <v>1</v>
      </c>
      <c r="M445" s="190"/>
      <c r="N445" s="190" t="s">
        <v>485</v>
      </c>
      <c r="O445" s="107" t="s">
        <v>577</v>
      </c>
      <c r="P445" s="729" t="s">
        <v>578</v>
      </c>
      <c r="Q445" s="57" t="s">
        <v>52</v>
      </c>
      <c r="R445" s="401"/>
      <c r="S445" s="401"/>
      <c r="T445" s="401"/>
      <c r="U445" s="401"/>
      <c r="V445" s="401"/>
      <c r="W445" s="401"/>
      <c r="X445" s="401"/>
      <c r="Y445" s="401"/>
      <c r="Z445" s="401"/>
      <c r="AA445" s="401"/>
      <c r="AB445" s="401"/>
      <c r="AC445" s="401"/>
      <c r="AD445" s="401"/>
      <c r="AE445" s="401"/>
      <c r="AF445" s="401"/>
      <c r="AG445" s="401"/>
      <c r="AH445" s="401"/>
      <c r="AI445" s="401"/>
      <c r="AJ445" s="680">
        <f>373504909</f>
        <v>373504909</v>
      </c>
      <c r="AK445" s="401">
        <v>373504909</v>
      </c>
      <c r="AL445" s="401">
        <v>373504909</v>
      </c>
      <c r="AM445" s="401"/>
      <c r="AN445" s="401"/>
      <c r="AO445" s="401"/>
      <c r="AP445" s="401"/>
      <c r="AQ445" s="401"/>
      <c r="AR445" s="401"/>
      <c r="AS445" s="401"/>
      <c r="AT445" s="401"/>
      <c r="AU445" s="401"/>
      <c r="AV445" s="401"/>
      <c r="AW445" s="401"/>
      <c r="AX445" s="401"/>
      <c r="AY445" s="402">
        <f>790000-790000</f>
        <v>0</v>
      </c>
      <c r="AZ445" s="402"/>
      <c r="BA445" s="402"/>
      <c r="BB445" s="402"/>
      <c r="BC445" s="402"/>
      <c r="BD445" s="402"/>
      <c r="BE445" s="401"/>
      <c r="BF445" s="401"/>
      <c r="BG445" s="401"/>
      <c r="BH445" s="401"/>
      <c r="BI445" s="403"/>
      <c r="BJ445" s="403"/>
      <c r="BK445" s="685">
        <f>45000000+626495091+44752352</f>
        <v>716247443</v>
      </c>
      <c r="BL445" s="483">
        <v>679722121</v>
      </c>
      <c r="BM445" s="483">
        <v>679722121</v>
      </c>
      <c r="BN445" s="415"/>
      <c r="BO445" s="415"/>
      <c r="BP445" s="415"/>
      <c r="BQ445" s="401"/>
      <c r="BR445" s="401"/>
      <c r="BS445" s="401"/>
      <c r="BT445" s="401"/>
      <c r="BU445" s="401"/>
      <c r="BV445" s="401"/>
      <c r="BW445" s="401"/>
      <c r="BX445" s="401"/>
      <c r="BY445" s="401"/>
      <c r="BZ445" s="401">
        <f t="shared" si="185"/>
        <v>1089752352</v>
      </c>
      <c r="CA445" s="401">
        <f t="shared" si="185"/>
        <v>1053227030</v>
      </c>
      <c r="CB445" s="401">
        <f t="shared" si="185"/>
        <v>1053227030</v>
      </c>
    </row>
    <row r="446" spans="1:80" s="376" customFormat="1" ht="30" customHeight="1" x14ac:dyDescent="0.25">
      <c r="A446" s="205"/>
      <c r="B446" s="55"/>
      <c r="C446" s="714"/>
      <c r="D446" s="709"/>
      <c r="E446" s="287"/>
      <c r="F446" s="287"/>
      <c r="G446" s="288"/>
      <c r="H446" s="289"/>
      <c r="I446" s="288"/>
      <c r="J446" s="290"/>
      <c r="K446" s="291"/>
      <c r="L446" s="607"/>
      <c r="M446" s="291"/>
      <c r="N446" s="291"/>
      <c r="O446" s="289"/>
      <c r="P446" s="288"/>
      <c r="Q446" s="289"/>
      <c r="R446" s="497">
        <f t="shared" ref="R446:BY446" si="186">SUM(R441:R445)</f>
        <v>0</v>
      </c>
      <c r="S446" s="497">
        <f t="shared" si="186"/>
        <v>0</v>
      </c>
      <c r="T446" s="497">
        <f t="shared" si="186"/>
        <v>0</v>
      </c>
      <c r="U446" s="497">
        <f t="shared" si="186"/>
        <v>0</v>
      </c>
      <c r="V446" s="497">
        <f t="shared" si="186"/>
        <v>0</v>
      </c>
      <c r="W446" s="497">
        <f t="shared" si="186"/>
        <v>0</v>
      </c>
      <c r="X446" s="497">
        <f t="shared" si="186"/>
        <v>0</v>
      </c>
      <c r="Y446" s="497">
        <f t="shared" si="186"/>
        <v>0</v>
      </c>
      <c r="Z446" s="497">
        <f t="shared" si="186"/>
        <v>0</v>
      </c>
      <c r="AA446" s="497">
        <f t="shared" si="186"/>
        <v>0</v>
      </c>
      <c r="AB446" s="497">
        <f t="shared" si="186"/>
        <v>0</v>
      </c>
      <c r="AC446" s="497">
        <f t="shared" si="186"/>
        <v>0</v>
      </c>
      <c r="AD446" s="497">
        <f t="shared" si="186"/>
        <v>0</v>
      </c>
      <c r="AE446" s="497">
        <f t="shared" si="186"/>
        <v>0</v>
      </c>
      <c r="AF446" s="497">
        <f t="shared" si="186"/>
        <v>0</v>
      </c>
      <c r="AG446" s="497">
        <f t="shared" si="186"/>
        <v>0</v>
      </c>
      <c r="AH446" s="497">
        <f t="shared" si="186"/>
        <v>0</v>
      </c>
      <c r="AI446" s="497">
        <f t="shared" si="186"/>
        <v>0</v>
      </c>
      <c r="AJ446" s="497">
        <f t="shared" si="186"/>
        <v>373504909</v>
      </c>
      <c r="AK446" s="497">
        <f t="shared" si="186"/>
        <v>373504909</v>
      </c>
      <c r="AL446" s="497">
        <f t="shared" si="186"/>
        <v>373504909</v>
      </c>
      <c r="AM446" s="497">
        <f t="shared" si="186"/>
        <v>0</v>
      </c>
      <c r="AN446" s="497">
        <f t="shared" si="186"/>
        <v>0</v>
      </c>
      <c r="AO446" s="497">
        <f t="shared" si="186"/>
        <v>0</v>
      </c>
      <c r="AP446" s="497">
        <f t="shared" si="186"/>
        <v>0</v>
      </c>
      <c r="AQ446" s="497">
        <f t="shared" si="186"/>
        <v>0</v>
      </c>
      <c r="AR446" s="497">
        <f t="shared" si="186"/>
        <v>0</v>
      </c>
      <c r="AS446" s="497">
        <f t="shared" si="186"/>
        <v>0</v>
      </c>
      <c r="AT446" s="497">
        <f t="shared" si="186"/>
        <v>0</v>
      </c>
      <c r="AU446" s="497">
        <f t="shared" si="186"/>
        <v>0</v>
      </c>
      <c r="AV446" s="497">
        <f t="shared" si="186"/>
        <v>0</v>
      </c>
      <c r="AW446" s="497">
        <f t="shared" si="186"/>
        <v>0</v>
      </c>
      <c r="AX446" s="497">
        <f t="shared" si="186"/>
        <v>0</v>
      </c>
      <c r="AY446" s="497">
        <f t="shared" si="186"/>
        <v>0</v>
      </c>
      <c r="AZ446" s="497">
        <f t="shared" si="186"/>
        <v>0</v>
      </c>
      <c r="BA446" s="497">
        <f t="shared" si="186"/>
        <v>0</v>
      </c>
      <c r="BB446" s="497">
        <f t="shared" si="186"/>
        <v>0</v>
      </c>
      <c r="BC446" s="497">
        <f t="shared" si="186"/>
        <v>0</v>
      </c>
      <c r="BD446" s="497">
        <f t="shared" si="186"/>
        <v>0</v>
      </c>
      <c r="BE446" s="497">
        <f t="shared" si="186"/>
        <v>0</v>
      </c>
      <c r="BF446" s="497">
        <f t="shared" si="186"/>
        <v>0</v>
      </c>
      <c r="BG446" s="497">
        <f t="shared" si="186"/>
        <v>0</v>
      </c>
      <c r="BH446" s="497">
        <f t="shared" si="186"/>
        <v>0</v>
      </c>
      <c r="BI446" s="497">
        <f t="shared" si="186"/>
        <v>0</v>
      </c>
      <c r="BJ446" s="497">
        <f t="shared" si="186"/>
        <v>0</v>
      </c>
      <c r="BK446" s="497">
        <f t="shared" si="186"/>
        <v>1112247443</v>
      </c>
      <c r="BL446" s="497">
        <f t="shared" si="186"/>
        <v>1055254697</v>
      </c>
      <c r="BM446" s="497">
        <f t="shared" si="186"/>
        <v>962171493</v>
      </c>
      <c r="BN446" s="497">
        <f t="shared" si="186"/>
        <v>0</v>
      </c>
      <c r="BO446" s="497">
        <f t="shared" si="186"/>
        <v>0</v>
      </c>
      <c r="BP446" s="497">
        <f t="shared" si="186"/>
        <v>0</v>
      </c>
      <c r="BQ446" s="497">
        <f t="shared" si="186"/>
        <v>0</v>
      </c>
      <c r="BR446" s="497">
        <f t="shared" si="186"/>
        <v>0</v>
      </c>
      <c r="BS446" s="497">
        <f t="shared" si="186"/>
        <v>0</v>
      </c>
      <c r="BT446" s="497">
        <f t="shared" si="186"/>
        <v>0</v>
      </c>
      <c r="BU446" s="497">
        <f t="shared" si="186"/>
        <v>0</v>
      </c>
      <c r="BV446" s="497">
        <f t="shared" si="186"/>
        <v>0</v>
      </c>
      <c r="BW446" s="497">
        <f t="shared" si="186"/>
        <v>0</v>
      </c>
      <c r="BX446" s="497">
        <f t="shared" si="186"/>
        <v>0</v>
      </c>
      <c r="BY446" s="497">
        <f t="shared" si="186"/>
        <v>0</v>
      </c>
      <c r="BZ446" s="497">
        <f>SUM(BZ441:BZ445)</f>
        <v>1485752352</v>
      </c>
      <c r="CA446" s="497">
        <f t="shared" ref="CA446:CB446" si="187">SUM(CA441:CA445)</f>
        <v>1428759606</v>
      </c>
      <c r="CB446" s="497">
        <f t="shared" si="187"/>
        <v>1335676402</v>
      </c>
    </row>
    <row r="447" spans="1:80" s="376" customFormat="1" ht="30" customHeight="1" x14ac:dyDescent="0.25">
      <c r="A447" s="42"/>
      <c r="B447" s="292"/>
      <c r="C447" s="63"/>
      <c r="D447" s="62"/>
      <c r="E447" s="270"/>
      <c r="F447" s="270"/>
      <c r="G447" s="62"/>
      <c r="H447" s="63"/>
      <c r="I447" s="62"/>
      <c r="J447" s="208"/>
      <c r="K447" s="200"/>
      <c r="L447" s="608"/>
      <c r="M447" s="200"/>
      <c r="N447" s="200"/>
      <c r="O447" s="63"/>
      <c r="P447" s="62"/>
      <c r="Q447" s="63"/>
      <c r="R447" s="416">
        <f t="shared" ref="R447:BY447" si="188">R446+R438</f>
        <v>0</v>
      </c>
      <c r="S447" s="416">
        <f t="shared" si="188"/>
        <v>0</v>
      </c>
      <c r="T447" s="416">
        <f t="shared" si="188"/>
        <v>0</v>
      </c>
      <c r="U447" s="416">
        <f t="shared" si="188"/>
        <v>0</v>
      </c>
      <c r="V447" s="416">
        <f t="shared" si="188"/>
        <v>0</v>
      </c>
      <c r="W447" s="416">
        <f t="shared" si="188"/>
        <v>0</v>
      </c>
      <c r="X447" s="416">
        <f t="shared" si="188"/>
        <v>0</v>
      </c>
      <c r="Y447" s="416">
        <f t="shared" si="188"/>
        <v>0</v>
      </c>
      <c r="Z447" s="416">
        <f t="shared" si="188"/>
        <v>0</v>
      </c>
      <c r="AA447" s="416">
        <f t="shared" si="188"/>
        <v>0</v>
      </c>
      <c r="AB447" s="416">
        <f t="shared" si="188"/>
        <v>0</v>
      </c>
      <c r="AC447" s="416">
        <f t="shared" si="188"/>
        <v>0</v>
      </c>
      <c r="AD447" s="416">
        <f t="shared" si="188"/>
        <v>0</v>
      </c>
      <c r="AE447" s="416">
        <f t="shared" si="188"/>
        <v>0</v>
      </c>
      <c r="AF447" s="416">
        <f t="shared" si="188"/>
        <v>0</v>
      </c>
      <c r="AG447" s="416">
        <f t="shared" si="188"/>
        <v>0</v>
      </c>
      <c r="AH447" s="416">
        <f t="shared" si="188"/>
        <v>0</v>
      </c>
      <c r="AI447" s="416">
        <f t="shared" si="188"/>
        <v>0</v>
      </c>
      <c r="AJ447" s="416">
        <f t="shared" si="188"/>
        <v>373504909</v>
      </c>
      <c r="AK447" s="416">
        <f t="shared" si="188"/>
        <v>373504909</v>
      </c>
      <c r="AL447" s="416">
        <f t="shared" si="188"/>
        <v>373504909</v>
      </c>
      <c r="AM447" s="416">
        <f t="shared" si="188"/>
        <v>0</v>
      </c>
      <c r="AN447" s="416">
        <f t="shared" si="188"/>
        <v>0</v>
      </c>
      <c r="AO447" s="416">
        <f t="shared" si="188"/>
        <v>0</v>
      </c>
      <c r="AP447" s="416">
        <f t="shared" si="188"/>
        <v>0</v>
      </c>
      <c r="AQ447" s="416">
        <f t="shared" si="188"/>
        <v>0</v>
      </c>
      <c r="AR447" s="416">
        <f t="shared" si="188"/>
        <v>0</v>
      </c>
      <c r="AS447" s="416">
        <f t="shared" si="188"/>
        <v>0</v>
      </c>
      <c r="AT447" s="416">
        <f t="shared" si="188"/>
        <v>0</v>
      </c>
      <c r="AU447" s="416">
        <f t="shared" si="188"/>
        <v>0</v>
      </c>
      <c r="AV447" s="416">
        <f t="shared" si="188"/>
        <v>0</v>
      </c>
      <c r="AW447" s="416">
        <f t="shared" si="188"/>
        <v>0</v>
      </c>
      <c r="AX447" s="416">
        <f t="shared" si="188"/>
        <v>0</v>
      </c>
      <c r="AY447" s="416">
        <f t="shared" si="188"/>
        <v>0</v>
      </c>
      <c r="AZ447" s="416">
        <f t="shared" si="188"/>
        <v>0</v>
      </c>
      <c r="BA447" s="416">
        <f t="shared" si="188"/>
        <v>0</v>
      </c>
      <c r="BB447" s="416">
        <f t="shared" si="188"/>
        <v>0</v>
      </c>
      <c r="BC447" s="416">
        <f t="shared" si="188"/>
        <v>0</v>
      </c>
      <c r="BD447" s="416">
        <f t="shared" si="188"/>
        <v>0</v>
      </c>
      <c r="BE447" s="416">
        <f t="shared" si="188"/>
        <v>0</v>
      </c>
      <c r="BF447" s="416">
        <f t="shared" si="188"/>
        <v>0</v>
      </c>
      <c r="BG447" s="416">
        <f t="shared" si="188"/>
        <v>0</v>
      </c>
      <c r="BH447" s="416">
        <f t="shared" si="188"/>
        <v>0</v>
      </c>
      <c r="BI447" s="416">
        <f t="shared" si="188"/>
        <v>0</v>
      </c>
      <c r="BJ447" s="416">
        <f t="shared" si="188"/>
        <v>0</v>
      </c>
      <c r="BK447" s="416">
        <f t="shared" si="188"/>
        <v>1156322443</v>
      </c>
      <c r="BL447" s="416">
        <f t="shared" si="188"/>
        <v>1099329697</v>
      </c>
      <c r="BM447" s="416">
        <f t="shared" si="188"/>
        <v>1000896493</v>
      </c>
      <c r="BN447" s="416">
        <f t="shared" si="188"/>
        <v>0</v>
      </c>
      <c r="BO447" s="416">
        <f t="shared" si="188"/>
        <v>0</v>
      </c>
      <c r="BP447" s="416">
        <f t="shared" si="188"/>
        <v>0</v>
      </c>
      <c r="BQ447" s="416">
        <f t="shared" si="188"/>
        <v>0</v>
      </c>
      <c r="BR447" s="416">
        <f t="shared" si="188"/>
        <v>0</v>
      </c>
      <c r="BS447" s="416">
        <f t="shared" si="188"/>
        <v>0</v>
      </c>
      <c r="BT447" s="416">
        <f t="shared" si="188"/>
        <v>0</v>
      </c>
      <c r="BU447" s="416">
        <f t="shared" si="188"/>
        <v>0</v>
      </c>
      <c r="BV447" s="416">
        <f t="shared" si="188"/>
        <v>0</v>
      </c>
      <c r="BW447" s="416">
        <f t="shared" si="188"/>
        <v>0</v>
      </c>
      <c r="BX447" s="416">
        <f t="shared" si="188"/>
        <v>0</v>
      </c>
      <c r="BY447" s="416">
        <f t="shared" si="188"/>
        <v>0</v>
      </c>
      <c r="BZ447" s="416">
        <f>BZ446+BZ438</f>
        <v>1529827352</v>
      </c>
      <c r="CA447" s="416">
        <f t="shared" ref="CA447:CB447" si="189">CA446+CA438</f>
        <v>1472834606</v>
      </c>
      <c r="CB447" s="416">
        <f t="shared" si="189"/>
        <v>1374401402</v>
      </c>
    </row>
    <row r="448" spans="1:80" s="376" customFormat="1" ht="30" customHeight="1" x14ac:dyDescent="0.2">
      <c r="A448" s="42"/>
      <c r="B448" s="72"/>
      <c r="C448" s="150"/>
      <c r="D448" s="72"/>
      <c r="E448" s="264"/>
      <c r="F448" s="264"/>
      <c r="G448" s="72"/>
      <c r="H448" s="150"/>
      <c r="I448" s="72"/>
      <c r="J448" s="195"/>
      <c r="K448" s="195"/>
      <c r="L448" s="271"/>
      <c r="M448" s="266"/>
      <c r="N448" s="266"/>
      <c r="O448" s="400"/>
      <c r="P448" s="101"/>
      <c r="Q448" s="150"/>
      <c r="R448" s="405"/>
      <c r="S448" s="405"/>
      <c r="T448" s="405"/>
      <c r="U448" s="405"/>
      <c r="V448" s="405"/>
      <c r="W448" s="405"/>
      <c r="X448" s="405"/>
      <c r="Y448" s="405"/>
      <c r="Z448" s="405"/>
      <c r="AA448" s="405"/>
      <c r="AB448" s="405"/>
      <c r="AC448" s="405"/>
      <c r="AD448" s="405"/>
      <c r="AE448" s="405"/>
      <c r="AF448" s="405"/>
      <c r="AG448" s="405"/>
      <c r="AH448" s="791"/>
      <c r="AI448" s="791"/>
      <c r="AJ448" s="791"/>
      <c r="AK448" s="791"/>
      <c r="AL448" s="791"/>
      <c r="AM448" s="405"/>
      <c r="AN448" s="405"/>
      <c r="AO448" s="405"/>
      <c r="AP448" s="405"/>
      <c r="AQ448" s="405"/>
      <c r="AR448" s="405"/>
      <c r="AS448" s="405"/>
      <c r="AT448" s="405"/>
      <c r="AU448" s="405"/>
      <c r="AV448" s="405"/>
      <c r="AW448" s="405"/>
      <c r="AX448" s="405"/>
      <c r="AY448" s="405"/>
      <c r="AZ448" s="405"/>
      <c r="BA448" s="405"/>
      <c r="BB448" s="405"/>
      <c r="BC448" s="405"/>
      <c r="BD448" s="405"/>
      <c r="BE448" s="405"/>
      <c r="BF448" s="405"/>
      <c r="BG448" s="405"/>
      <c r="BH448" s="405"/>
      <c r="BI448" s="791"/>
      <c r="BJ448" s="791"/>
      <c r="BK448" s="801" t="s">
        <v>69</v>
      </c>
      <c r="BL448" s="801"/>
      <c r="BM448" s="801"/>
      <c r="BN448" s="791"/>
      <c r="BO448" s="791"/>
      <c r="BP448" s="791"/>
      <c r="BQ448" s="405"/>
      <c r="BR448" s="405"/>
      <c r="BS448" s="405"/>
      <c r="BT448" s="405"/>
      <c r="BU448" s="405"/>
      <c r="BV448" s="405"/>
      <c r="BW448" s="405"/>
      <c r="BX448" s="405"/>
      <c r="BY448" s="405"/>
      <c r="BZ448" s="409"/>
      <c r="CA448" s="409"/>
      <c r="CB448" s="409"/>
    </row>
    <row r="449" spans="1:80" s="376" customFormat="1" ht="30" customHeight="1" x14ac:dyDescent="0.25">
      <c r="A449" s="42"/>
      <c r="B449" s="125">
        <v>8</v>
      </c>
      <c r="C449" s="38" t="s">
        <v>579</v>
      </c>
      <c r="D449" s="39"/>
      <c r="E449" s="39"/>
      <c r="F449" s="39"/>
      <c r="G449" s="39"/>
      <c r="H449" s="40"/>
      <c r="I449" s="39"/>
      <c r="J449" s="39"/>
      <c r="K449" s="201"/>
      <c r="L449" s="225"/>
      <c r="M449" s="201"/>
      <c r="N449" s="40"/>
      <c r="O449" s="40"/>
      <c r="P449" s="39"/>
      <c r="Q449" s="39"/>
      <c r="R449" s="412"/>
      <c r="S449" s="412"/>
      <c r="T449" s="412"/>
      <c r="U449" s="412"/>
      <c r="V449" s="412"/>
      <c r="W449" s="412"/>
      <c r="X449" s="412"/>
      <c r="Y449" s="412"/>
      <c r="Z449" s="412"/>
      <c r="AA449" s="412"/>
      <c r="AB449" s="412"/>
      <c r="AC449" s="412"/>
      <c r="AD449" s="412"/>
      <c r="AE449" s="412"/>
      <c r="AF449" s="412"/>
      <c r="AG449" s="412"/>
      <c r="AH449" s="412"/>
      <c r="AI449" s="412"/>
      <c r="AJ449" s="412"/>
      <c r="AK449" s="412"/>
      <c r="AL449" s="412"/>
      <c r="AM449" s="412"/>
      <c r="AN449" s="412"/>
      <c r="AO449" s="412"/>
      <c r="AP449" s="412"/>
      <c r="AQ449" s="412"/>
      <c r="AR449" s="412"/>
      <c r="AS449" s="412"/>
      <c r="AT449" s="412"/>
      <c r="AU449" s="412"/>
      <c r="AV449" s="412"/>
      <c r="AW449" s="412"/>
      <c r="AX449" s="412"/>
      <c r="AY449" s="412"/>
      <c r="AZ449" s="412"/>
      <c r="BA449" s="412"/>
      <c r="BB449" s="412"/>
      <c r="BC449" s="412"/>
      <c r="BD449" s="412"/>
      <c r="BE449" s="412"/>
      <c r="BF449" s="412"/>
      <c r="BG449" s="412"/>
      <c r="BH449" s="412"/>
      <c r="BI449" s="412"/>
      <c r="BJ449" s="412"/>
      <c r="BK449" s="413"/>
      <c r="BL449" s="413"/>
      <c r="BM449" s="413"/>
      <c r="BN449" s="412"/>
      <c r="BO449" s="412"/>
      <c r="BP449" s="412"/>
      <c r="BQ449" s="412"/>
      <c r="BR449" s="412"/>
      <c r="BS449" s="412"/>
      <c r="BT449" s="412"/>
      <c r="BU449" s="412"/>
      <c r="BV449" s="412"/>
      <c r="BW449" s="412"/>
      <c r="BX449" s="412"/>
      <c r="BY449" s="412"/>
      <c r="BZ449" s="417"/>
      <c r="CA449" s="417"/>
      <c r="CB449" s="417"/>
    </row>
    <row r="450" spans="1:80" s="376" customFormat="1" ht="30" customHeight="1" x14ac:dyDescent="0.25">
      <c r="A450" s="42"/>
      <c r="B450" s="76"/>
      <c r="C450" s="713"/>
      <c r="D450" s="707"/>
      <c r="E450" s="713"/>
      <c r="F450" s="713"/>
      <c r="G450" s="219">
        <v>25</v>
      </c>
      <c r="H450" s="80" t="s">
        <v>580</v>
      </c>
      <c r="I450" s="80"/>
      <c r="J450" s="80"/>
      <c r="K450" s="153"/>
      <c r="L450" s="221"/>
      <c r="M450" s="153"/>
      <c r="N450" s="173"/>
      <c r="O450" s="173"/>
      <c r="P450" s="80"/>
      <c r="Q450" s="80"/>
      <c r="R450" s="267"/>
      <c r="S450" s="267"/>
      <c r="T450" s="267"/>
      <c r="U450" s="267"/>
      <c r="V450" s="267"/>
      <c r="W450" s="267"/>
      <c r="X450" s="267"/>
      <c r="Y450" s="267"/>
      <c r="Z450" s="267"/>
      <c r="AA450" s="267"/>
      <c r="AB450" s="267"/>
      <c r="AC450" s="267"/>
      <c r="AD450" s="267"/>
      <c r="AE450" s="267"/>
      <c r="AF450" s="267"/>
      <c r="AG450" s="267"/>
      <c r="AH450" s="267"/>
      <c r="AI450" s="267"/>
      <c r="AJ450" s="267"/>
      <c r="AK450" s="267"/>
      <c r="AL450" s="267"/>
      <c r="AM450" s="267"/>
      <c r="AN450" s="267"/>
      <c r="AO450" s="267"/>
      <c r="AP450" s="267"/>
      <c r="AQ450" s="267"/>
      <c r="AR450" s="267"/>
      <c r="AS450" s="267"/>
      <c r="AT450" s="267"/>
      <c r="AU450" s="267"/>
      <c r="AV450" s="267"/>
      <c r="AW450" s="267"/>
      <c r="AX450" s="267"/>
      <c r="AY450" s="267"/>
      <c r="AZ450" s="267"/>
      <c r="BA450" s="267"/>
      <c r="BB450" s="267"/>
      <c r="BC450" s="267"/>
      <c r="BD450" s="267"/>
      <c r="BE450" s="267"/>
      <c r="BF450" s="267"/>
      <c r="BG450" s="267"/>
      <c r="BH450" s="267"/>
      <c r="BI450" s="267"/>
      <c r="BJ450" s="267"/>
      <c r="BK450" s="414"/>
      <c r="BL450" s="414"/>
      <c r="BM450" s="414"/>
      <c r="BN450" s="267"/>
      <c r="BO450" s="267"/>
      <c r="BP450" s="267"/>
      <c r="BQ450" s="267"/>
      <c r="BR450" s="267"/>
      <c r="BS450" s="267"/>
      <c r="BT450" s="267"/>
      <c r="BU450" s="267"/>
      <c r="BV450" s="267"/>
      <c r="BW450" s="267"/>
      <c r="BX450" s="267"/>
      <c r="BY450" s="267"/>
      <c r="BZ450" s="269"/>
      <c r="CA450" s="269"/>
      <c r="CB450" s="269"/>
    </row>
    <row r="451" spans="1:80" s="376" customFormat="1" ht="66.75" customHeight="1" x14ac:dyDescent="0.25">
      <c r="A451" s="42"/>
      <c r="B451" s="42"/>
      <c r="C451" s="883" t="s">
        <v>1093</v>
      </c>
      <c r="D451" s="891" t="s">
        <v>1092</v>
      </c>
      <c r="E451" s="906" t="s">
        <v>582</v>
      </c>
      <c r="F451" s="906" t="s">
        <v>583</v>
      </c>
      <c r="G451" s="43"/>
      <c r="H451" s="57">
        <v>108</v>
      </c>
      <c r="I451" s="729" t="s">
        <v>584</v>
      </c>
      <c r="J451" s="169">
        <v>4</v>
      </c>
      <c r="K451" s="190">
        <v>4</v>
      </c>
      <c r="L451" s="190">
        <v>4</v>
      </c>
      <c r="M451" s="884">
        <v>2017003630088</v>
      </c>
      <c r="N451" s="915" t="s">
        <v>485</v>
      </c>
      <c r="O451" s="895" t="s">
        <v>585</v>
      </c>
      <c r="P451" s="890" t="s">
        <v>992</v>
      </c>
      <c r="Q451" s="57" t="s">
        <v>52</v>
      </c>
      <c r="R451" s="467">
        <v>0</v>
      </c>
      <c r="S451" s="467"/>
      <c r="T451" s="467"/>
      <c r="U451" s="467">
        <v>0</v>
      </c>
      <c r="V451" s="467"/>
      <c r="W451" s="467"/>
      <c r="X451" s="467">
        <v>0</v>
      </c>
      <c r="Y451" s="467"/>
      <c r="Z451" s="467"/>
      <c r="AA451" s="467">
        <v>0</v>
      </c>
      <c r="AB451" s="467"/>
      <c r="AC451" s="467"/>
      <c r="AD451" s="467">
        <v>0</v>
      </c>
      <c r="AE451" s="467"/>
      <c r="AF451" s="467"/>
      <c r="AG451" s="467">
        <v>0</v>
      </c>
      <c r="AH451" s="467"/>
      <c r="AI451" s="467"/>
      <c r="AJ451" s="467">
        <v>0</v>
      </c>
      <c r="AK451" s="467"/>
      <c r="AL451" s="467"/>
      <c r="AM451" s="467"/>
      <c r="AN451" s="467"/>
      <c r="AO451" s="467"/>
      <c r="AP451" s="467"/>
      <c r="AQ451" s="467"/>
      <c r="AR451" s="467"/>
      <c r="AS451" s="467">
        <v>0</v>
      </c>
      <c r="AT451" s="467"/>
      <c r="AU451" s="467"/>
      <c r="AV451" s="467">
        <v>0</v>
      </c>
      <c r="AW451" s="467"/>
      <c r="AX451" s="467"/>
      <c r="AY451" s="467"/>
      <c r="AZ451" s="467"/>
      <c r="BA451" s="467"/>
      <c r="BB451" s="467"/>
      <c r="BC451" s="467"/>
      <c r="BD451" s="467"/>
      <c r="BE451" s="467">
        <v>0</v>
      </c>
      <c r="BF451" s="467"/>
      <c r="BG451" s="467"/>
      <c r="BH451" s="467">
        <v>0</v>
      </c>
      <c r="BI451" s="498"/>
      <c r="BJ451" s="498"/>
      <c r="BK451" s="499">
        <f>10000000+10000000</f>
        <v>20000000</v>
      </c>
      <c r="BL451" s="499"/>
      <c r="BM451" s="499"/>
      <c r="BN451" s="421"/>
      <c r="BO451" s="421"/>
      <c r="BP451" s="421"/>
      <c r="BQ451" s="467">
        <v>0</v>
      </c>
      <c r="BR451" s="498"/>
      <c r="BS451" s="498"/>
      <c r="BT451" s="498"/>
      <c r="BU451" s="498"/>
      <c r="BV451" s="498"/>
      <c r="BW451" s="498"/>
      <c r="BX451" s="498"/>
      <c r="BY451" s="498"/>
      <c r="BZ451" s="401">
        <f t="shared" ref="BZ451:CB452" si="190">R451+U451+X451+AA451+AD451+AG451+AJ451+AM451+AP451+AS451+AV451+AY451+BB451+BE451+BH451+BK451+BN451+BQ451+BT451+BW451</f>
        <v>20000000</v>
      </c>
      <c r="CA451" s="401">
        <f t="shared" si="190"/>
        <v>0</v>
      </c>
      <c r="CB451" s="401">
        <f t="shared" si="190"/>
        <v>0</v>
      </c>
    </row>
    <row r="452" spans="1:80" s="376" customFormat="1" ht="66.75" customHeight="1" x14ac:dyDescent="0.25">
      <c r="A452" s="42"/>
      <c r="B452" s="42"/>
      <c r="C452" s="883"/>
      <c r="D452" s="891"/>
      <c r="E452" s="906"/>
      <c r="F452" s="906"/>
      <c r="G452" s="92"/>
      <c r="H452" s="57">
        <v>109</v>
      </c>
      <c r="I452" s="729" t="s">
        <v>587</v>
      </c>
      <c r="J452" s="169">
        <v>0</v>
      </c>
      <c r="K452" s="190">
        <v>52</v>
      </c>
      <c r="L452" s="190">
        <v>54</v>
      </c>
      <c r="M452" s="886"/>
      <c r="N452" s="916"/>
      <c r="O452" s="898"/>
      <c r="P452" s="892"/>
      <c r="Q452" s="57" t="s">
        <v>52</v>
      </c>
      <c r="R452" s="467">
        <v>0</v>
      </c>
      <c r="S452" s="467"/>
      <c r="T452" s="467"/>
      <c r="U452" s="467">
        <v>0</v>
      </c>
      <c r="V452" s="467"/>
      <c r="W452" s="467"/>
      <c r="X452" s="467">
        <v>0</v>
      </c>
      <c r="Y452" s="467"/>
      <c r="Z452" s="467"/>
      <c r="AA452" s="467">
        <v>0</v>
      </c>
      <c r="AB452" s="467"/>
      <c r="AC452" s="467"/>
      <c r="AD452" s="467">
        <v>0</v>
      </c>
      <c r="AE452" s="467"/>
      <c r="AF452" s="467"/>
      <c r="AG452" s="467">
        <v>0</v>
      </c>
      <c r="AH452" s="467"/>
      <c r="AI452" s="467"/>
      <c r="AJ452" s="467">
        <v>0</v>
      </c>
      <c r="AK452" s="467"/>
      <c r="AL452" s="467"/>
      <c r="AM452" s="467"/>
      <c r="AN452" s="467"/>
      <c r="AO452" s="467"/>
      <c r="AP452" s="467"/>
      <c r="AQ452" s="467"/>
      <c r="AR452" s="467"/>
      <c r="AS452" s="467">
        <v>0</v>
      </c>
      <c r="AT452" s="467"/>
      <c r="AU452" s="467"/>
      <c r="AV452" s="467">
        <v>0</v>
      </c>
      <c r="AW452" s="467"/>
      <c r="AX452" s="467"/>
      <c r="AY452" s="467"/>
      <c r="AZ452" s="467"/>
      <c r="BA452" s="467"/>
      <c r="BB452" s="467"/>
      <c r="BC452" s="467"/>
      <c r="BD452" s="467"/>
      <c r="BE452" s="467">
        <v>0</v>
      </c>
      <c r="BF452" s="467"/>
      <c r="BG452" s="467"/>
      <c r="BH452" s="467">
        <v>0</v>
      </c>
      <c r="BI452" s="498"/>
      <c r="BJ452" s="498"/>
      <c r="BK452" s="499">
        <v>37000000</v>
      </c>
      <c r="BL452" s="499">
        <v>31920000</v>
      </c>
      <c r="BM452" s="499">
        <v>15960000</v>
      </c>
      <c r="BN452" s="421"/>
      <c r="BO452" s="421"/>
      <c r="BP452" s="421"/>
      <c r="BQ452" s="467">
        <v>0</v>
      </c>
      <c r="BR452" s="498"/>
      <c r="BS452" s="498"/>
      <c r="BT452" s="498"/>
      <c r="BU452" s="498"/>
      <c r="BV452" s="498"/>
      <c r="BW452" s="498"/>
      <c r="BX452" s="498"/>
      <c r="BY452" s="498"/>
      <c r="BZ452" s="401">
        <f t="shared" si="190"/>
        <v>37000000</v>
      </c>
      <c r="CA452" s="401">
        <f t="shared" si="190"/>
        <v>31920000</v>
      </c>
      <c r="CB452" s="401">
        <f t="shared" si="190"/>
        <v>15960000</v>
      </c>
    </row>
    <row r="453" spans="1:80" s="376" customFormat="1" ht="30" customHeight="1" x14ac:dyDescent="0.25">
      <c r="A453" s="42"/>
      <c r="B453" s="42"/>
      <c r="C453" s="714"/>
      <c r="D453" s="709"/>
      <c r="E453" s="715"/>
      <c r="F453" s="715"/>
      <c r="G453" s="58"/>
      <c r="H453" s="59"/>
      <c r="I453" s="58"/>
      <c r="J453" s="191"/>
      <c r="K453" s="196"/>
      <c r="L453" s="293"/>
      <c r="M453" s="196"/>
      <c r="N453" s="196"/>
      <c r="O453" s="59"/>
      <c r="P453" s="58"/>
      <c r="Q453" s="59"/>
      <c r="R453" s="500">
        <f t="shared" ref="R453:CB453" si="191">SUM(R451:R452)</f>
        <v>0</v>
      </c>
      <c r="S453" s="500">
        <f t="shared" si="191"/>
        <v>0</v>
      </c>
      <c r="T453" s="500">
        <f t="shared" si="191"/>
        <v>0</v>
      </c>
      <c r="U453" s="500">
        <f t="shared" si="191"/>
        <v>0</v>
      </c>
      <c r="V453" s="500">
        <f t="shared" si="191"/>
        <v>0</v>
      </c>
      <c r="W453" s="500">
        <f t="shared" si="191"/>
        <v>0</v>
      </c>
      <c r="X453" s="500">
        <f t="shared" si="191"/>
        <v>0</v>
      </c>
      <c r="Y453" s="500">
        <f t="shared" si="191"/>
        <v>0</v>
      </c>
      <c r="Z453" s="500">
        <f t="shared" si="191"/>
        <v>0</v>
      </c>
      <c r="AA453" s="500">
        <f t="shared" si="191"/>
        <v>0</v>
      </c>
      <c r="AB453" s="500">
        <f t="shared" si="191"/>
        <v>0</v>
      </c>
      <c r="AC453" s="500">
        <f t="shared" si="191"/>
        <v>0</v>
      </c>
      <c r="AD453" s="500">
        <f t="shared" si="191"/>
        <v>0</v>
      </c>
      <c r="AE453" s="500">
        <f t="shared" si="191"/>
        <v>0</v>
      </c>
      <c r="AF453" s="500">
        <f t="shared" si="191"/>
        <v>0</v>
      </c>
      <c r="AG453" s="500">
        <f t="shared" si="191"/>
        <v>0</v>
      </c>
      <c r="AH453" s="500">
        <f t="shared" si="191"/>
        <v>0</v>
      </c>
      <c r="AI453" s="500">
        <f t="shared" si="191"/>
        <v>0</v>
      </c>
      <c r="AJ453" s="500">
        <f t="shared" si="191"/>
        <v>0</v>
      </c>
      <c r="AK453" s="500">
        <f t="shared" si="191"/>
        <v>0</v>
      </c>
      <c r="AL453" s="500">
        <f t="shared" si="191"/>
        <v>0</v>
      </c>
      <c r="AM453" s="500">
        <f t="shared" si="191"/>
        <v>0</v>
      </c>
      <c r="AN453" s="500">
        <f t="shared" si="191"/>
        <v>0</v>
      </c>
      <c r="AO453" s="500">
        <f t="shared" si="191"/>
        <v>0</v>
      </c>
      <c r="AP453" s="500">
        <f t="shared" si="191"/>
        <v>0</v>
      </c>
      <c r="AQ453" s="500">
        <f t="shared" si="191"/>
        <v>0</v>
      </c>
      <c r="AR453" s="500">
        <f t="shared" si="191"/>
        <v>0</v>
      </c>
      <c r="AS453" s="500">
        <f t="shared" si="191"/>
        <v>0</v>
      </c>
      <c r="AT453" s="500">
        <f t="shared" si="191"/>
        <v>0</v>
      </c>
      <c r="AU453" s="500">
        <f t="shared" si="191"/>
        <v>0</v>
      </c>
      <c r="AV453" s="500">
        <f t="shared" si="191"/>
        <v>0</v>
      </c>
      <c r="AW453" s="500">
        <f t="shared" si="191"/>
        <v>0</v>
      </c>
      <c r="AX453" s="500">
        <f t="shared" si="191"/>
        <v>0</v>
      </c>
      <c r="AY453" s="500">
        <f t="shared" si="191"/>
        <v>0</v>
      </c>
      <c r="AZ453" s="500">
        <f t="shared" si="191"/>
        <v>0</v>
      </c>
      <c r="BA453" s="500">
        <f t="shared" si="191"/>
        <v>0</v>
      </c>
      <c r="BB453" s="500">
        <f t="shared" si="191"/>
        <v>0</v>
      </c>
      <c r="BC453" s="500">
        <f t="shared" si="191"/>
        <v>0</v>
      </c>
      <c r="BD453" s="500">
        <f t="shared" si="191"/>
        <v>0</v>
      </c>
      <c r="BE453" s="500">
        <f t="shared" si="191"/>
        <v>0</v>
      </c>
      <c r="BF453" s="500">
        <f t="shared" si="191"/>
        <v>0</v>
      </c>
      <c r="BG453" s="500">
        <f t="shared" si="191"/>
        <v>0</v>
      </c>
      <c r="BH453" s="500">
        <f t="shared" si="191"/>
        <v>0</v>
      </c>
      <c r="BI453" s="500">
        <f t="shared" si="191"/>
        <v>0</v>
      </c>
      <c r="BJ453" s="500">
        <f t="shared" si="191"/>
        <v>0</v>
      </c>
      <c r="BK453" s="500">
        <f t="shared" si="191"/>
        <v>57000000</v>
      </c>
      <c r="BL453" s="500">
        <f t="shared" si="191"/>
        <v>31920000</v>
      </c>
      <c r="BM453" s="500">
        <f t="shared" si="191"/>
        <v>15960000</v>
      </c>
      <c r="BN453" s="500">
        <f t="shared" si="191"/>
        <v>0</v>
      </c>
      <c r="BO453" s="500">
        <f t="shared" si="191"/>
        <v>0</v>
      </c>
      <c r="BP453" s="500">
        <f t="shared" si="191"/>
        <v>0</v>
      </c>
      <c r="BQ453" s="500">
        <f t="shared" si="191"/>
        <v>0</v>
      </c>
      <c r="BR453" s="500">
        <f t="shared" si="191"/>
        <v>0</v>
      </c>
      <c r="BS453" s="500">
        <f t="shared" si="191"/>
        <v>0</v>
      </c>
      <c r="BT453" s="500">
        <f t="shared" si="191"/>
        <v>0</v>
      </c>
      <c r="BU453" s="500">
        <f t="shared" si="191"/>
        <v>0</v>
      </c>
      <c r="BV453" s="500">
        <f t="shared" si="191"/>
        <v>0</v>
      </c>
      <c r="BW453" s="500">
        <f t="shared" si="191"/>
        <v>0</v>
      </c>
      <c r="BX453" s="500">
        <f t="shared" si="191"/>
        <v>0</v>
      </c>
      <c r="BY453" s="500">
        <f t="shared" si="191"/>
        <v>0</v>
      </c>
      <c r="BZ453" s="500">
        <f t="shared" si="191"/>
        <v>57000000</v>
      </c>
      <c r="CA453" s="500">
        <f t="shared" si="191"/>
        <v>31920000</v>
      </c>
      <c r="CB453" s="500">
        <f t="shared" si="191"/>
        <v>15960000</v>
      </c>
    </row>
    <row r="454" spans="1:80" s="376" customFormat="1" ht="30" customHeight="1" x14ac:dyDescent="0.25">
      <c r="A454" s="42"/>
      <c r="B454" s="42"/>
      <c r="C454" s="150"/>
      <c r="D454" s="72"/>
      <c r="E454" s="264"/>
      <c r="F454" s="264"/>
      <c r="G454" s="72"/>
      <c r="H454" s="150"/>
      <c r="I454" s="72"/>
      <c r="J454" s="195"/>
      <c r="K454" s="195"/>
      <c r="L454" s="271"/>
      <c r="M454" s="266"/>
      <c r="N454" s="266"/>
      <c r="O454" s="400"/>
      <c r="P454" s="101"/>
      <c r="Q454" s="150"/>
      <c r="R454" s="405"/>
      <c r="S454" s="405"/>
      <c r="T454" s="405"/>
      <c r="U454" s="405"/>
      <c r="V454" s="405"/>
      <c r="W454" s="405"/>
      <c r="X454" s="405"/>
      <c r="Y454" s="405"/>
      <c r="Z454" s="405"/>
      <c r="AA454" s="405"/>
      <c r="AB454" s="405"/>
      <c r="AC454" s="405"/>
      <c r="AD454" s="405"/>
      <c r="AE454" s="405"/>
      <c r="AF454" s="405"/>
      <c r="AG454" s="405"/>
      <c r="AH454" s="791"/>
      <c r="AI454" s="791"/>
      <c r="AJ454" s="791"/>
      <c r="AK454" s="791"/>
      <c r="AL454" s="791"/>
      <c r="AM454" s="405"/>
      <c r="AN454" s="405"/>
      <c r="AO454" s="405"/>
      <c r="AP454" s="405"/>
      <c r="AQ454" s="405"/>
      <c r="AR454" s="405"/>
      <c r="AS454" s="405"/>
      <c r="AT454" s="405"/>
      <c r="AU454" s="405"/>
      <c r="AV454" s="405"/>
      <c r="AW454" s="405"/>
      <c r="AX454" s="405"/>
      <c r="AY454" s="405"/>
      <c r="AZ454" s="405"/>
      <c r="BA454" s="405"/>
      <c r="BB454" s="405"/>
      <c r="BC454" s="405"/>
      <c r="BD454" s="405"/>
      <c r="BE454" s="405"/>
      <c r="BF454" s="405"/>
      <c r="BG454" s="405"/>
      <c r="BH454" s="405"/>
      <c r="BI454" s="791"/>
      <c r="BJ454" s="791"/>
      <c r="BK454" s="793" t="s">
        <v>69</v>
      </c>
      <c r="BL454" s="793"/>
      <c r="BM454" s="793"/>
      <c r="BN454" s="791"/>
      <c r="BO454" s="791"/>
      <c r="BP454" s="791"/>
      <c r="BQ454" s="405"/>
      <c r="BR454" s="405"/>
      <c r="BS454" s="405"/>
      <c r="BT454" s="405"/>
      <c r="BU454" s="405"/>
      <c r="BV454" s="405"/>
      <c r="BW454" s="405"/>
      <c r="BX454" s="405"/>
      <c r="BY454" s="405"/>
      <c r="BZ454" s="409"/>
      <c r="CA454" s="409"/>
      <c r="CB454" s="409"/>
    </row>
    <row r="455" spans="1:80" s="376" customFormat="1" ht="30" customHeight="1" x14ac:dyDescent="0.25">
      <c r="A455" s="42"/>
      <c r="B455" s="42"/>
      <c r="C455" s="713"/>
      <c r="D455" s="707"/>
      <c r="E455" s="731"/>
      <c r="F455" s="731"/>
      <c r="G455" s="219">
        <v>26</v>
      </c>
      <c r="H455" s="80" t="s">
        <v>588</v>
      </c>
      <c r="I455" s="80"/>
      <c r="J455" s="80"/>
      <c r="K455" s="153"/>
      <c r="L455" s="221"/>
      <c r="M455" s="153"/>
      <c r="N455" s="173"/>
      <c r="O455" s="173"/>
      <c r="P455" s="80"/>
      <c r="Q455" s="80"/>
      <c r="R455" s="267"/>
      <c r="S455" s="267"/>
      <c r="T455" s="267"/>
      <c r="U455" s="267"/>
      <c r="V455" s="267"/>
      <c r="W455" s="267"/>
      <c r="X455" s="267" t="s">
        <v>69</v>
      </c>
      <c r="Y455" s="267"/>
      <c r="Z455" s="267"/>
      <c r="AA455" s="267"/>
      <c r="AB455" s="267"/>
      <c r="AC455" s="267"/>
      <c r="AD455" s="267"/>
      <c r="AE455" s="267"/>
      <c r="AF455" s="267"/>
      <c r="AG455" s="267"/>
      <c r="AH455" s="267"/>
      <c r="AI455" s="267"/>
      <c r="AJ455" s="267"/>
      <c r="AK455" s="267"/>
      <c r="AL455" s="267"/>
      <c r="AM455" s="267"/>
      <c r="AN455" s="267"/>
      <c r="AO455" s="267"/>
      <c r="AP455" s="267"/>
      <c r="AQ455" s="267"/>
      <c r="AR455" s="267"/>
      <c r="AS455" s="267"/>
      <c r="AT455" s="267"/>
      <c r="AU455" s="267"/>
      <c r="AV455" s="267"/>
      <c r="AW455" s="267"/>
      <c r="AX455" s="267"/>
      <c r="AY455" s="267"/>
      <c r="AZ455" s="267"/>
      <c r="BA455" s="267"/>
      <c r="BB455" s="267"/>
      <c r="BC455" s="267"/>
      <c r="BD455" s="267"/>
      <c r="BE455" s="267"/>
      <c r="BF455" s="267"/>
      <c r="BG455" s="267"/>
      <c r="BH455" s="267"/>
      <c r="BI455" s="267"/>
      <c r="BJ455" s="267"/>
      <c r="BK455" s="414"/>
      <c r="BL455" s="414"/>
      <c r="BM455" s="414"/>
      <c r="BN455" s="267"/>
      <c r="BO455" s="267"/>
      <c r="BP455" s="267"/>
      <c r="BQ455" s="267"/>
      <c r="BR455" s="267"/>
      <c r="BS455" s="267"/>
      <c r="BT455" s="267"/>
      <c r="BU455" s="267"/>
      <c r="BV455" s="267"/>
      <c r="BW455" s="267"/>
      <c r="BX455" s="267"/>
      <c r="BY455" s="267"/>
      <c r="BZ455" s="269"/>
      <c r="CA455" s="269"/>
      <c r="CB455" s="269"/>
    </row>
    <row r="456" spans="1:80" s="376" customFormat="1" ht="72.75" customHeight="1" x14ac:dyDescent="0.25">
      <c r="A456" s="42"/>
      <c r="B456" s="42"/>
      <c r="C456" s="702" t="s">
        <v>589</v>
      </c>
      <c r="D456" s="708" t="s">
        <v>590</v>
      </c>
      <c r="E456" s="716" t="s">
        <v>591</v>
      </c>
      <c r="F456" s="716" t="s">
        <v>592</v>
      </c>
      <c r="G456" s="729"/>
      <c r="H456" s="57">
        <v>110</v>
      </c>
      <c r="I456" s="729" t="s">
        <v>593</v>
      </c>
      <c r="J456" s="169">
        <v>180</v>
      </c>
      <c r="K456" s="190">
        <v>200</v>
      </c>
      <c r="L456" s="190">
        <v>193</v>
      </c>
      <c r="M456" s="46">
        <v>2017003630096</v>
      </c>
      <c r="N456" s="190" t="s">
        <v>485</v>
      </c>
      <c r="O456" s="57" t="s">
        <v>594</v>
      </c>
      <c r="P456" s="729" t="s">
        <v>993</v>
      </c>
      <c r="Q456" s="57" t="s">
        <v>52</v>
      </c>
      <c r="R456" s="467">
        <v>0</v>
      </c>
      <c r="S456" s="467"/>
      <c r="T456" s="467"/>
      <c r="U456" s="467">
        <v>0</v>
      </c>
      <c r="V456" s="467"/>
      <c r="W456" s="467"/>
      <c r="X456" s="467">
        <v>0</v>
      </c>
      <c r="Y456" s="467"/>
      <c r="Z456" s="467"/>
      <c r="AA456" s="467">
        <v>0</v>
      </c>
      <c r="AB456" s="467"/>
      <c r="AC456" s="467"/>
      <c r="AD456" s="467">
        <v>0</v>
      </c>
      <c r="AE456" s="467"/>
      <c r="AF456" s="467"/>
      <c r="AG456" s="467">
        <v>0</v>
      </c>
      <c r="AH456" s="467"/>
      <c r="AI456" s="467"/>
      <c r="AJ456" s="467">
        <v>0</v>
      </c>
      <c r="AK456" s="467"/>
      <c r="AL456" s="467"/>
      <c r="AM456" s="467"/>
      <c r="AN456" s="467"/>
      <c r="AO456" s="467"/>
      <c r="AP456" s="467"/>
      <c r="AQ456" s="467"/>
      <c r="AR456" s="467"/>
      <c r="AS456" s="467">
        <v>0</v>
      </c>
      <c r="AT456" s="467"/>
      <c r="AU456" s="467"/>
      <c r="AV456" s="467">
        <v>0</v>
      </c>
      <c r="AW456" s="467"/>
      <c r="AX456" s="467"/>
      <c r="AY456" s="687">
        <f>2758000000-2000000000</f>
        <v>758000000</v>
      </c>
      <c r="AZ456" s="467">
        <v>89012718</v>
      </c>
      <c r="BA456" s="467">
        <v>45585453</v>
      </c>
      <c r="BB456" s="467"/>
      <c r="BC456" s="467"/>
      <c r="BD456" s="467"/>
      <c r="BE456" s="467">
        <v>0</v>
      </c>
      <c r="BF456" s="467"/>
      <c r="BG456" s="467"/>
      <c r="BH456" s="467">
        <v>0</v>
      </c>
      <c r="BI456" s="467"/>
      <c r="BJ456" s="467"/>
      <c r="BK456" s="135">
        <v>0</v>
      </c>
      <c r="BL456" s="135"/>
      <c r="BM456" s="135"/>
      <c r="BN456" s="421"/>
      <c r="BO456" s="421"/>
      <c r="BP456" s="421"/>
      <c r="BQ456" s="467">
        <v>0</v>
      </c>
      <c r="BR456" s="498"/>
      <c r="BS456" s="498"/>
      <c r="BT456" s="498"/>
      <c r="BU456" s="498"/>
      <c r="BV456" s="498"/>
      <c r="BW456" s="498"/>
      <c r="BX456" s="498"/>
      <c r="BY456" s="498"/>
      <c r="BZ456" s="401">
        <f>R456+U456+X456+AA456+AD456+AG456+AJ456+AM456+AP456+AS456+AV456+AY456+BB456+BE456+BH456+BK456+BN456+BQ456+BT456+BW456</f>
        <v>758000000</v>
      </c>
      <c r="CA456" s="401">
        <f t="shared" ref="CA456:CB456" si="192">S456+V456+Y456+AB456+AE456+AH456+AK456+AN456+AQ456+AT456+AW456+AZ456+BC456+BF456+BI456+BL456+BO456+BR456+BU456+BX456</f>
        <v>89012718</v>
      </c>
      <c r="CB456" s="401">
        <f t="shared" si="192"/>
        <v>45585453</v>
      </c>
    </row>
    <row r="457" spans="1:80" s="376" customFormat="1" ht="30" customHeight="1" x14ac:dyDescent="0.25">
      <c r="A457" s="42"/>
      <c r="B457" s="42"/>
      <c r="C457" s="714"/>
      <c r="D457" s="709"/>
      <c r="E457" s="287"/>
      <c r="F457" s="287"/>
      <c r="G457" s="58"/>
      <c r="H457" s="59"/>
      <c r="I457" s="58"/>
      <c r="J457" s="191"/>
      <c r="K457" s="293"/>
      <c r="L457" s="293"/>
      <c r="M457" s="293"/>
      <c r="N457" s="196"/>
      <c r="O457" s="59"/>
      <c r="P457" s="58"/>
      <c r="Q457" s="59"/>
      <c r="R457" s="500">
        <f t="shared" ref="R457:CB457" si="193">SUM(R456)</f>
        <v>0</v>
      </c>
      <c r="S457" s="500">
        <f t="shared" si="193"/>
        <v>0</v>
      </c>
      <c r="T457" s="500">
        <f t="shared" si="193"/>
        <v>0</v>
      </c>
      <c r="U457" s="500">
        <f t="shared" si="193"/>
        <v>0</v>
      </c>
      <c r="V457" s="500">
        <f t="shared" si="193"/>
        <v>0</v>
      </c>
      <c r="W457" s="500">
        <f t="shared" si="193"/>
        <v>0</v>
      </c>
      <c r="X457" s="500">
        <f t="shared" si="193"/>
        <v>0</v>
      </c>
      <c r="Y457" s="500">
        <f t="shared" si="193"/>
        <v>0</v>
      </c>
      <c r="Z457" s="500">
        <f t="shared" si="193"/>
        <v>0</v>
      </c>
      <c r="AA457" s="500">
        <f t="shared" si="193"/>
        <v>0</v>
      </c>
      <c r="AB457" s="500">
        <f t="shared" si="193"/>
        <v>0</v>
      </c>
      <c r="AC457" s="500">
        <f t="shared" si="193"/>
        <v>0</v>
      </c>
      <c r="AD457" s="500">
        <f t="shared" si="193"/>
        <v>0</v>
      </c>
      <c r="AE457" s="500">
        <f t="shared" si="193"/>
        <v>0</v>
      </c>
      <c r="AF457" s="500">
        <f t="shared" si="193"/>
        <v>0</v>
      </c>
      <c r="AG457" s="500">
        <f t="shared" si="193"/>
        <v>0</v>
      </c>
      <c r="AH457" s="500">
        <f t="shared" si="193"/>
        <v>0</v>
      </c>
      <c r="AI457" s="500">
        <f t="shared" si="193"/>
        <v>0</v>
      </c>
      <c r="AJ457" s="500">
        <f t="shared" si="193"/>
        <v>0</v>
      </c>
      <c r="AK457" s="500">
        <f t="shared" si="193"/>
        <v>0</v>
      </c>
      <c r="AL457" s="500">
        <f t="shared" si="193"/>
        <v>0</v>
      </c>
      <c r="AM457" s="500">
        <f t="shared" si="193"/>
        <v>0</v>
      </c>
      <c r="AN457" s="500">
        <f t="shared" si="193"/>
        <v>0</v>
      </c>
      <c r="AO457" s="500">
        <f t="shared" si="193"/>
        <v>0</v>
      </c>
      <c r="AP457" s="500">
        <f t="shared" si="193"/>
        <v>0</v>
      </c>
      <c r="AQ457" s="500">
        <f t="shared" si="193"/>
        <v>0</v>
      </c>
      <c r="AR457" s="500">
        <f t="shared" si="193"/>
        <v>0</v>
      </c>
      <c r="AS457" s="500">
        <f t="shared" si="193"/>
        <v>0</v>
      </c>
      <c r="AT457" s="500">
        <f t="shared" si="193"/>
        <v>0</v>
      </c>
      <c r="AU457" s="500">
        <f t="shared" si="193"/>
        <v>0</v>
      </c>
      <c r="AV457" s="500">
        <f t="shared" si="193"/>
        <v>0</v>
      </c>
      <c r="AW457" s="500">
        <f t="shared" si="193"/>
        <v>0</v>
      </c>
      <c r="AX457" s="500">
        <f t="shared" si="193"/>
        <v>0</v>
      </c>
      <c r="AY457" s="500">
        <f t="shared" si="193"/>
        <v>758000000</v>
      </c>
      <c r="AZ457" s="500">
        <f t="shared" si="193"/>
        <v>89012718</v>
      </c>
      <c r="BA457" s="500">
        <f t="shared" si="193"/>
        <v>45585453</v>
      </c>
      <c r="BB457" s="500">
        <f t="shared" si="193"/>
        <v>0</v>
      </c>
      <c r="BC457" s="500">
        <f t="shared" si="193"/>
        <v>0</v>
      </c>
      <c r="BD457" s="500">
        <f t="shared" si="193"/>
        <v>0</v>
      </c>
      <c r="BE457" s="500">
        <f t="shared" si="193"/>
        <v>0</v>
      </c>
      <c r="BF457" s="500">
        <f t="shared" si="193"/>
        <v>0</v>
      </c>
      <c r="BG457" s="500">
        <f t="shared" si="193"/>
        <v>0</v>
      </c>
      <c r="BH457" s="500">
        <f t="shared" si="193"/>
        <v>0</v>
      </c>
      <c r="BI457" s="500">
        <f t="shared" si="193"/>
        <v>0</v>
      </c>
      <c r="BJ457" s="500">
        <f t="shared" si="193"/>
        <v>0</v>
      </c>
      <c r="BK457" s="500">
        <f t="shared" si="193"/>
        <v>0</v>
      </c>
      <c r="BL457" s="500">
        <f t="shared" si="193"/>
        <v>0</v>
      </c>
      <c r="BM457" s="500">
        <f t="shared" si="193"/>
        <v>0</v>
      </c>
      <c r="BN457" s="500">
        <f t="shared" si="193"/>
        <v>0</v>
      </c>
      <c r="BO457" s="500">
        <f t="shared" si="193"/>
        <v>0</v>
      </c>
      <c r="BP457" s="500">
        <f t="shared" si="193"/>
        <v>0</v>
      </c>
      <c r="BQ457" s="500">
        <f t="shared" si="193"/>
        <v>0</v>
      </c>
      <c r="BR457" s="500">
        <f t="shared" si="193"/>
        <v>0</v>
      </c>
      <c r="BS457" s="500">
        <f t="shared" si="193"/>
        <v>0</v>
      </c>
      <c r="BT457" s="500">
        <f t="shared" si="193"/>
        <v>0</v>
      </c>
      <c r="BU457" s="500">
        <f t="shared" si="193"/>
        <v>0</v>
      </c>
      <c r="BV457" s="500">
        <f t="shared" si="193"/>
        <v>0</v>
      </c>
      <c r="BW457" s="500">
        <f t="shared" si="193"/>
        <v>0</v>
      </c>
      <c r="BX457" s="500">
        <f t="shared" si="193"/>
        <v>0</v>
      </c>
      <c r="BY457" s="500">
        <f t="shared" si="193"/>
        <v>0</v>
      </c>
      <c r="BZ457" s="500">
        <f t="shared" si="193"/>
        <v>758000000</v>
      </c>
      <c r="CA457" s="500">
        <f t="shared" si="193"/>
        <v>89012718</v>
      </c>
      <c r="CB457" s="500">
        <f t="shared" si="193"/>
        <v>45585453</v>
      </c>
    </row>
    <row r="458" spans="1:80" s="376" customFormat="1" ht="30" customHeight="1" x14ac:dyDescent="0.25">
      <c r="A458" s="42"/>
      <c r="B458" s="42"/>
      <c r="C458" s="150"/>
      <c r="D458" s="72"/>
      <c r="E458" s="264"/>
      <c r="F458" s="264"/>
      <c r="G458" s="72"/>
      <c r="H458" s="150"/>
      <c r="I458" s="72"/>
      <c r="J458" s="195"/>
      <c r="K458" s="223"/>
      <c r="L458" s="271"/>
      <c r="M458" s="271"/>
      <c r="N458" s="266"/>
      <c r="O458" s="400"/>
      <c r="P458" s="101"/>
      <c r="Q458" s="150"/>
      <c r="R458" s="405"/>
      <c r="S458" s="405"/>
      <c r="T458" s="405"/>
      <c r="U458" s="406"/>
      <c r="V458" s="406"/>
      <c r="W458" s="406"/>
      <c r="X458" s="405"/>
      <c r="Y458" s="405"/>
      <c r="Z458" s="405"/>
      <c r="AA458" s="405"/>
      <c r="AB458" s="405"/>
      <c r="AC458" s="405"/>
      <c r="AD458" s="405"/>
      <c r="AE458" s="405"/>
      <c r="AF458" s="405"/>
      <c r="AG458" s="405"/>
      <c r="AH458" s="791"/>
      <c r="AI458" s="791"/>
      <c r="AJ458" s="791"/>
      <c r="AK458" s="791"/>
      <c r="AL458" s="791"/>
      <c r="AM458" s="405"/>
      <c r="AN458" s="405"/>
      <c r="AO458" s="405"/>
      <c r="AP458" s="405"/>
      <c r="AQ458" s="405"/>
      <c r="AR458" s="405"/>
      <c r="AS458" s="405"/>
      <c r="AT458" s="405"/>
      <c r="AU458" s="405"/>
      <c r="AV458" s="405"/>
      <c r="AW458" s="405"/>
      <c r="AX458" s="405"/>
      <c r="AY458" s="406"/>
      <c r="AZ458" s="406"/>
      <c r="BA458" s="406"/>
      <c r="BB458" s="406"/>
      <c r="BC458" s="406"/>
      <c r="BD458" s="406"/>
      <c r="BE458" s="405"/>
      <c r="BF458" s="405"/>
      <c r="BG458" s="405"/>
      <c r="BH458" s="405"/>
      <c r="BI458" s="791"/>
      <c r="BJ458" s="791"/>
      <c r="BK458" s="793"/>
      <c r="BL458" s="793"/>
      <c r="BM458" s="793"/>
      <c r="BN458" s="791"/>
      <c r="BO458" s="791"/>
      <c r="BP458" s="791"/>
      <c r="BQ458" s="405"/>
      <c r="BR458" s="405"/>
      <c r="BS458" s="405"/>
      <c r="BT458" s="405"/>
      <c r="BU458" s="405"/>
      <c r="BV458" s="405"/>
      <c r="BW458" s="405"/>
      <c r="BX458" s="405"/>
      <c r="BY458" s="405"/>
      <c r="BZ458" s="409"/>
      <c r="CA458" s="409"/>
      <c r="CB458" s="409"/>
    </row>
    <row r="459" spans="1:80" s="376" customFormat="1" ht="30" customHeight="1" x14ac:dyDescent="0.25">
      <c r="A459" s="42"/>
      <c r="B459" s="42"/>
      <c r="C459" s="713"/>
      <c r="D459" s="707"/>
      <c r="E459" s="731"/>
      <c r="F459" s="731"/>
      <c r="G459" s="219">
        <v>27</v>
      </c>
      <c r="H459" s="80" t="s">
        <v>596</v>
      </c>
      <c r="I459" s="80"/>
      <c r="J459" s="80"/>
      <c r="K459" s="221"/>
      <c r="L459" s="221"/>
      <c r="M459" s="221"/>
      <c r="N459" s="173"/>
      <c r="O459" s="173"/>
      <c r="P459" s="80"/>
      <c r="Q459" s="80"/>
      <c r="R459" s="267"/>
      <c r="S459" s="267"/>
      <c r="T459" s="267"/>
      <c r="U459" s="267"/>
      <c r="V459" s="267"/>
      <c r="W459" s="267"/>
      <c r="X459" s="267"/>
      <c r="Y459" s="267"/>
      <c r="Z459" s="267"/>
      <c r="AA459" s="267"/>
      <c r="AB459" s="267"/>
      <c r="AC459" s="267"/>
      <c r="AD459" s="267"/>
      <c r="AE459" s="267"/>
      <c r="AF459" s="267"/>
      <c r="AG459" s="267"/>
      <c r="AH459" s="267"/>
      <c r="AI459" s="267"/>
      <c r="AJ459" s="267"/>
      <c r="AK459" s="267"/>
      <c r="AL459" s="267"/>
      <c r="AM459" s="267"/>
      <c r="AN459" s="267"/>
      <c r="AO459" s="267"/>
      <c r="AP459" s="267"/>
      <c r="AQ459" s="267"/>
      <c r="AR459" s="267"/>
      <c r="AS459" s="267"/>
      <c r="AT459" s="267"/>
      <c r="AU459" s="267"/>
      <c r="AV459" s="267"/>
      <c r="AW459" s="267"/>
      <c r="AX459" s="267"/>
      <c r="AY459" s="267"/>
      <c r="AZ459" s="267"/>
      <c r="BA459" s="267"/>
      <c r="BB459" s="267">
        <v>17987346928</v>
      </c>
      <c r="BC459" s="267"/>
      <c r="BD459" s="267"/>
      <c r="BE459" s="267"/>
      <c r="BF459" s="267"/>
      <c r="BG459" s="267"/>
      <c r="BH459" s="267"/>
      <c r="BI459" s="267"/>
      <c r="BJ459" s="267"/>
      <c r="BK459" s="414"/>
      <c r="BL459" s="414"/>
      <c r="BM459" s="414"/>
      <c r="BN459" s="267"/>
      <c r="BO459" s="267"/>
      <c r="BP459" s="267"/>
      <c r="BQ459" s="267"/>
      <c r="BR459" s="267"/>
      <c r="BS459" s="267"/>
      <c r="BT459" s="267"/>
      <c r="BU459" s="267"/>
      <c r="BV459" s="267"/>
      <c r="BW459" s="267"/>
      <c r="BX459" s="267"/>
      <c r="BY459" s="267"/>
      <c r="BZ459" s="269"/>
      <c r="CA459" s="269"/>
      <c r="CB459" s="269"/>
    </row>
    <row r="460" spans="1:80" ht="97.5" customHeight="1" x14ac:dyDescent="0.2">
      <c r="A460" s="42"/>
      <c r="B460" s="42"/>
      <c r="C460" s="702" t="s">
        <v>581</v>
      </c>
      <c r="D460" s="708" t="s">
        <v>508</v>
      </c>
      <c r="E460" s="716" t="s">
        <v>597</v>
      </c>
      <c r="F460" s="716" t="s">
        <v>583</v>
      </c>
      <c r="G460" s="43"/>
      <c r="H460" s="57">
        <v>111</v>
      </c>
      <c r="I460" s="729" t="s">
        <v>598</v>
      </c>
      <c r="J460" s="294">
        <v>1</v>
      </c>
      <c r="K460" s="294">
        <v>1</v>
      </c>
      <c r="L460" s="612">
        <v>0.75</v>
      </c>
      <c r="M460" s="46">
        <v>2017003630087</v>
      </c>
      <c r="N460" s="154" t="s">
        <v>485</v>
      </c>
      <c r="O460" s="57" t="s">
        <v>599</v>
      </c>
      <c r="P460" s="707" t="s">
        <v>994</v>
      </c>
      <c r="Q460" s="57" t="s">
        <v>52</v>
      </c>
      <c r="R460" s="467">
        <v>0</v>
      </c>
      <c r="S460" s="467"/>
      <c r="T460" s="467"/>
      <c r="U460" s="467">
        <v>0</v>
      </c>
      <c r="V460" s="467"/>
      <c r="W460" s="467"/>
      <c r="X460" s="467">
        <v>0</v>
      </c>
      <c r="Y460" s="467"/>
      <c r="Z460" s="467"/>
      <c r="AA460" s="467">
        <v>0</v>
      </c>
      <c r="AB460" s="467"/>
      <c r="AC460" s="467"/>
      <c r="AD460" s="467">
        <v>0</v>
      </c>
      <c r="AE460" s="467"/>
      <c r="AF460" s="467"/>
      <c r="AG460" s="467">
        <v>0</v>
      </c>
      <c r="AH460" s="467"/>
      <c r="AI460" s="467"/>
      <c r="AJ460" s="467">
        <v>0</v>
      </c>
      <c r="AK460" s="467"/>
      <c r="AL460" s="467"/>
      <c r="AM460" s="467"/>
      <c r="AN460" s="467"/>
      <c r="AO460" s="467"/>
      <c r="AP460" s="467"/>
      <c r="AQ460" s="467"/>
      <c r="AR460" s="467"/>
      <c r="AS460" s="467">
        <v>0</v>
      </c>
      <c r="AT460" s="467"/>
      <c r="AU460" s="467"/>
      <c r="AV460" s="467">
        <v>0</v>
      </c>
      <c r="AW460" s="467"/>
      <c r="AX460" s="467"/>
      <c r="AY460" s="455">
        <v>19000000000</v>
      </c>
      <c r="AZ460" s="455">
        <v>10704640820</v>
      </c>
      <c r="BA460" s="455">
        <v>10342532536</v>
      </c>
      <c r="BB460" s="501"/>
      <c r="BC460" s="501"/>
      <c r="BD460" s="501"/>
      <c r="BE460" s="467">
        <v>0</v>
      </c>
      <c r="BF460" s="467"/>
      <c r="BG460" s="467"/>
      <c r="BH460" s="467">
        <v>0</v>
      </c>
      <c r="BI460" s="467"/>
      <c r="BJ460" s="467"/>
      <c r="BK460" s="673">
        <f>200000000+27000000</f>
        <v>227000000</v>
      </c>
      <c r="BL460" s="135"/>
      <c r="BM460" s="135"/>
      <c r="BN460" s="421"/>
      <c r="BO460" s="421"/>
      <c r="BP460" s="421"/>
      <c r="BQ460" s="467">
        <v>0</v>
      </c>
      <c r="BR460" s="498"/>
      <c r="BS460" s="498"/>
      <c r="BT460" s="498"/>
      <c r="BU460" s="498"/>
      <c r="BV460" s="498"/>
      <c r="BW460" s="498"/>
      <c r="BX460" s="498"/>
      <c r="BY460" s="498"/>
      <c r="BZ460" s="401">
        <f>R460+U460+X460+AA460+AD460+AG460+AJ460+AM460+AP460+AS460+AV460+AY460+BB460+BE460+BH460+BK460+BN460+BQ460+BT460+BW460</f>
        <v>19227000000</v>
      </c>
      <c r="CA460" s="401">
        <f t="shared" ref="CA460:CB460" si="194">S460+V460+Y460+AB460+AE460+AH460+AK460+AN460+AQ460+AT460+AW460+AZ460+BC460+BF460+BI460+BL460+BO460+BR460+BU460+BX460</f>
        <v>10704640820</v>
      </c>
      <c r="CB460" s="401">
        <f t="shared" si="194"/>
        <v>10342532536</v>
      </c>
    </row>
    <row r="461" spans="1:80" ht="30" customHeight="1" x14ac:dyDescent="0.2">
      <c r="A461" s="42"/>
      <c r="B461" s="42"/>
      <c r="C461" s="714"/>
      <c r="D461" s="709"/>
      <c r="E461" s="285"/>
      <c r="F461" s="285"/>
      <c r="G461" s="58"/>
      <c r="H461" s="59"/>
      <c r="I461" s="58"/>
      <c r="J461" s="295"/>
      <c r="K461" s="296"/>
      <c r="L461" s="609"/>
      <c r="M461" s="296"/>
      <c r="N461" s="295"/>
      <c r="O461" s="59"/>
      <c r="P461" s="58"/>
      <c r="Q461" s="59"/>
      <c r="R461" s="460">
        <f t="shared" ref="R461:AJ461" si="195">SUM(R460:R460)</f>
        <v>0</v>
      </c>
      <c r="S461" s="460"/>
      <c r="T461" s="460"/>
      <c r="U461" s="460">
        <f t="shared" si="195"/>
        <v>0</v>
      </c>
      <c r="V461" s="460"/>
      <c r="W461" s="460"/>
      <c r="X461" s="460">
        <f t="shared" si="195"/>
        <v>0</v>
      </c>
      <c r="Y461" s="460"/>
      <c r="Z461" s="460"/>
      <c r="AA461" s="460">
        <f t="shared" si="195"/>
        <v>0</v>
      </c>
      <c r="AB461" s="460"/>
      <c r="AC461" s="460"/>
      <c r="AD461" s="460">
        <f t="shared" si="195"/>
        <v>0</v>
      </c>
      <c r="AE461" s="460"/>
      <c r="AF461" s="460"/>
      <c r="AG461" s="460">
        <f t="shared" si="195"/>
        <v>0</v>
      </c>
      <c r="AH461" s="460"/>
      <c r="AI461" s="460"/>
      <c r="AJ461" s="460">
        <f t="shared" si="195"/>
        <v>0</v>
      </c>
      <c r="AK461" s="460"/>
      <c r="AL461" s="460"/>
      <c r="AM461" s="460"/>
      <c r="AN461" s="460"/>
      <c r="AO461" s="460"/>
      <c r="AP461" s="460"/>
      <c r="AQ461" s="460"/>
      <c r="AR461" s="460"/>
      <c r="AS461" s="460">
        <f>SUM(AS460:AS460)</f>
        <v>0</v>
      </c>
      <c r="AT461" s="460"/>
      <c r="AU461" s="460"/>
      <c r="AV461" s="460">
        <f t="shared" ref="AV461:BK461" si="196">SUM(AV460:AV460)</f>
        <v>0</v>
      </c>
      <c r="AW461" s="460"/>
      <c r="AX461" s="460"/>
      <c r="AY461" s="500">
        <f t="shared" si="196"/>
        <v>19000000000</v>
      </c>
      <c r="AZ461" s="500"/>
      <c r="BA461" s="500"/>
      <c r="BB461" s="500">
        <f t="shared" si="196"/>
        <v>0</v>
      </c>
      <c r="BC461" s="500"/>
      <c r="BD461" s="500"/>
      <c r="BE461" s="500">
        <f t="shared" si="196"/>
        <v>0</v>
      </c>
      <c r="BF461" s="500"/>
      <c r="BG461" s="500"/>
      <c r="BH461" s="500">
        <f t="shared" si="196"/>
        <v>0</v>
      </c>
      <c r="BI461" s="500"/>
      <c r="BJ461" s="500"/>
      <c r="BK461" s="502">
        <f t="shared" si="196"/>
        <v>227000000</v>
      </c>
      <c r="BL461" s="502"/>
      <c r="BM461" s="502"/>
      <c r="BN461" s="503"/>
      <c r="BO461" s="503"/>
      <c r="BP461" s="503"/>
      <c r="BQ461" s="500">
        <f>SUM(BQ460:BQ460)</f>
        <v>0</v>
      </c>
      <c r="BR461" s="500"/>
      <c r="BS461" s="500"/>
      <c r="BT461" s="500"/>
      <c r="BU461" s="500"/>
      <c r="BV461" s="500"/>
      <c r="BW461" s="500"/>
      <c r="BX461" s="500"/>
      <c r="BY461" s="500"/>
      <c r="BZ461" s="500">
        <f>SUM(BZ460:BZ460)</f>
        <v>19227000000</v>
      </c>
      <c r="CA461" s="500">
        <f t="shared" ref="CA461:CB461" si="197">SUM(CA460:CA460)</f>
        <v>10704640820</v>
      </c>
      <c r="CB461" s="500">
        <f t="shared" si="197"/>
        <v>10342532536</v>
      </c>
    </row>
    <row r="462" spans="1:80" ht="30" customHeight="1" x14ac:dyDescent="0.2">
      <c r="A462" s="42"/>
      <c r="B462" s="42"/>
      <c r="C462" s="150"/>
      <c r="D462" s="72"/>
      <c r="E462" s="264"/>
      <c r="F462" s="264"/>
      <c r="G462" s="72"/>
      <c r="H462" s="150"/>
      <c r="I462" s="72"/>
      <c r="J462" s="195"/>
      <c r="K462" s="195"/>
      <c r="L462" s="271"/>
      <c r="M462" s="266"/>
      <c r="N462" s="266"/>
      <c r="O462" s="400"/>
      <c r="P462" s="101"/>
      <c r="Q462" s="150"/>
      <c r="R462" s="405"/>
      <c r="S462" s="405"/>
      <c r="T462" s="405"/>
      <c r="U462" s="406"/>
      <c r="V462" s="406"/>
      <c r="W462" s="406"/>
      <c r="X462" s="405"/>
      <c r="Y462" s="405"/>
      <c r="Z462" s="405"/>
      <c r="AA462" s="405"/>
      <c r="AB462" s="405"/>
      <c r="AC462" s="405"/>
      <c r="AD462" s="405"/>
      <c r="AE462" s="405"/>
      <c r="AF462" s="405"/>
      <c r="AG462" s="405"/>
      <c r="AH462" s="791"/>
      <c r="AI462" s="791"/>
      <c r="AJ462" s="791"/>
      <c r="AK462" s="791"/>
      <c r="AL462" s="791"/>
      <c r="AM462" s="405"/>
      <c r="AN462" s="405"/>
      <c r="AO462" s="405"/>
      <c r="AP462" s="405"/>
      <c r="AQ462" s="405"/>
      <c r="AR462" s="405"/>
      <c r="AS462" s="405"/>
      <c r="AT462" s="405"/>
      <c r="AU462" s="405"/>
      <c r="AV462" s="405"/>
      <c r="AW462" s="405"/>
      <c r="AX462" s="405"/>
      <c r="AY462" s="405"/>
      <c r="AZ462" s="405"/>
      <c r="BA462" s="405"/>
      <c r="BB462" s="405"/>
      <c r="BC462" s="405"/>
      <c r="BD462" s="405"/>
      <c r="BE462" s="405"/>
      <c r="BF462" s="405"/>
      <c r="BG462" s="405"/>
      <c r="BH462" s="405"/>
      <c r="BI462" s="791"/>
      <c r="BJ462" s="791"/>
      <c r="BK462" s="793"/>
      <c r="BL462" s="793"/>
      <c r="BM462" s="793"/>
      <c r="BN462" s="791"/>
      <c r="BO462" s="791"/>
      <c r="BP462" s="791"/>
      <c r="BQ462" s="405"/>
      <c r="BR462" s="405"/>
      <c r="BS462" s="405"/>
      <c r="BT462" s="405"/>
      <c r="BU462" s="405"/>
      <c r="BV462" s="405"/>
      <c r="BW462" s="405"/>
      <c r="BX462" s="405"/>
      <c r="BY462" s="405"/>
      <c r="BZ462" s="409"/>
      <c r="CA462" s="409"/>
      <c r="CB462" s="409"/>
    </row>
    <row r="463" spans="1:80" ht="36" customHeight="1" x14ac:dyDescent="0.2">
      <c r="A463" s="42"/>
      <c r="B463" s="42"/>
      <c r="C463" s="713"/>
      <c r="D463" s="707"/>
      <c r="E463" s="731"/>
      <c r="F463" s="731"/>
      <c r="G463" s="219">
        <v>28</v>
      </c>
      <c r="H463" s="80" t="s">
        <v>601</v>
      </c>
      <c r="I463" s="80"/>
      <c r="J463" s="80"/>
      <c r="K463" s="153"/>
      <c r="L463" s="221"/>
      <c r="M463" s="153"/>
      <c r="N463" s="173"/>
      <c r="O463" s="173"/>
      <c r="P463" s="80"/>
      <c r="Q463" s="80"/>
      <c r="R463" s="267"/>
      <c r="S463" s="267"/>
      <c r="T463" s="267"/>
      <c r="U463" s="267"/>
      <c r="V463" s="267"/>
      <c r="W463" s="267"/>
      <c r="X463" s="267"/>
      <c r="Y463" s="267"/>
      <c r="Z463" s="267"/>
      <c r="AA463" s="267"/>
      <c r="AB463" s="267"/>
      <c r="AC463" s="267"/>
      <c r="AD463" s="267"/>
      <c r="AE463" s="267"/>
      <c r="AF463" s="267"/>
      <c r="AG463" s="267"/>
      <c r="AH463" s="267"/>
      <c r="AI463" s="267"/>
      <c r="AJ463" s="267"/>
      <c r="AK463" s="267"/>
      <c r="AL463" s="267"/>
      <c r="AM463" s="267"/>
      <c r="AN463" s="267"/>
      <c r="AO463" s="267"/>
      <c r="AP463" s="267"/>
      <c r="AQ463" s="267"/>
      <c r="AR463" s="267"/>
      <c r="AS463" s="267"/>
      <c r="AT463" s="267"/>
      <c r="AU463" s="267"/>
      <c r="AV463" s="267"/>
      <c r="AW463" s="267"/>
      <c r="AX463" s="267"/>
      <c r="AY463" s="267"/>
      <c r="AZ463" s="267"/>
      <c r="BA463" s="267"/>
      <c r="BB463" s="267"/>
      <c r="BC463" s="267"/>
      <c r="BD463" s="267"/>
      <c r="BE463" s="267"/>
      <c r="BF463" s="267"/>
      <c r="BG463" s="267"/>
      <c r="BH463" s="267"/>
      <c r="BI463" s="267"/>
      <c r="BJ463" s="267"/>
      <c r="BK463" s="414"/>
      <c r="BL463" s="414"/>
      <c r="BM463" s="414"/>
      <c r="BN463" s="267"/>
      <c r="BO463" s="267"/>
      <c r="BP463" s="267"/>
      <c r="BQ463" s="267"/>
      <c r="BR463" s="267"/>
      <c r="BS463" s="267"/>
      <c r="BT463" s="267"/>
      <c r="BU463" s="267"/>
      <c r="BV463" s="267"/>
      <c r="BW463" s="267"/>
      <c r="BX463" s="267"/>
      <c r="BY463" s="267"/>
      <c r="BZ463" s="269"/>
      <c r="CA463" s="269"/>
      <c r="CB463" s="269"/>
    </row>
    <row r="464" spans="1:80" ht="63.75" customHeight="1" x14ac:dyDescent="0.2">
      <c r="A464" s="42"/>
      <c r="B464" s="42"/>
      <c r="C464" s="883" t="s">
        <v>1093</v>
      </c>
      <c r="D464" s="891" t="s">
        <v>1092</v>
      </c>
      <c r="E464" s="906" t="s">
        <v>582</v>
      </c>
      <c r="F464" s="906" t="s">
        <v>583</v>
      </c>
      <c r="G464" s="43"/>
      <c r="H464" s="57">
        <v>112</v>
      </c>
      <c r="I464" s="729" t="s">
        <v>602</v>
      </c>
      <c r="J464" s="169">
        <v>0</v>
      </c>
      <c r="K464" s="190">
        <v>20</v>
      </c>
      <c r="L464" s="190">
        <v>16</v>
      </c>
      <c r="M464" s="884">
        <v>2017003630026</v>
      </c>
      <c r="N464" s="915" t="s">
        <v>485</v>
      </c>
      <c r="O464" s="917" t="s">
        <v>603</v>
      </c>
      <c r="P464" s="890" t="s">
        <v>995</v>
      </c>
      <c r="Q464" s="57" t="s">
        <v>67</v>
      </c>
      <c r="R464" s="467">
        <v>0</v>
      </c>
      <c r="S464" s="467"/>
      <c r="T464" s="467"/>
      <c r="U464" s="467">
        <v>0</v>
      </c>
      <c r="V464" s="467"/>
      <c r="W464" s="467"/>
      <c r="X464" s="467">
        <v>0</v>
      </c>
      <c r="Y464" s="467"/>
      <c r="Z464" s="467"/>
      <c r="AA464" s="467">
        <v>0</v>
      </c>
      <c r="AB464" s="467"/>
      <c r="AC464" s="467"/>
      <c r="AD464" s="467">
        <v>0</v>
      </c>
      <c r="AE464" s="467"/>
      <c r="AF464" s="467"/>
      <c r="AG464" s="467">
        <v>0</v>
      </c>
      <c r="AH464" s="467"/>
      <c r="AI464" s="467"/>
      <c r="AJ464" s="430"/>
      <c r="AK464" s="430"/>
      <c r="AL464" s="430"/>
      <c r="AM464" s="467"/>
      <c r="AN464" s="467"/>
      <c r="AO464" s="467"/>
      <c r="AP464" s="467"/>
      <c r="AQ464" s="467"/>
      <c r="AR464" s="467"/>
      <c r="AS464" s="467">
        <v>0</v>
      </c>
      <c r="AT464" s="467"/>
      <c r="AU464" s="467"/>
      <c r="AV464" s="467">
        <v>0</v>
      </c>
      <c r="AW464" s="467"/>
      <c r="AX464" s="467"/>
      <c r="AY464" s="504"/>
      <c r="AZ464" s="504"/>
      <c r="BA464" s="504"/>
      <c r="BB464" s="505"/>
      <c r="BC464" s="505"/>
      <c r="BD464" s="505"/>
      <c r="BE464" s="467">
        <v>0</v>
      </c>
      <c r="BF464" s="467"/>
      <c r="BG464" s="467"/>
      <c r="BH464" s="467">
        <v>0</v>
      </c>
      <c r="BI464" s="467"/>
      <c r="BJ464" s="467"/>
      <c r="BK464" s="673">
        <f>10000000-8000000</f>
        <v>2000000</v>
      </c>
      <c r="BL464" s="135">
        <v>2000000</v>
      </c>
      <c r="BM464" s="135"/>
      <c r="BN464" s="421"/>
      <c r="BO464" s="421"/>
      <c r="BP464" s="421"/>
      <c r="BQ464" s="467">
        <v>0</v>
      </c>
      <c r="BR464" s="498"/>
      <c r="BS464" s="498"/>
      <c r="BT464" s="498"/>
      <c r="BU464" s="498"/>
      <c r="BV464" s="498"/>
      <c r="BW464" s="498"/>
      <c r="BX464" s="498"/>
      <c r="BY464" s="498"/>
      <c r="BZ464" s="401">
        <f t="shared" ref="BZ464:CB465" si="198">R464+U464+X464+AA464+AD464+AG464+AJ464+AM464+AP464+AS464+AV464+AY464+BB464+BE464+BH464+BK464+BN464+BQ464+BT464+BW464</f>
        <v>2000000</v>
      </c>
      <c r="CA464" s="401">
        <f t="shared" si="198"/>
        <v>2000000</v>
      </c>
      <c r="CB464" s="401">
        <f t="shared" si="198"/>
        <v>0</v>
      </c>
    </row>
    <row r="465" spans="1:80" ht="78.75" customHeight="1" x14ac:dyDescent="0.2">
      <c r="A465" s="42"/>
      <c r="B465" s="42"/>
      <c r="C465" s="883"/>
      <c r="D465" s="891"/>
      <c r="E465" s="906"/>
      <c r="F465" s="906"/>
      <c r="G465" s="92"/>
      <c r="H465" s="57">
        <v>113</v>
      </c>
      <c r="I465" s="729" t="s">
        <v>605</v>
      </c>
      <c r="J465" s="169">
        <v>0</v>
      </c>
      <c r="K465" s="190">
        <v>3</v>
      </c>
      <c r="L465" s="190">
        <v>0</v>
      </c>
      <c r="M465" s="886"/>
      <c r="N465" s="916"/>
      <c r="O465" s="918"/>
      <c r="P465" s="892"/>
      <c r="Q465" s="57" t="s">
        <v>67</v>
      </c>
      <c r="R465" s="467">
        <v>0</v>
      </c>
      <c r="S465" s="467"/>
      <c r="T465" s="467"/>
      <c r="U465" s="467">
        <v>0</v>
      </c>
      <c r="V465" s="467"/>
      <c r="W465" s="467"/>
      <c r="X465" s="467">
        <v>0</v>
      </c>
      <c r="Y465" s="467"/>
      <c r="Z465" s="467"/>
      <c r="AA465" s="467">
        <v>0</v>
      </c>
      <c r="AB465" s="467"/>
      <c r="AC465" s="467"/>
      <c r="AD465" s="467">
        <v>0</v>
      </c>
      <c r="AE465" s="467"/>
      <c r="AF465" s="467"/>
      <c r="AG465" s="467">
        <v>0</v>
      </c>
      <c r="AH465" s="467"/>
      <c r="AI465" s="467"/>
      <c r="AJ465" s="430"/>
      <c r="AK465" s="430"/>
      <c r="AL465" s="430"/>
      <c r="AM465" s="467"/>
      <c r="AN465" s="467"/>
      <c r="AO465" s="467"/>
      <c r="AP465" s="467"/>
      <c r="AQ465" s="467"/>
      <c r="AR465" s="467"/>
      <c r="AS465" s="467">
        <v>0</v>
      </c>
      <c r="AT465" s="467"/>
      <c r="AU465" s="467"/>
      <c r="AV465" s="467">
        <v>0</v>
      </c>
      <c r="AW465" s="467"/>
      <c r="AX465" s="467"/>
      <c r="AY465" s="135"/>
      <c r="AZ465" s="135"/>
      <c r="BA465" s="135"/>
      <c r="BB465" s="135"/>
      <c r="BC465" s="135"/>
      <c r="BD465" s="135"/>
      <c r="BE465" s="467">
        <v>0</v>
      </c>
      <c r="BF465" s="467"/>
      <c r="BG465" s="467"/>
      <c r="BH465" s="467">
        <v>0</v>
      </c>
      <c r="BI465" s="467"/>
      <c r="BJ465" s="467"/>
      <c r="BK465" s="673">
        <f>11000000+8000000+8000000</f>
        <v>27000000</v>
      </c>
      <c r="BL465" s="135">
        <v>3000000</v>
      </c>
      <c r="BM465" s="135"/>
      <c r="BN465" s="421"/>
      <c r="BO465" s="421"/>
      <c r="BP465" s="421"/>
      <c r="BQ465" s="467">
        <v>0</v>
      </c>
      <c r="BR465" s="498"/>
      <c r="BS465" s="498"/>
      <c r="BT465" s="498"/>
      <c r="BU465" s="498"/>
      <c r="BV465" s="498"/>
      <c r="BW465" s="498"/>
      <c r="BX465" s="498"/>
      <c r="BY465" s="498"/>
      <c r="BZ465" s="401">
        <f t="shared" si="198"/>
        <v>27000000</v>
      </c>
      <c r="CA465" s="401">
        <f t="shared" si="198"/>
        <v>3000000</v>
      </c>
      <c r="CB465" s="401">
        <f t="shared" si="198"/>
        <v>0</v>
      </c>
    </row>
    <row r="466" spans="1:80" s="10" customFormat="1" ht="30" customHeight="1" x14ac:dyDescent="0.25">
      <c r="A466" s="298"/>
      <c r="B466" s="299"/>
      <c r="C466" s="714"/>
      <c r="D466" s="396"/>
      <c r="E466" s="396"/>
      <c r="F466" s="396"/>
      <c r="G466" s="3"/>
      <c r="H466" s="59"/>
      <c r="I466" s="3"/>
      <c r="J466" s="297"/>
      <c r="K466" s="300"/>
      <c r="L466" s="610"/>
      <c r="M466" s="300"/>
      <c r="N466" s="196"/>
      <c r="O466" s="59"/>
      <c r="P466" s="3"/>
      <c r="Q466" s="3"/>
      <c r="R466" s="500">
        <f t="shared" ref="R466:CB466" si="199">SUM(R464:R465)</f>
        <v>0</v>
      </c>
      <c r="S466" s="500">
        <f t="shared" si="199"/>
        <v>0</v>
      </c>
      <c r="T466" s="500">
        <f t="shared" si="199"/>
        <v>0</v>
      </c>
      <c r="U466" s="500">
        <f t="shared" si="199"/>
        <v>0</v>
      </c>
      <c r="V466" s="500">
        <f t="shared" si="199"/>
        <v>0</v>
      </c>
      <c r="W466" s="500">
        <f t="shared" si="199"/>
        <v>0</v>
      </c>
      <c r="X466" s="500">
        <f t="shared" si="199"/>
        <v>0</v>
      </c>
      <c r="Y466" s="500">
        <f t="shared" si="199"/>
        <v>0</v>
      </c>
      <c r="Z466" s="500">
        <f t="shared" si="199"/>
        <v>0</v>
      </c>
      <c r="AA466" s="500">
        <f t="shared" si="199"/>
        <v>0</v>
      </c>
      <c r="AB466" s="500">
        <f t="shared" si="199"/>
        <v>0</v>
      </c>
      <c r="AC466" s="500">
        <f t="shared" si="199"/>
        <v>0</v>
      </c>
      <c r="AD466" s="500">
        <f t="shared" si="199"/>
        <v>0</v>
      </c>
      <c r="AE466" s="500">
        <f t="shared" si="199"/>
        <v>0</v>
      </c>
      <c r="AF466" s="500">
        <f t="shared" si="199"/>
        <v>0</v>
      </c>
      <c r="AG466" s="500">
        <f t="shared" si="199"/>
        <v>0</v>
      </c>
      <c r="AH466" s="500">
        <f t="shared" si="199"/>
        <v>0</v>
      </c>
      <c r="AI466" s="500">
        <f t="shared" si="199"/>
        <v>0</v>
      </c>
      <c r="AJ466" s="500">
        <f t="shared" si="199"/>
        <v>0</v>
      </c>
      <c r="AK466" s="500">
        <f t="shared" si="199"/>
        <v>0</v>
      </c>
      <c r="AL466" s="500">
        <f t="shared" si="199"/>
        <v>0</v>
      </c>
      <c r="AM466" s="500">
        <f t="shared" si="199"/>
        <v>0</v>
      </c>
      <c r="AN466" s="500">
        <f t="shared" si="199"/>
        <v>0</v>
      </c>
      <c r="AO466" s="500">
        <f t="shared" si="199"/>
        <v>0</v>
      </c>
      <c r="AP466" s="500">
        <f t="shared" si="199"/>
        <v>0</v>
      </c>
      <c r="AQ466" s="500">
        <f t="shared" si="199"/>
        <v>0</v>
      </c>
      <c r="AR466" s="500">
        <f t="shared" si="199"/>
        <v>0</v>
      </c>
      <c r="AS466" s="500">
        <f t="shared" si="199"/>
        <v>0</v>
      </c>
      <c r="AT466" s="500">
        <f t="shared" si="199"/>
        <v>0</v>
      </c>
      <c r="AU466" s="500">
        <f t="shared" si="199"/>
        <v>0</v>
      </c>
      <c r="AV466" s="500">
        <f t="shared" si="199"/>
        <v>0</v>
      </c>
      <c r="AW466" s="500">
        <f t="shared" si="199"/>
        <v>0</v>
      </c>
      <c r="AX466" s="500">
        <f t="shared" si="199"/>
        <v>0</v>
      </c>
      <c r="AY466" s="500">
        <f t="shared" si="199"/>
        <v>0</v>
      </c>
      <c r="AZ466" s="500">
        <f t="shared" si="199"/>
        <v>0</v>
      </c>
      <c r="BA466" s="500">
        <f t="shared" si="199"/>
        <v>0</v>
      </c>
      <c r="BB466" s="500">
        <f t="shared" si="199"/>
        <v>0</v>
      </c>
      <c r="BC466" s="500">
        <f t="shared" si="199"/>
        <v>0</v>
      </c>
      <c r="BD466" s="500">
        <f t="shared" si="199"/>
        <v>0</v>
      </c>
      <c r="BE466" s="500">
        <f t="shared" si="199"/>
        <v>0</v>
      </c>
      <c r="BF466" s="500">
        <f t="shared" si="199"/>
        <v>0</v>
      </c>
      <c r="BG466" s="500">
        <f t="shared" si="199"/>
        <v>0</v>
      </c>
      <c r="BH466" s="500">
        <f t="shared" si="199"/>
        <v>0</v>
      </c>
      <c r="BI466" s="500">
        <f t="shared" si="199"/>
        <v>0</v>
      </c>
      <c r="BJ466" s="500">
        <f t="shared" si="199"/>
        <v>0</v>
      </c>
      <c r="BK466" s="500">
        <f t="shared" si="199"/>
        <v>29000000</v>
      </c>
      <c r="BL466" s="500">
        <f t="shared" si="199"/>
        <v>5000000</v>
      </c>
      <c r="BM466" s="500">
        <f t="shared" si="199"/>
        <v>0</v>
      </c>
      <c r="BN466" s="500">
        <f t="shared" si="199"/>
        <v>0</v>
      </c>
      <c r="BO466" s="500">
        <f t="shared" si="199"/>
        <v>0</v>
      </c>
      <c r="BP466" s="500">
        <f t="shared" si="199"/>
        <v>0</v>
      </c>
      <c r="BQ466" s="500">
        <f t="shared" si="199"/>
        <v>0</v>
      </c>
      <c r="BR466" s="500">
        <f t="shared" si="199"/>
        <v>0</v>
      </c>
      <c r="BS466" s="500">
        <f t="shared" si="199"/>
        <v>0</v>
      </c>
      <c r="BT466" s="500">
        <f t="shared" si="199"/>
        <v>0</v>
      </c>
      <c r="BU466" s="500">
        <f t="shared" si="199"/>
        <v>0</v>
      </c>
      <c r="BV466" s="500">
        <f t="shared" si="199"/>
        <v>0</v>
      </c>
      <c r="BW466" s="500">
        <f t="shared" si="199"/>
        <v>0</v>
      </c>
      <c r="BX466" s="500">
        <f t="shared" si="199"/>
        <v>0</v>
      </c>
      <c r="BY466" s="500">
        <f t="shared" si="199"/>
        <v>0</v>
      </c>
      <c r="BZ466" s="500">
        <f t="shared" si="199"/>
        <v>29000000</v>
      </c>
      <c r="CA466" s="500">
        <f t="shared" si="199"/>
        <v>5000000</v>
      </c>
      <c r="CB466" s="500">
        <f t="shared" si="199"/>
        <v>0</v>
      </c>
    </row>
    <row r="467" spans="1:80" s="377" customFormat="1" ht="30" customHeight="1" x14ac:dyDescent="0.2">
      <c r="A467" s="298"/>
      <c r="B467" s="301"/>
      <c r="C467" s="63"/>
      <c r="D467" s="4"/>
      <c r="E467" s="4"/>
      <c r="F467" s="4"/>
      <c r="G467" s="4"/>
      <c r="H467" s="63"/>
      <c r="I467" s="4"/>
      <c r="J467" s="302"/>
      <c r="K467" s="303"/>
      <c r="L467" s="611"/>
      <c r="M467" s="303"/>
      <c r="N467" s="200"/>
      <c r="O467" s="63"/>
      <c r="P467" s="4"/>
      <c r="Q467" s="4"/>
      <c r="R467" s="506">
        <f t="shared" ref="R467:BY467" si="200">R466+R461+R457+R453</f>
        <v>0</v>
      </c>
      <c r="S467" s="506">
        <f t="shared" si="200"/>
        <v>0</v>
      </c>
      <c r="T467" s="506">
        <f t="shared" si="200"/>
        <v>0</v>
      </c>
      <c r="U467" s="506">
        <f t="shared" si="200"/>
        <v>0</v>
      </c>
      <c r="V467" s="506">
        <f t="shared" si="200"/>
        <v>0</v>
      </c>
      <c r="W467" s="506">
        <f t="shared" si="200"/>
        <v>0</v>
      </c>
      <c r="X467" s="506">
        <f t="shared" si="200"/>
        <v>0</v>
      </c>
      <c r="Y467" s="506">
        <f t="shared" si="200"/>
        <v>0</v>
      </c>
      <c r="Z467" s="506">
        <f t="shared" si="200"/>
        <v>0</v>
      </c>
      <c r="AA467" s="506">
        <f t="shared" si="200"/>
        <v>0</v>
      </c>
      <c r="AB467" s="506">
        <f t="shared" si="200"/>
        <v>0</v>
      </c>
      <c r="AC467" s="506">
        <f t="shared" si="200"/>
        <v>0</v>
      </c>
      <c r="AD467" s="506">
        <f t="shared" si="200"/>
        <v>0</v>
      </c>
      <c r="AE467" s="506">
        <f t="shared" si="200"/>
        <v>0</v>
      </c>
      <c r="AF467" s="506">
        <f t="shared" si="200"/>
        <v>0</v>
      </c>
      <c r="AG467" s="506">
        <f t="shared" si="200"/>
        <v>0</v>
      </c>
      <c r="AH467" s="506">
        <f t="shared" si="200"/>
        <v>0</v>
      </c>
      <c r="AI467" s="506">
        <f t="shared" si="200"/>
        <v>0</v>
      </c>
      <c r="AJ467" s="506">
        <f t="shared" si="200"/>
        <v>0</v>
      </c>
      <c r="AK467" s="506">
        <f t="shared" si="200"/>
        <v>0</v>
      </c>
      <c r="AL467" s="506">
        <f t="shared" si="200"/>
        <v>0</v>
      </c>
      <c r="AM467" s="506">
        <f t="shared" si="200"/>
        <v>0</v>
      </c>
      <c r="AN467" s="506">
        <f t="shared" si="200"/>
        <v>0</v>
      </c>
      <c r="AO467" s="506">
        <f t="shared" si="200"/>
        <v>0</v>
      </c>
      <c r="AP467" s="506">
        <f t="shared" si="200"/>
        <v>0</v>
      </c>
      <c r="AQ467" s="506">
        <f t="shared" si="200"/>
        <v>0</v>
      </c>
      <c r="AR467" s="506">
        <f t="shared" si="200"/>
        <v>0</v>
      </c>
      <c r="AS467" s="506">
        <f t="shared" si="200"/>
        <v>0</v>
      </c>
      <c r="AT467" s="506">
        <f t="shared" si="200"/>
        <v>0</v>
      </c>
      <c r="AU467" s="506">
        <f t="shared" si="200"/>
        <v>0</v>
      </c>
      <c r="AV467" s="506">
        <f t="shared" si="200"/>
        <v>0</v>
      </c>
      <c r="AW467" s="506">
        <f t="shared" si="200"/>
        <v>0</v>
      </c>
      <c r="AX467" s="506">
        <f t="shared" si="200"/>
        <v>0</v>
      </c>
      <c r="AY467" s="506">
        <f t="shared" si="200"/>
        <v>19758000000</v>
      </c>
      <c r="AZ467" s="506">
        <f t="shared" si="200"/>
        <v>89012718</v>
      </c>
      <c r="BA467" s="506">
        <f t="shared" si="200"/>
        <v>45585453</v>
      </c>
      <c r="BB467" s="506">
        <f t="shared" si="200"/>
        <v>0</v>
      </c>
      <c r="BC467" s="506">
        <f t="shared" si="200"/>
        <v>0</v>
      </c>
      <c r="BD467" s="506">
        <f t="shared" si="200"/>
        <v>0</v>
      </c>
      <c r="BE467" s="506">
        <f t="shared" si="200"/>
        <v>0</v>
      </c>
      <c r="BF467" s="506">
        <f t="shared" si="200"/>
        <v>0</v>
      </c>
      <c r="BG467" s="506">
        <f t="shared" si="200"/>
        <v>0</v>
      </c>
      <c r="BH467" s="506">
        <f t="shared" si="200"/>
        <v>0</v>
      </c>
      <c r="BI467" s="506">
        <f t="shared" si="200"/>
        <v>0</v>
      </c>
      <c r="BJ467" s="506">
        <f t="shared" si="200"/>
        <v>0</v>
      </c>
      <c r="BK467" s="506">
        <f t="shared" si="200"/>
        <v>313000000</v>
      </c>
      <c r="BL467" s="506">
        <f t="shared" si="200"/>
        <v>36920000</v>
      </c>
      <c r="BM467" s="506">
        <f t="shared" si="200"/>
        <v>15960000</v>
      </c>
      <c r="BN467" s="506">
        <f t="shared" si="200"/>
        <v>0</v>
      </c>
      <c r="BO467" s="506">
        <f t="shared" si="200"/>
        <v>0</v>
      </c>
      <c r="BP467" s="506">
        <f t="shared" si="200"/>
        <v>0</v>
      </c>
      <c r="BQ467" s="506">
        <f t="shared" si="200"/>
        <v>0</v>
      </c>
      <c r="BR467" s="506">
        <f t="shared" si="200"/>
        <v>0</v>
      </c>
      <c r="BS467" s="506">
        <f t="shared" si="200"/>
        <v>0</v>
      </c>
      <c r="BT467" s="506">
        <f t="shared" si="200"/>
        <v>0</v>
      </c>
      <c r="BU467" s="506">
        <f t="shared" si="200"/>
        <v>0</v>
      </c>
      <c r="BV467" s="506">
        <f t="shared" si="200"/>
        <v>0</v>
      </c>
      <c r="BW467" s="506">
        <f t="shared" si="200"/>
        <v>0</v>
      </c>
      <c r="BX467" s="506">
        <f t="shared" si="200"/>
        <v>0</v>
      </c>
      <c r="BY467" s="506">
        <f t="shared" si="200"/>
        <v>0</v>
      </c>
      <c r="BZ467" s="506">
        <f>BZ466+BZ461+BZ457+BZ453</f>
        <v>20071000000</v>
      </c>
      <c r="CA467" s="506">
        <f t="shared" ref="CA467:CB467" si="201">CA466+CA461+CA457+CA453</f>
        <v>10830573538</v>
      </c>
      <c r="CB467" s="506">
        <f t="shared" si="201"/>
        <v>10404077989</v>
      </c>
    </row>
    <row r="468" spans="1:80" ht="30" customHeight="1" x14ac:dyDescent="0.2">
      <c r="A468" s="42"/>
      <c r="B468" s="72"/>
      <c r="C468" s="150"/>
      <c r="D468" s="72"/>
      <c r="E468" s="264"/>
      <c r="F468" s="264"/>
      <c r="G468" s="72"/>
      <c r="H468" s="150"/>
      <c r="I468" s="72"/>
      <c r="J468" s="195"/>
      <c r="K468" s="195"/>
      <c r="L468" s="271"/>
      <c r="M468" s="266"/>
      <c r="N468" s="266"/>
      <c r="O468" s="400"/>
      <c r="P468" s="101"/>
      <c r="Q468" s="150"/>
      <c r="R468" s="405"/>
      <c r="S468" s="405"/>
      <c r="T468" s="405"/>
      <c r="U468" s="406"/>
      <c r="V468" s="406"/>
      <c r="W468" s="406"/>
      <c r="X468" s="405"/>
      <c r="Y468" s="405"/>
      <c r="Z468" s="405"/>
      <c r="AA468" s="405"/>
      <c r="AB468" s="405"/>
      <c r="AC468" s="405"/>
      <c r="AD468" s="405"/>
      <c r="AE468" s="405"/>
      <c r="AF468" s="405"/>
      <c r="AG468" s="405"/>
      <c r="AH468" s="791"/>
      <c r="AI468" s="791"/>
      <c r="AJ468" s="791"/>
      <c r="AK468" s="791"/>
      <c r="AL468" s="791"/>
      <c r="AM468" s="405"/>
      <c r="AN468" s="405"/>
      <c r="AO468" s="405"/>
      <c r="AP468" s="405"/>
      <c r="AQ468" s="405"/>
      <c r="AR468" s="405"/>
      <c r="AS468" s="405"/>
      <c r="AT468" s="405"/>
      <c r="AU468" s="405"/>
      <c r="AV468" s="405"/>
      <c r="AW468" s="405"/>
      <c r="AX468" s="405"/>
      <c r="AY468" s="405"/>
      <c r="AZ468" s="405"/>
      <c r="BA468" s="405"/>
      <c r="BB468" s="405"/>
      <c r="BC468" s="405"/>
      <c r="BD468" s="405"/>
      <c r="BE468" s="405"/>
      <c r="BF468" s="405"/>
      <c r="BG468" s="405"/>
      <c r="BH468" s="405"/>
      <c r="BI468" s="791"/>
      <c r="BJ468" s="791"/>
      <c r="BK468" s="793" t="s">
        <v>69</v>
      </c>
      <c r="BL468" s="793"/>
      <c r="BM468" s="793"/>
      <c r="BN468" s="791"/>
      <c r="BO468" s="791"/>
      <c r="BP468" s="791"/>
      <c r="BQ468" s="405"/>
      <c r="BR468" s="405"/>
      <c r="BS468" s="405"/>
      <c r="BT468" s="405"/>
      <c r="BU468" s="405"/>
      <c r="BV468" s="405"/>
      <c r="BW468" s="405"/>
      <c r="BX468" s="405"/>
      <c r="BY468" s="405"/>
      <c r="BZ468" s="405"/>
      <c r="CA468" s="405"/>
      <c r="CB468" s="409"/>
    </row>
    <row r="469" spans="1:80" ht="30" customHeight="1" x14ac:dyDescent="0.2">
      <c r="A469" s="42"/>
      <c r="B469" s="125">
        <v>16</v>
      </c>
      <c r="C469" s="38" t="s">
        <v>606</v>
      </c>
      <c r="D469" s="39"/>
      <c r="E469" s="39"/>
      <c r="F469" s="39"/>
      <c r="G469" s="39"/>
      <c r="H469" s="40"/>
      <c r="I469" s="39"/>
      <c r="J469" s="39"/>
      <c r="K469" s="201"/>
      <c r="L469" s="225"/>
      <c r="M469" s="201"/>
      <c r="N469" s="40"/>
      <c r="O469" s="40"/>
      <c r="P469" s="39"/>
      <c r="Q469" s="39"/>
      <c r="R469" s="412"/>
      <c r="S469" s="412"/>
      <c r="T469" s="412"/>
      <c r="U469" s="412"/>
      <c r="V469" s="412"/>
      <c r="W469" s="412"/>
      <c r="X469" s="412"/>
      <c r="Y469" s="412"/>
      <c r="Z469" s="412"/>
      <c r="AA469" s="412"/>
      <c r="AB469" s="412"/>
      <c r="AC469" s="412"/>
      <c r="AD469" s="412"/>
      <c r="AE469" s="412"/>
      <c r="AF469" s="412"/>
      <c r="AG469" s="412"/>
      <c r="AH469" s="412"/>
      <c r="AI469" s="412"/>
      <c r="AJ469" s="412"/>
      <c r="AK469" s="412"/>
      <c r="AL469" s="412"/>
      <c r="AM469" s="412"/>
      <c r="AN469" s="412"/>
      <c r="AO469" s="412"/>
      <c r="AP469" s="412"/>
      <c r="AQ469" s="412"/>
      <c r="AR469" s="412"/>
      <c r="AS469" s="412"/>
      <c r="AT469" s="412"/>
      <c r="AU469" s="412"/>
      <c r="AV469" s="412"/>
      <c r="AW469" s="412"/>
      <c r="AX469" s="412"/>
      <c r="AY469" s="412"/>
      <c r="AZ469" s="412"/>
      <c r="BA469" s="412"/>
      <c r="BB469" s="412"/>
      <c r="BC469" s="412"/>
      <c r="BD469" s="412"/>
      <c r="BE469" s="412"/>
      <c r="BF469" s="412"/>
      <c r="BG469" s="412"/>
      <c r="BH469" s="412"/>
      <c r="BI469" s="412"/>
      <c r="BJ469" s="412"/>
      <c r="BK469" s="413"/>
      <c r="BL469" s="413"/>
      <c r="BM469" s="413"/>
      <c r="BN469" s="412"/>
      <c r="BO469" s="412"/>
      <c r="BP469" s="412"/>
      <c r="BQ469" s="412"/>
      <c r="BR469" s="412"/>
      <c r="BS469" s="412"/>
      <c r="BT469" s="412"/>
      <c r="BU469" s="412"/>
      <c r="BV469" s="412"/>
      <c r="BW469" s="412"/>
      <c r="BX469" s="412"/>
      <c r="BY469" s="412"/>
      <c r="BZ469" s="417"/>
      <c r="CA469" s="417"/>
      <c r="CB469" s="417"/>
    </row>
    <row r="470" spans="1:80" ht="30" customHeight="1" x14ac:dyDescent="0.2">
      <c r="A470" s="42"/>
      <c r="B470" s="76"/>
      <c r="C470" s="713"/>
      <c r="D470" s="707"/>
      <c r="E470" s="713"/>
      <c r="F470" s="713"/>
      <c r="G470" s="219">
        <v>57</v>
      </c>
      <c r="H470" s="80" t="s">
        <v>607</v>
      </c>
      <c r="I470" s="80"/>
      <c r="J470" s="80"/>
      <c r="K470" s="153"/>
      <c r="L470" s="221"/>
      <c r="M470" s="153"/>
      <c r="N470" s="173"/>
      <c r="O470" s="173"/>
      <c r="P470" s="80"/>
      <c r="Q470" s="80"/>
      <c r="R470" s="267"/>
      <c r="S470" s="267"/>
      <c r="T470" s="267"/>
      <c r="U470" s="267"/>
      <c r="V470" s="267"/>
      <c r="W470" s="267"/>
      <c r="X470" s="267"/>
      <c r="Y470" s="267"/>
      <c r="Z470" s="267"/>
      <c r="AA470" s="267"/>
      <c r="AB470" s="267"/>
      <c r="AC470" s="267"/>
      <c r="AD470" s="267"/>
      <c r="AE470" s="267"/>
      <c r="AF470" s="267"/>
      <c r="AG470" s="267"/>
      <c r="AH470" s="267"/>
      <c r="AI470" s="267"/>
      <c r="AJ470" s="267"/>
      <c r="AK470" s="267"/>
      <c r="AL470" s="267"/>
      <c r="AM470" s="267"/>
      <c r="AN470" s="267"/>
      <c r="AO470" s="267"/>
      <c r="AP470" s="267"/>
      <c r="AQ470" s="267"/>
      <c r="AR470" s="267"/>
      <c r="AS470" s="267"/>
      <c r="AT470" s="267"/>
      <c r="AU470" s="267"/>
      <c r="AV470" s="267"/>
      <c r="AW470" s="267"/>
      <c r="AX470" s="267"/>
      <c r="AY470" s="267"/>
      <c r="AZ470" s="267"/>
      <c r="BA470" s="267"/>
      <c r="BB470" s="267"/>
      <c r="BC470" s="267"/>
      <c r="BD470" s="267"/>
      <c r="BE470" s="267"/>
      <c r="BF470" s="267"/>
      <c r="BG470" s="267"/>
      <c r="BH470" s="267"/>
      <c r="BI470" s="267"/>
      <c r="BJ470" s="267"/>
      <c r="BK470" s="414"/>
      <c r="BL470" s="414"/>
      <c r="BM470" s="414"/>
      <c r="BN470" s="267"/>
      <c r="BO470" s="267"/>
      <c r="BP470" s="267"/>
      <c r="BQ470" s="267"/>
      <c r="BR470" s="267"/>
      <c r="BS470" s="267"/>
      <c r="BT470" s="267"/>
      <c r="BU470" s="267"/>
      <c r="BV470" s="267"/>
      <c r="BW470" s="267"/>
      <c r="BX470" s="267"/>
      <c r="BY470" s="267"/>
      <c r="BZ470" s="269"/>
      <c r="CA470" s="269"/>
      <c r="CB470" s="269"/>
    </row>
    <row r="471" spans="1:80" ht="72.75" customHeight="1" x14ac:dyDescent="0.2">
      <c r="A471" s="42"/>
      <c r="B471" s="42"/>
      <c r="C471" s="721" t="s">
        <v>608</v>
      </c>
      <c r="D471" s="722" t="s">
        <v>609</v>
      </c>
      <c r="E471" s="716" t="s">
        <v>610</v>
      </c>
      <c r="F471" s="716" t="s">
        <v>611</v>
      </c>
      <c r="G471" s="729"/>
      <c r="H471" s="57">
        <v>182</v>
      </c>
      <c r="I471" s="729" t="s">
        <v>612</v>
      </c>
      <c r="J471" s="169">
        <v>1</v>
      </c>
      <c r="K471" s="169">
        <v>1</v>
      </c>
      <c r="L471" s="386">
        <v>0.5</v>
      </c>
      <c r="M471" s="46">
        <v>2017003630003</v>
      </c>
      <c r="N471" s="169" t="s">
        <v>485</v>
      </c>
      <c r="O471" s="57" t="s">
        <v>613</v>
      </c>
      <c r="P471" s="729" t="s">
        <v>996</v>
      </c>
      <c r="Q471" s="57" t="s">
        <v>52</v>
      </c>
      <c r="R471" s="401">
        <v>0</v>
      </c>
      <c r="S471" s="401"/>
      <c r="T471" s="401"/>
      <c r="U471" s="401">
        <v>0</v>
      </c>
      <c r="V471" s="401"/>
      <c r="W471" s="401"/>
      <c r="X471" s="401">
        <v>0</v>
      </c>
      <c r="Y471" s="401"/>
      <c r="Z471" s="401"/>
      <c r="AA471" s="401">
        <v>0</v>
      </c>
      <c r="AB471" s="401"/>
      <c r="AC471" s="401"/>
      <c r="AD471" s="401">
        <v>0</v>
      </c>
      <c r="AE471" s="401"/>
      <c r="AF471" s="401"/>
      <c r="AG471" s="401">
        <v>0</v>
      </c>
      <c r="AH471" s="401"/>
      <c r="AI471" s="401"/>
      <c r="AJ471" s="401">
        <v>0</v>
      </c>
      <c r="AK471" s="401"/>
      <c r="AL471" s="401"/>
      <c r="AM471" s="401"/>
      <c r="AN471" s="401"/>
      <c r="AO471" s="401"/>
      <c r="AP471" s="401"/>
      <c r="AQ471" s="401"/>
      <c r="AR471" s="401"/>
      <c r="AS471" s="401">
        <v>0</v>
      </c>
      <c r="AT471" s="401"/>
      <c r="AU471" s="401"/>
      <c r="AV471" s="401">
        <v>0</v>
      </c>
      <c r="AW471" s="401"/>
      <c r="AX471" s="401"/>
      <c r="AY471" s="401"/>
      <c r="AZ471" s="401"/>
      <c r="BA471" s="401"/>
      <c r="BB471" s="401"/>
      <c r="BC471" s="401"/>
      <c r="BD471" s="401"/>
      <c r="BE471" s="401">
        <v>0</v>
      </c>
      <c r="BF471" s="401"/>
      <c r="BG471" s="401"/>
      <c r="BH471" s="401">
        <v>0</v>
      </c>
      <c r="BI471" s="403"/>
      <c r="BJ471" s="403"/>
      <c r="BK471" s="483">
        <v>29000000</v>
      </c>
      <c r="BL471" s="483"/>
      <c r="BM471" s="483"/>
      <c r="BN471" s="415"/>
      <c r="BO471" s="415"/>
      <c r="BP471" s="415"/>
      <c r="BQ471" s="401">
        <v>0</v>
      </c>
      <c r="BR471" s="403"/>
      <c r="BS471" s="403"/>
      <c r="BT471" s="403"/>
      <c r="BU471" s="403"/>
      <c r="BV471" s="403"/>
      <c r="BW471" s="403"/>
      <c r="BX471" s="403"/>
      <c r="BY471" s="403"/>
      <c r="BZ471" s="401">
        <f>R471+U471+X471+AA471+AD471+AG471+AJ471+AM471+AP471+AS471+AV471+AY471+BB471+BE471+BH471+BK471+BN471+BQ471+BT471+BW471</f>
        <v>29000000</v>
      </c>
      <c r="CA471" s="401">
        <f t="shared" ref="CA471:CB471" si="202">S471+V471+Y471+AB471+AE471+AH471+AK471+AN471+AQ471+AT471+AW471+AZ471+BC471+BF471+BI471+BL471+BO471+BR471+BU471+BX471</f>
        <v>0</v>
      </c>
      <c r="CB471" s="401">
        <f t="shared" si="202"/>
        <v>0</v>
      </c>
    </row>
    <row r="472" spans="1:80" ht="22.5" customHeight="1" x14ac:dyDescent="0.2">
      <c r="A472" s="42"/>
      <c r="B472" s="55"/>
      <c r="C472" s="546"/>
      <c r="D472" s="398"/>
      <c r="E472" s="287"/>
      <c r="F472" s="287"/>
      <c r="G472" s="58"/>
      <c r="H472" s="59"/>
      <c r="I472" s="58"/>
      <c r="J472" s="191"/>
      <c r="K472" s="191"/>
      <c r="L472" s="191"/>
      <c r="M472" s="191"/>
      <c r="N472" s="191"/>
      <c r="O472" s="59"/>
      <c r="P472" s="58"/>
      <c r="Q472" s="59"/>
      <c r="R472" s="410">
        <f t="shared" ref="R472:BY472" si="203">SUM(R471)</f>
        <v>0</v>
      </c>
      <c r="S472" s="410">
        <f t="shared" si="203"/>
        <v>0</v>
      </c>
      <c r="T472" s="410">
        <f t="shared" si="203"/>
        <v>0</v>
      </c>
      <c r="U472" s="410">
        <f t="shared" si="203"/>
        <v>0</v>
      </c>
      <c r="V472" s="410">
        <f t="shared" si="203"/>
        <v>0</v>
      </c>
      <c r="W472" s="410">
        <f t="shared" si="203"/>
        <v>0</v>
      </c>
      <c r="X472" s="410">
        <f t="shared" si="203"/>
        <v>0</v>
      </c>
      <c r="Y472" s="410">
        <f t="shared" si="203"/>
        <v>0</v>
      </c>
      <c r="Z472" s="410">
        <f t="shared" si="203"/>
        <v>0</v>
      </c>
      <c r="AA472" s="410">
        <f t="shared" si="203"/>
        <v>0</v>
      </c>
      <c r="AB472" s="410">
        <f t="shared" si="203"/>
        <v>0</v>
      </c>
      <c r="AC472" s="410">
        <f t="shared" si="203"/>
        <v>0</v>
      </c>
      <c r="AD472" s="410">
        <f t="shared" si="203"/>
        <v>0</v>
      </c>
      <c r="AE472" s="410">
        <f t="shared" si="203"/>
        <v>0</v>
      </c>
      <c r="AF472" s="410">
        <f t="shared" si="203"/>
        <v>0</v>
      </c>
      <c r="AG472" s="410">
        <f t="shared" si="203"/>
        <v>0</v>
      </c>
      <c r="AH472" s="410">
        <f t="shared" si="203"/>
        <v>0</v>
      </c>
      <c r="AI472" s="410">
        <f t="shared" si="203"/>
        <v>0</v>
      </c>
      <c r="AJ472" s="410">
        <f t="shared" si="203"/>
        <v>0</v>
      </c>
      <c r="AK472" s="410">
        <f t="shared" si="203"/>
        <v>0</v>
      </c>
      <c r="AL472" s="410">
        <f t="shared" si="203"/>
        <v>0</v>
      </c>
      <c r="AM472" s="410">
        <f t="shared" si="203"/>
        <v>0</v>
      </c>
      <c r="AN472" s="410">
        <f t="shared" si="203"/>
        <v>0</v>
      </c>
      <c r="AO472" s="410">
        <f t="shared" si="203"/>
        <v>0</v>
      </c>
      <c r="AP472" s="410">
        <f t="shared" si="203"/>
        <v>0</v>
      </c>
      <c r="AQ472" s="410">
        <f t="shared" si="203"/>
        <v>0</v>
      </c>
      <c r="AR472" s="410">
        <f t="shared" si="203"/>
        <v>0</v>
      </c>
      <c r="AS472" s="410">
        <f t="shared" si="203"/>
        <v>0</v>
      </c>
      <c r="AT472" s="410">
        <f t="shared" si="203"/>
        <v>0</v>
      </c>
      <c r="AU472" s="410">
        <f t="shared" si="203"/>
        <v>0</v>
      </c>
      <c r="AV472" s="410">
        <f t="shared" si="203"/>
        <v>0</v>
      </c>
      <c r="AW472" s="410">
        <f t="shared" si="203"/>
        <v>0</v>
      </c>
      <c r="AX472" s="410">
        <f t="shared" si="203"/>
        <v>0</v>
      </c>
      <c r="AY472" s="410">
        <f t="shared" si="203"/>
        <v>0</v>
      </c>
      <c r="AZ472" s="410">
        <f t="shared" si="203"/>
        <v>0</v>
      </c>
      <c r="BA472" s="410">
        <f t="shared" si="203"/>
        <v>0</v>
      </c>
      <c r="BB472" s="410">
        <f t="shared" si="203"/>
        <v>0</v>
      </c>
      <c r="BC472" s="410">
        <f t="shared" si="203"/>
        <v>0</v>
      </c>
      <c r="BD472" s="410">
        <f t="shared" si="203"/>
        <v>0</v>
      </c>
      <c r="BE472" s="410">
        <f t="shared" si="203"/>
        <v>0</v>
      </c>
      <c r="BF472" s="410">
        <f t="shared" si="203"/>
        <v>0</v>
      </c>
      <c r="BG472" s="410">
        <f t="shared" si="203"/>
        <v>0</v>
      </c>
      <c r="BH472" s="410">
        <f t="shared" si="203"/>
        <v>0</v>
      </c>
      <c r="BI472" s="410">
        <f t="shared" si="203"/>
        <v>0</v>
      </c>
      <c r="BJ472" s="410">
        <f t="shared" si="203"/>
        <v>0</v>
      </c>
      <c r="BK472" s="410">
        <f t="shared" si="203"/>
        <v>29000000</v>
      </c>
      <c r="BL472" s="410">
        <f t="shared" si="203"/>
        <v>0</v>
      </c>
      <c r="BM472" s="410">
        <f t="shared" si="203"/>
        <v>0</v>
      </c>
      <c r="BN472" s="410">
        <f t="shared" si="203"/>
        <v>0</v>
      </c>
      <c r="BO472" s="410">
        <f t="shared" si="203"/>
        <v>0</v>
      </c>
      <c r="BP472" s="410">
        <f t="shared" si="203"/>
        <v>0</v>
      </c>
      <c r="BQ472" s="410">
        <f t="shared" si="203"/>
        <v>0</v>
      </c>
      <c r="BR472" s="410">
        <f t="shared" si="203"/>
        <v>0</v>
      </c>
      <c r="BS472" s="410">
        <f t="shared" si="203"/>
        <v>0</v>
      </c>
      <c r="BT472" s="410">
        <f t="shared" si="203"/>
        <v>0</v>
      </c>
      <c r="BU472" s="410">
        <f t="shared" si="203"/>
        <v>0</v>
      </c>
      <c r="BV472" s="410">
        <f t="shared" si="203"/>
        <v>0</v>
      </c>
      <c r="BW472" s="410">
        <f t="shared" si="203"/>
        <v>0</v>
      </c>
      <c r="BX472" s="410">
        <f t="shared" si="203"/>
        <v>0</v>
      </c>
      <c r="BY472" s="410">
        <f t="shared" si="203"/>
        <v>0</v>
      </c>
      <c r="BZ472" s="410">
        <f>SUM(BZ471)</f>
        <v>29000000</v>
      </c>
      <c r="CA472" s="410">
        <f t="shared" ref="CA472:CB472" si="204">SUM(CA471)</f>
        <v>0</v>
      </c>
      <c r="CB472" s="410">
        <f t="shared" si="204"/>
        <v>0</v>
      </c>
    </row>
    <row r="473" spans="1:80" s="13" customFormat="1" ht="30" customHeight="1" x14ac:dyDescent="0.2">
      <c r="A473" s="55"/>
      <c r="B473" s="304"/>
      <c r="C473" s="305"/>
      <c r="D473" s="306"/>
      <c r="E473" s="270"/>
      <c r="F473" s="270"/>
      <c r="G473" s="62"/>
      <c r="H473" s="63"/>
      <c r="I473" s="62"/>
      <c r="J473" s="208"/>
      <c r="K473" s="208"/>
      <c r="L473" s="208"/>
      <c r="M473" s="208"/>
      <c r="N473" s="208"/>
      <c r="O473" s="63"/>
      <c r="P473" s="62"/>
      <c r="Q473" s="63"/>
      <c r="R473" s="416">
        <f t="shared" ref="R473:BY473" si="205">R472</f>
        <v>0</v>
      </c>
      <c r="S473" s="416">
        <f t="shared" si="205"/>
        <v>0</v>
      </c>
      <c r="T473" s="416">
        <f t="shared" si="205"/>
        <v>0</v>
      </c>
      <c r="U473" s="416">
        <f t="shared" si="205"/>
        <v>0</v>
      </c>
      <c r="V473" s="416">
        <f t="shared" si="205"/>
        <v>0</v>
      </c>
      <c r="W473" s="416">
        <f t="shared" si="205"/>
        <v>0</v>
      </c>
      <c r="X473" s="416">
        <f t="shared" si="205"/>
        <v>0</v>
      </c>
      <c r="Y473" s="416">
        <f t="shared" si="205"/>
        <v>0</v>
      </c>
      <c r="Z473" s="416">
        <f t="shared" si="205"/>
        <v>0</v>
      </c>
      <c r="AA473" s="416">
        <f t="shared" si="205"/>
        <v>0</v>
      </c>
      <c r="AB473" s="416">
        <f t="shared" si="205"/>
        <v>0</v>
      </c>
      <c r="AC473" s="416">
        <f t="shared" si="205"/>
        <v>0</v>
      </c>
      <c r="AD473" s="416">
        <f t="shared" si="205"/>
        <v>0</v>
      </c>
      <c r="AE473" s="416">
        <f t="shared" si="205"/>
        <v>0</v>
      </c>
      <c r="AF473" s="416">
        <f t="shared" si="205"/>
        <v>0</v>
      </c>
      <c r="AG473" s="416">
        <f t="shared" si="205"/>
        <v>0</v>
      </c>
      <c r="AH473" s="416">
        <f t="shared" si="205"/>
        <v>0</v>
      </c>
      <c r="AI473" s="416">
        <f t="shared" si="205"/>
        <v>0</v>
      </c>
      <c r="AJ473" s="416">
        <f t="shared" si="205"/>
        <v>0</v>
      </c>
      <c r="AK473" s="416">
        <f t="shared" si="205"/>
        <v>0</v>
      </c>
      <c r="AL473" s="416">
        <f t="shared" si="205"/>
        <v>0</v>
      </c>
      <c r="AM473" s="416">
        <f t="shared" si="205"/>
        <v>0</v>
      </c>
      <c r="AN473" s="416">
        <f t="shared" si="205"/>
        <v>0</v>
      </c>
      <c r="AO473" s="416">
        <f t="shared" si="205"/>
        <v>0</v>
      </c>
      <c r="AP473" s="416">
        <f t="shared" si="205"/>
        <v>0</v>
      </c>
      <c r="AQ473" s="416">
        <f t="shared" si="205"/>
        <v>0</v>
      </c>
      <c r="AR473" s="416">
        <f t="shared" si="205"/>
        <v>0</v>
      </c>
      <c r="AS473" s="416">
        <f t="shared" si="205"/>
        <v>0</v>
      </c>
      <c r="AT473" s="416">
        <f t="shared" si="205"/>
        <v>0</v>
      </c>
      <c r="AU473" s="416">
        <f t="shared" si="205"/>
        <v>0</v>
      </c>
      <c r="AV473" s="416">
        <f t="shared" si="205"/>
        <v>0</v>
      </c>
      <c r="AW473" s="416">
        <f t="shared" si="205"/>
        <v>0</v>
      </c>
      <c r="AX473" s="416">
        <f t="shared" si="205"/>
        <v>0</v>
      </c>
      <c r="AY473" s="416">
        <f t="shared" si="205"/>
        <v>0</v>
      </c>
      <c r="AZ473" s="416">
        <f t="shared" si="205"/>
        <v>0</v>
      </c>
      <c r="BA473" s="416">
        <f t="shared" si="205"/>
        <v>0</v>
      </c>
      <c r="BB473" s="416">
        <f t="shared" si="205"/>
        <v>0</v>
      </c>
      <c r="BC473" s="416">
        <f t="shared" si="205"/>
        <v>0</v>
      </c>
      <c r="BD473" s="416">
        <f t="shared" si="205"/>
        <v>0</v>
      </c>
      <c r="BE473" s="416">
        <f t="shared" si="205"/>
        <v>0</v>
      </c>
      <c r="BF473" s="416">
        <f t="shared" si="205"/>
        <v>0</v>
      </c>
      <c r="BG473" s="416">
        <f t="shared" si="205"/>
        <v>0</v>
      </c>
      <c r="BH473" s="416">
        <f t="shared" si="205"/>
        <v>0</v>
      </c>
      <c r="BI473" s="416">
        <f t="shared" si="205"/>
        <v>0</v>
      </c>
      <c r="BJ473" s="416">
        <f t="shared" si="205"/>
        <v>0</v>
      </c>
      <c r="BK473" s="416">
        <f t="shared" si="205"/>
        <v>29000000</v>
      </c>
      <c r="BL473" s="416">
        <f t="shared" si="205"/>
        <v>0</v>
      </c>
      <c r="BM473" s="416">
        <f t="shared" si="205"/>
        <v>0</v>
      </c>
      <c r="BN473" s="416">
        <f t="shared" si="205"/>
        <v>0</v>
      </c>
      <c r="BO473" s="416">
        <f t="shared" si="205"/>
        <v>0</v>
      </c>
      <c r="BP473" s="416">
        <f t="shared" si="205"/>
        <v>0</v>
      </c>
      <c r="BQ473" s="416">
        <f t="shared" si="205"/>
        <v>0</v>
      </c>
      <c r="BR473" s="416">
        <f t="shared" si="205"/>
        <v>0</v>
      </c>
      <c r="BS473" s="416">
        <f t="shared" si="205"/>
        <v>0</v>
      </c>
      <c r="BT473" s="416">
        <f t="shared" si="205"/>
        <v>0</v>
      </c>
      <c r="BU473" s="416">
        <f t="shared" si="205"/>
        <v>0</v>
      </c>
      <c r="BV473" s="416">
        <f t="shared" si="205"/>
        <v>0</v>
      </c>
      <c r="BW473" s="416">
        <f t="shared" si="205"/>
        <v>0</v>
      </c>
      <c r="BX473" s="416">
        <f t="shared" si="205"/>
        <v>0</v>
      </c>
      <c r="BY473" s="416">
        <f t="shared" si="205"/>
        <v>0</v>
      </c>
      <c r="BZ473" s="416">
        <f>BZ472</f>
        <v>29000000</v>
      </c>
      <c r="CA473" s="416">
        <f t="shared" ref="CA473:CB473" si="206">CA472</f>
        <v>0</v>
      </c>
      <c r="CB473" s="416">
        <f t="shared" si="206"/>
        <v>0</v>
      </c>
    </row>
    <row r="474" spans="1:80" ht="30" customHeight="1" x14ac:dyDescent="0.2">
      <c r="A474" s="65"/>
      <c r="B474" s="307"/>
      <c r="C474" s="308"/>
      <c r="D474" s="307"/>
      <c r="E474" s="309"/>
      <c r="F474" s="309"/>
      <c r="G474" s="65"/>
      <c r="H474" s="66"/>
      <c r="I474" s="65"/>
      <c r="J474" s="211"/>
      <c r="K474" s="211"/>
      <c r="L474" s="211"/>
      <c r="M474" s="211"/>
      <c r="N474" s="211"/>
      <c r="O474" s="66"/>
      <c r="P474" s="65"/>
      <c r="Q474" s="66"/>
      <c r="R474" s="422">
        <f t="shared" ref="R474:BY474" si="207">R473+R467+R447+R429+R392</f>
        <v>0</v>
      </c>
      <c r="S474" s="422">
        <f t="shared" si="207"/>
        <v>0</v>
      </c>
      <c r="T474" s="422">
        <f t="shared" si="207"/>
        <v>0</v>
      </c>
      <c r="U474" s="422">
        <f t="shared" si="207"/>
        <v>0</v>
      </c>
      <c r="V474" s="422">
        <f t="shared" si="207"/>
        <v>0</v>
      </c>
      <c r="W474" s="422">
        <f t="shared" si="207"/>
        <v>0</v>
      </c>
      <c r="X474" s="422">
        <f t="shared" si="207"/>
        <v>0</v>
      </c>
      <c r="Y474" s="422">
        <f t="shared" si="207"/>
        <v>0</v>
      </c>
      <c r="Z474" s="422">
        <f t="shared" si="207"/>
        <v>0</v>
      </c>
      <c r="AA474" s="422">
        <f t="shared" si="207"/>
        <v>0</v>
      </c>
      <c r="AB474" s="422">
        <f t="shared" si="207"/>
        <v>0</v>
      </c>
      <c r="AC474" s="422">
        <f t="shared" si="207"/>
        <v>0</v>
      </c>
      <c r="AD474" s="422">
        <f t="shared" si="207"/>
        <v>0</v>
      </c>
      <c r="AE474" s="422">
        <f t="shared" si="207"/>
        <v>0</v>
      </c>
      <c r="AF474" s="422">
        <f t="shared" si="207"/>
        <v>0</v>
      </c>
      <c r="AG474" s="422">
        <f t="shared" si="207"/>
        <v>0</v>
      </c>
      <c r="AH474" s="422">
        <f t="shared" si="207"/>
        <v>0</v>
      </c>
      <c r="AI474" s="422">
        <f t="shared" si="207"/>
        <v>0</v>
      </c>
      <c r="AJ474" s="422">
        <f t="shared" si="207"/>
        <v>3571563200</v>
      </c>
      <c r="AK474" s="422">
        <f t="shared" si="207"/>
        <v>3376355631</v>
      </c>
      <c r="AL474" s="422">
        <f t="shared" si="207"/>
        <v>1970793067</v>
      </c>
      <c r="AM474" s="422">
        <f t="shared" si="207"/>
        <v>0</v>
      </c>
      <c r="AN474" s="422">
        <f t="shared" si="207"/>
        <v>0</v>
      </c>
      <c r="AO474" s="422">
        <f t="shared" si="207"/>
        <v>0</v>
      </c>
      <c r="AP474" s="422">
        <f t="shared" si="207"/>
        <v>0</v>
      </c>
      <c r="AQ474" s="422">
        <f t="shared" si="207"/>
        <v>0</v>
      </c>
      <c r="AR474" s="422">
        <f t="shared" si="207"/>
        <v>0</v>
      </c>
      <c r="AS474" s="422">
        <f t="shared" si="207"/>
        <v>0</v>
      </c>
      <c r="AT474" s="422">
        <f t="shared" si="207"/>
        <v>0</v>
      </c>
      <c r="AU474" s="422">
        <f t="shared" si="207"/>
        <v>0</v>
      </c>
      <c r="AV474" s="422">
        <f t="shared" si="207"/>
        <v>0</v>
      </c>
      <c r="AW474" s="422">
        <f t="shared" si="207"/>
        <v>0</v>
      </c>
      <c r="AX474" s="422">
        <f t="shared" si="207"/>
        <v>0</v>
      </c>
      <c r="AY474" s="422">
        <f t="shared" si="207"/>
        <v>146517165276</v>
      </c>
      <c r="AZ474" s="422">
        <f t="shared" si="207"/>
        <v>68478582881.239998</v>
      </c>
      <c r="BA474" s="422">
        <f t="shared" si="207"/>
        <v>67596641915.239998</v>
      </c>
      <c r="BB474" s="422">
        <f t="shared" si="207"/>
        <v>26281000000</v>
      </c>
      <c r="BC474" s="422">
        <f t="shared" si="207"/>
        <v>14854729332</v>
      </c>
      <c r="BD474" s="422">
        <f t="shared" si="207"/>
        <v>14854729332</v>
      </c>
      <c r="BE474" s="422">
        <f t="shared" si="207"/>
        <v>9535927847</v>
      </c>
      <c r="BF474" s="422">
        <f t="shared" si="207"/>
        <v>8176025000</v>
      </c>
      <c r="BG474" s="422">
        <f t="shared" si="207"/>
        <v>2817827462</v>
      </c>
      <c r="BH474" s="422">
        <f t="shared" si="207"/>
        <v>0</v>
      </c>
      <c r="BI474" s="422">
        <f t="shared" si="207"/>
        <v>0</v>
      </c>
      <c r="BJ474" s="422">
        <f t="shared" si="207"/>
        <v>0</v>
      </c>
      <c r="BK474" s="422">
        <f t="shared" si="207"/>
        <v>5217556959</v>
      </c>
      <c r="BL474" s="422">
        <f t="shared" si="207"/>
        <v>4165021105</v>
      </c>
      <c r="BM474" s="422">
        <f t="shared" si="207"/>
        <v>3850950221</v>
      </c>
      <c r="BN474" s="422">
        <f t="shared" si="207"/>
        <v>0</v>
      </c>
      <c r="BO474" s="422">
        <f t="shared" si="207"/>
        <v>0</v>
      </c>
      <c r="BP474" s="422">
        <f t="shared" si="207"/>
        <v>0</v>
      </c>
      <c r="BQ474" s="422">
        <f t="shared" si="207"/>
        <v>79557</v>
      </c>
      <c r="BR474" s="422">
        <f t="shared" si="207"/>
        <v>0</v>
      </c>
      <c r="BS474" s="422">
        <f t="shared" si="207"/>
        <v>0</v>
      </c>
      <c r="BT474" s="422">
        <f t="shared" si="207"/>
        <v>0</v>
      </c>
      <c r="BU474" s="422">
        <f t="shared" si="207"/>
        <v>0</v>
      </c>
      <c r="BV474" s="422">
        <f t="shared" si="207"/>
        <v>0</v>
      </c>
      <c r="BW474" s="422">
        <f t="shared" si="207"/>
        <v>709732517</v>
      </c>
      <c r="BX474" s="422">
        <f t="shared" si="207"/>
        <v>0</v>
      </c>
      <c r="BY474" s="422">
        <f t="shared" si="207"/>
        <v>0</v>
      </c>
      <c r="BZ474" s="422">
        <f>BZ473+BZ467+BZ447+BZ429+BZ392</f>
        <v>191833025356</v>
      </c>
      <c r="CA474" s="422">
        <f t="shared" ref="CA474:CB474" si="208">CA473+CA467+CA447+CA429+CA392</f>
        <v>109755354769.23999</v>
      </c>
      <c r="CB474" s="422">
        <f t="shared" si="208"/>
        <v>101433474533.23999</v>
      </c>
    </row>
    <row r="475" spans="1:80" ht="30" customHeight="1" x14ac:dyDescent="0.2">
      <c r="A475" s="68"/>
      <c r="B475" s="68"/>
      <c r="C475" s="69"/>
      <c r="D475" s="68"/>
      <c r="E475" s="69"/>
      <c r="F475" s="69"/>
      <c r="G475" s="68"/>
      <c r="H475" s="69"/>
      <c r="I475" s="68"/>
      <c r="J475" s="70"/>
      <c r="K475" s="310"/>
      <c r="L475" s="310"/>
      <c r="M475" s="310"/>
      <c r="N475" s="70"/>
      <c r="O475" s="69"/>
      <c r="P475" s="68"/>
      <c r="Q475" s="69"/>
      <c r="R475" s="423">
        <f t="shared" ref="R475:BY475" si="209">+R474</f>
        <v>0</v>
      </c>
      <c r="S475" s="423">
        <f t="shared" si="209"/>
        <v>0</v>
      </c>
      <c r="T475" s="423">
        <f t="shared" si="209"/>
        <v>0</v>
      </c>
      <c r="U475" s="423">
        <f t="shared" si="209"/>
        <v>0</v>
      </c>
      <c r="V475" s="423">
        <f t="shared" si="209"/>
        <v>0</v>
      </c>
      <c r="W475" s="423">
        <f t="shared" si="209"/>
        <v>0</v>
      </c>
      <c r="X475" s="423">
        <f t="shared" si="209"/>
        <v>0</v>
      </c>
      <c r="Y475" s="423">
        <f t="shared" si="209"/>
        <v>0</v>
      </c>
      <c r="Z475" s="423">
        <f t="shared" si="209"/>
        <v>0</v>
      </c>
      <c r="AA475" s="423">
        <f t="shared" si="209"/>
        <v>0</v>
      </c>
      <c r="AB475" s="423">
        <f t="shared" si="209"/>
        <v>0</v>
      </c>
      <c r="AC475" s="423">
        <f t="shared" si="209"/>
        <v>0</v>
      </c>
      <c r="AD475" s="423">
        <f t="shared" si="209"/>
        <v>0</v>
      </c>
      <c r="AE475" s="423">
        <f t="shared" si="209"/>
        <v>0</v>
      </c>
      <c r="AF475" s="423">
        <f t="shared" si="209"/>
        <v>0</v>
      </c>
      <c r="AG475" s="423">
        <f t="shared" si="209"/>
        <v>0</v>
      </c>
      <c r="AH475" s="423">
        <f t="shared" si="209"/>
        <v>0</v>
      </c>
      <c r="AI475" s="423">
        <f t="shared" si="209"/>
        <v>0</v>
      </c>
      <c r="AJ475" s="423">
        <f t="shared" si="209"/>
        <v>3571563200</v>
      </c>
      <c r="AK475" s="423">
        <f t="shared" si="209"/>
        <v>3376355631</v>
      </c>
      <c r="AL475" s="423">
        <f t="shared" si="209"/>
        <v>1970793067</v>
      </c>
      <c r="AM475" s="423">
        <f t="shared" si="209"/>
        <v>0</v>
      </c>
      <c r="AN475" s="423">
        <f t="shared" si="209"/>
        <v>0</v>
      </c>
      <c r="AO475" s="423">
        <f t="shared" si="209"/>
        <v>0</v>
      </c>
      <c r="AP475" s="423">
        <f t="shared" si="209"/>
        <v>0</v>
      </c>
      <c r="AQ475" s="423">
        <f t="shared" si="209"/>
        <v>0</v>
      </c>
      <c r="AR475" s="423">
        <f t="shared" si="209"/>
        <v>0</v>
      </c>
      <c r="AS475" s="423">
        <f t="shared" si="209"/>
        <v>0</v>
      </c>
      <c r="AT475" s="423">
        <f t="shared" si="209"/>
        <v>0</v>
      </c>
      <c r="AU475" s="423">
        <f t="shared" si="209"/>
        <v>0</v>
      </c>
      <c r="AV475" s="423">
        <f t="shared" si="209"/>
        <v>0</v>
      </c>
      <c r="AW475" s="423">
        <f t="shared" si="209"/>
        <v>0</v>
      </c>
      <c r="AX475" s="423">
        <f t="shared" si="209"/>
        <v>0</v>
      </c>
      <c r="AY475" s="423">
        <f t="shared" si="209"/>
        <v>146517165276</v>
      </c>
      <c r="AZ475" s="423">
        <f t="shared" si="209"/>
        <v>68478582881.239998</v>
      </c>
      <c r="BA475" s="423">
        <f t="shared" si="209"/>
        <v>67596641915.239998</v>
      </c>
      <c r="BB475" s="423">
        <f t="shared" si="209"/>
        <v>26281000000</v>
      </c>
      <c r="BC475" s="423">
        <f t="shared" si="209"/>
        <v>14854729332</v>
      </c>
      <c r="BD475" s="423">
        <f t="shared" si="209"/>
        <v>14854729332</v>
      </c>
      <c r="BE475" s="423">
        <f t="shared" si="209"/>
        <v>9535927847</v>
      </c>
      <c r="BF475" s="423">
        <f t="shared" si="209"/>
        <v>8176025000</v>
      </c>
      <c r="BG475" s="423">
        <f t="shared" si="209"/>
        <v>2817827462</v>
      </c>
      <c r="BH475" s="423">
        <f t="shared" si="209"/>
        <v>0</v>
      </c>
      <c r="BI475" s="423">
        <f t="shared" si="209"/>
        <v>0</v>
      </c>
      <c r="BJ475" s="423">
        <f t="shared" si="209"/>
        <v>0</v>
      </c>
      <c r="BK475" s="423">
        <f t="shared" si="209"/>
        <v>5217556959</v>
      </c>
      <c r="BL475" s="423">
        <f t="shared" si="209"/>
        <v>4165021105</v>
      </c>
      <c r="BM475" s="423">
        <f t="shared" si="209"/>
        <v>3850950221</v>
      </c>
      <c r="BN475" s="423">
        <f t="shared" si="209"/>
        <v>0</v>
      </c>
      <c r="BO475" s="423">
        <f t="shared" si="209"/>
        <v>0</v>
      </c>
      <c r="BP475" s="423">
        <f t="shared" si="209"/>
        <v>0</v>
      </c>
      <c r="BQ475" s="423">
        <f t="shared" si="209"/>
        <v>79557</v>
      </c>
      <c r="BR475" s="423">
        <f t="shared" si="209"/>
        <v>0</v>
      </c>
      <c r="BS475" s="423">
        <f t="shared" si="209"/>
        <v>0</v>
      </c>
      <c r="BT475" s="423">
        <f t="shared" si="209"/>
        <v>0</v>
      </c>
      <c r="BU475" s="423">
        <f t="shared" si="209"/>
        <v>0</v>
      </c>
      <c r="BV475" s="423">
        <f t="shared" si="209"/>
        <v>0</v>
      </c>
      <c r="BW475" s="423">
        <f t="shared" si="209"/>
        <v>709732517</v>
      </c>
      <c r="BX475" s="423">
        <f t="shared" si="209"/>
        <v>0</v>
      </c>
      <c r="BY475" s="423">
        <f t="shared" si="209"/>
        <v>0</v>
      </c>
      <c r="BZ475" s="423">
        <f>+BZ474</f>
        <v>191833025356</v>
      </c>
      <c r="CA475" s="423">
        <f t="shared" ref="CA475:CB475" si="210">+CA474</f>
        <v>109755354769.23999</v>
      </c>
      <c r="CB475" s="423">
        <f t="shared" si="210"/>
        <v>101433474533.23999</v>
      </c>
    </row>
    <row r="476" spans="1:80" ht="30" customHeight="1" x14ac:dyDescent="0.2">
      <c r="A476" s="71"/>
      <c r="B476" s="72"/>
      <c r="C476" s="150"/>
      <c r="D476" s="72"/>
      <c r="E476" s="150"/>
      <c r="F476" s="150"/>
      <c r="G476" s="72"/>
      <c r="H476" s="150"/>
      <c r="I476" s="72"/>
      <c r="J476" s="73"/>
      <c r="K476" s="197"/>
      <c r="L476" s="197"/>
      <c r="M476" s="197"/>
      <c r="N476" s="73"/>
      <c r="O476" s="150"/>
      <c r="P476" s="72"/>
      <c r="Q476" s="150"/>
      <c r="R476" s="405"/>
      <c r="S476" s="405"/>
      <c r="T476" s="405"/>
      <c r="U476" s="406"/>
      <c r="V476" s="406"/>
      <c r="W476" s="406"/>
      <c r="X476" s="405"/>
      <c r="Y476" s="405"/>
      <c r="Z476" s="405"/>
      <c r="AA476" s="405"/>
      <c r="AB476" s="405"/>
      <c r="AC476" s="405"/>
      <c r="AD476" s="405"/>
      <c r="AE476" s="405"/>
      <c r="AF476" s="405"/>
      <c r="AG476" s="405"/>
      <c r="AH476" s="405"/>
      <c r="AI476" s="405"/>
      <c r="AJ476" s="405"/>
      <c r="AK476" s="405"/>
      <c r="AL476" s="405"/>
      <c r="AM476" s="405"/>
      <c r="AN476" s="405"/>
      <c r="AO476" s="405"/>
      <c r="AP476" s="405"/>
      <c r="AQ476" s="405"/>
      <c r="AR476" s="405"/>
      <c r="AS476" s="405"/>
      <c r="AT476" s="405"/>
      <c r="AU476" s="405"/>
      <c r="AV476" s="405"/>
      <c r="AW476" s="405"/>
      <c r="AX476" s="405"/>
      <c r="AY476" s="406"/>
      <c r="AZ476" s="406"/>
      <c r="BA476" s="406"/>
      <c r="BB476" s="406"/>
      <c r="BC476" s="406"/>
      <c r="BD476" s="406"/>
      <c r="BE476" s="405"/>
      <c r="BF476" s="405"/>
      <c r="BG476" s="405"/>
      <c r="BH476" s="405"/>
      <c r="BI476" s="405"/>
      <c r="BJ476" s="405"/>
      <c r="BK476" s="492"/>
      <c r="BL476" s="629"/>
      <c r="BM476" s="629"/>
      <c r="BN476" s="408"/>
      <c r="BO476" s="408"/>
      <c r="BP476" s="408"/>
      <c r="BQ476" s="405"/>
      <c r="BR476" s="405"/>
      <c r="BS476" s="405"/>
      <c r="BT476" s="405"/>
      <c r="BU476" s="405"/>
      <c r="BV476" s="405"/>
      <c r="BW476" s="405"/>
      <c r="BX476" s="405"/>
      <c r="BY476" s="405"/>
      <c r="BZ476" s="409"/>
      <c r="CA476" s="409"/>
      <c r="CB476" s="409"/>
    </row>
    <row r="477" spans="1:80" ht="30" customHeight="1" x14ac:dyDescent="0.2">
      <c r="A477" s="31" t="s">
        <v>615</v>
      </c>
      <c r="B477" s="32"/>
      <c r="C477" s="33"/>
      <c r="D477" s="32"/>
      <c r="E477" s="32"/>
      <c r="F477" s="32"/>
      <c r="G477" s="32"/>
      <c r="H477" s="33"/>
      <c r="I477" s="32"/>
      <c r="J477" s="32"/>
      <c r="K477" s="217"/>
      <c r="L477" s="217"/>
      <c r="M477" s="217"/>
      <c r="N477" s="33"/>
      <c r="O477" s="33"/>
      <c r="P477" s="32"/>
      <c r="Q477" s="33"/>
      <c r="R477" s="472"/>
      <c r="S477" s="472"/>
      <c r="T477" s="472"/>
      <c r="U477" s="472"/>
      <c r="V477" s="472"/>
      <c r="W477" s="472"/>
      <c r="X477" s="472"/>
      <c r="Y477" s="472"/>
      <c r="Z477" s="472"/>
      <c r="AA477" s="472"/>
      <c r="AB477" s="472"/>
      <c r="AC477" s="472"/>
      <c r="AD477" s="472"/>
      <c r="AE477" s="472"/>
      <c r="AF477" s="472"/>
      <c r="AG477" s="472"/>
      <c r="AH477" s="472"/>
      <c r="AI477" s="472"/>
      <c r="AJ477" s="472"/>
      <c r="AK477" s="472"/>
      <c r="AL477" s="472"/>
      <c r="AM477" s="472"/>
      <c r="AN477" s="472"/>
      <c r="AO477" s="472"/>
      <c r="AP477" s="472"/>
      <c r="AQ477" s="472"/>
      <c r="AR477" s="472"/>
      <c r="AS477" s="472"/>
      <c r="AT477" s="472"/>
      <c r="AU477" s="472"/>
      <c r="AV477" s="472"/>
      <c r="AW477" s="472"/>
      <c r="AX477" s="472"/>
      <c r="AY477" s="472"/>
      <c r="AZ477" s="472"/>
      <c r="BA477" s="472"/>
      <c r="BB477" s="472"/>
      <c r="BC477" s="472"/>
      <c r="BD477" s="472"/>
      <c r="BE477" s="472"/>
      <c r="BF477" s="472"/>
      <c r="BG477" s="472"/>
      <c r="BH477" s="472"/>
      <c r="BI477" s="472"/>
      <c r="BJ477" s="472"/>
      <c r="BK477" s="473"/>
      <c r="BL477" s="473"/>
      <c r="BM477" s="473"/>
      <c r="BN477" s="474"/>
      <c r="BO477" s="474"/>
      <c r="BP477" s="474"/>
      <c r="BQ477" s="472"/>
      <c r="BR477" s="472"/>
      <c r="BS477" s="472"/>
      <c r="BT477" s="472"/>
      <c r="BU477" s="472"/>
      <c r="BV477" s="472"/>
      <c r="BW477" s="472"/>
      <c r="BX477" s="472"/>
      <c r="BY477" s="472"/>
      <c r="BZ477" s="475" t="s">
        <v>69</v>
      </c>
      <c r="CA477" s="475" t="s">
        <v>69</v>
      </c>
      <c r="CB477" s="475" t="s">
        <v>69</v>
      </c>
    </row>
    <row r="478" spans="1:80" ht="30" customHeight="1" x14ac:dyDescent="0.2">
      <c r="A478" s="787">
        <v>3</v>
      </c>
      <c r="B478" s="34" t="s">
        <v>270</v>
      </c>
      <c r="C478" s="35"/>
      <c r="D478" s="34"/>
      <c r="E478" s="34"/>
      <c r="F478" s="34"/>
      <c r="G478" s="34"/>
      <c r="H478" s="35"/>
      <c r="I478" s="34"/>
      <c r="J478" s="34"/>
      <c r="K478" s="218"/>
      <c r="L478" s="218"/>
      <c r="M478" s="218"/>
      <c r="N478" s="35"/>
      <c r="O478" s="35"/>
      <c r="P478" s="34"/>
      <c r="Q478" s="34"/>
      <c r="R478" s="432"/>
      <c r="S478" s="432"/>
      <c r="T478" s="432"/>
      <c r="U478" s="432"/>
      <c r="V478" s="432"/>
      <c r="W478" s="432"/>
      <c r="X478" s="432"/>
      <c r="Y478" s="432"/>
      <c r="Z478" s="432"/>
      <c r="AA478" s="432"/>
      <c r="AB478" s="432"/>
      <c r="AC478" s="432"/>
      <c r="AD478" s="432"/>
      <c r="AE478" s="432"/>
      <c r="AF478" s="432"/>
      <c r="AG478" s="432"/>
      <c r="AH478" s="432"/>
      <c r="AI478" s="432"/>
      <c r="AJ478" s="432"/>
      <c r="AK478" s="432"/>
      <c r="AL478" s="432"/>
      <c r="AM478" s="432"/>
      <c r="AN478" s="432"/>
      <c r="AO478" s="432"/>
      <c r="AP478" s="432"/>
      <c r="AQ478" s="432"/>
      <c r="AR478" s="432"/>
      <c r="AS478" s="432"/>
      <c r="AT478" s="432"/>
      <c r="AU478" s="432"/>
      <c r="AV478" s="432"/>
      <c r="AW478" s="432"/>
      <c r="AX478" s="432"/>
      <c r="AY478" s="432"/>
      <c r="AZ478" s="432"/>
      <c r="BA478" s="432"/>
      <c r="BB478" s="432"/>
      <c r="BC478" s="432"/>
      <c r="BD478" s="432"/>
      <c r="BE478" s="432"/>
      <c r="BF478" s="432"/>
      <c r="BG478" s="432"/>
      <c r="BH478" s="432"/>
      <c r="BI478" s="432"/>
      <c r="BJ478" s="432"/>
      <c r="BK478" s="433"/>
      <c r="BL478" s="433"/>
      <c r="BM478" s="433"/>
      <c r="BN478" s="432"/>
      <c r="BO478" s="432"/>
      <c r="BP478" s="432"/>
      <c r="BQ478" s="432"/>
      <c r="BR478" s="432"/>
      <c r="BS478" s="432"/>
      <c r="BT478" s="432"/>
      <c r="BU478" s="432"/>
      <c r="BV478" s="432"/>
      <c r="BW478" s="432"/>
      <c r="BX478" s="432"/>
      <c r="BY478" s="432"/>
      <c r="BZ478" s="434"/>
      <c r="CA478" s="434"/>
      <c r="CB478" s="434"/>
    </row>
    <row r="479" spans="1:80" ht="30" customHeight="1" x14ac:dyDescent="0.2">
      <c r="A479" s="76"/>
      <c r="B479" s="125">
        <v>16</v>
      </c>
      <c r="C479" s="38" t="s">
        <v>606</v>
      </c>
      <c r="D479" s="39"/>
      <c r="E479" s="39"/>
      <c r="F479" s="39"/>
      <c r="G479" s="39"/>
      <c r="H479" s="40"/>
      <c r="I479" s="39"/>
      <c r="J479" s="39"/>
      <c r="K479" s="201"/>
      <c r="L479" s="201"/>
      <c r="M479" s="201"/>
      <c r="N479" s="40"/>
      <c r="O479" s="40"/>
      <c r="P479" s="39"/>
      <c r="Q479" s="39"/>
      <c r="R479" s="412"/>
      <c r="S479" s="412"/>
      <c r="T479" s="412"/>
      <c r="U479" s="412"/>
      <c r="V479" s="412"/>
      <c r="W479" s="412"/>
      <c r="X479" s="412"/>
      <c r="Y479" s="412"/>
      <c r="Z479" s="412"/>
      <c r="AA479" s="412"/>
      <c r="AB479" s="412"/>
      <c r="AC479" s="412"/>
      <c r="AD479" s="412"/>
      <c r="AE479" s="412"/>
      <c r="AF479" s="412"/>
      <c r="AG479" s="412"/>
      <c r="AH479" s="412"/>
      <c r="AI479" s="412"/>
      <c r="AJ479" s="412"/>
      <c r="AK479" s="412"/>
      <c r="AL479" s="412"/>
      <c r="AM479" s="412"/>
      <c r="AN479" s="412"/>
      <c r="AO479" s="412"/>
      <c r="AP479" s="412"/>
      <c r="AQ479" s="412"/>
      <c r="AR479" s="412"/>
      <c r="AS479" s="412"/>
      <c r="AT479" s="412"/>
      <c r="AU479" s="412"/>
      <c r="AV479" s="412"/>
      <c r="AW479" s="412"/>
      <c r="AX479" s="412"/>
      <c r="AY479" s="412"/>
      <c r="AZ479" s="412"/>
      <c r="BA479" s="412"/>
      <c r="BB479" s="412"/>
      <c r="BC479" s="412"/>
      <c r="BD479" s="412"/>
      <c r="BE479" s="412"/>
      <c r="BF479" s="412"/>
      <c r="BG479" s="412"/>
      <c r="BH479" s="412"/>
      <c r="BI479" s="412"/>
      <c r="BJ479" s="412"/>
      <c r="BK479" s="413"/>
      <c r="BL479" s="413"/>
      <c r="BM479" s="413"/>
      <c r="BN479" s="412"/>
      <c r="BO479" s="412"/>
      <c r="BP479" s="412"/>
      <c r="BQ479" s="412"/>
      <c r="BR479" s="412"/>
      <c r="BS479" s="412"/>
      <c r="BT479" s="412"/>
      <c r="BU479" s="412"/>
      <c r="BV479" s="412"/>
      <c r="BW479" s="412"/>
      <c r="BX479" s="412"/>
      <c r="BY479" s="412"/>
      <c r="BZ479" s="417"/>
      <c r="CA479" s="417"/>
      <c r="CB479" s="417"/>
    </row>
    <row r="480" spans="1:80" ht="30" customHeight="1" x14ac:dyDescent="0.2">
      <c r="A480" s="42"/>
      <c r="B480" s="76"/>
      <c r="C480" s="713"/>
      <c r="D480" s="707"/>
      <c r="E480" s="713"/>
      <c r="F480" s="713"/>
      <c r="G480" s="219">
        <v>56</v>
      </c>
      <c r="H480" s="80" t="s">
        <v>616</v>
      </c>
      <c r="I480" s="80"/>
      <c r="J480" s="80"/>
      <c r="K480" s="153"/>
      <c r="L480" s="153"/>
      <c r="M480" s="153"/>
      <c r="N480" s="173"/>
      <c r="O480" s="173"/>
      <c r="P480" s="80"/>
      <c r="Q480" s="80"/>
      <c r="R480" s="267"/>
      <c r="S480" s="267"/>
      <c r="T480" s="267"/>
      <c r="U480" s="267"/>
      <c r="V480" s="267"/>
      <c r="W480" s="267"/>
      <c r="X480" s="267"/>
      <c r="Y480" s="267"/>
      <c r="Z480" s="267"/>
      <c r="AA480" s="267"/>
      <c r="AB480" s="267"/>
      <c r="AC480" s="267"/>
      <c r="AD480" s="267"/>
      <c r="AE480" s="267"/>
      <c r="AF480" s="267"/>
      <c r="AG480" s="267"/>
      <c r="AH480" s="267"/>
      <c r="AI480" s="267"/>
      <c r="AJ480" s="267"/>
      <c r="AK480" s="267"/>
      <c r="AL480" s="267"/>
      <c r="AM480" s="267"/>
      <c r="AN480" s="267"/>
      <c r="AO480" s="267"/>
      <c r="AP480" s="267"/>
      <c r="AQ480" s="267"/>
      <c r="AR480" s="267"/>
      <c r="AS480" s="267"/>
      <c r="AT480" s="267"/>
      <c r="AU480" s="267"/>
      <c r="AV480" s="267"/>
      <c r="AW480" s="267"/>
      <c r="AX480" s="267"/>
      <c r="AY480" s="267"/>
      <c r="AZ480" s="267"/>
      <c r="BA480" s="267"/>
      <c r="BB480" s="267"/>
      <c r="BC480" s="267"/>
      <c r="BD480" s="267"/>
      <c r="BE480" s="267"/>
      <c r="BF480" s="267"/>
      <c r="BG480" s="267"/>
      <c r="BH480" s="267"/>
      <c r="BI480" s="267"/>
      <c r="BJ480" s="267"/>
      <c r="BK480" s="414"/>
      <c r="BL480" s="414"/>
      <c r="BM480" s="414"/>
      <c r="BN480" s="267"/>
      <c r="BO480" s="267"/>
      <c r="BP480" s="267"/>
      <c r="BQ480" s="267"/>
      <c r="BR480" s="267"/>
      <c r="BS480" s="267"/>
      <c r="BT480" s="267"/>
      <c r="BU480" s="267"/>
      <c r="BV480" s="267"/>
      <c r="BW480" s="267"/>
      <c r="BX480" s="267"/>
      <c r="BY480" s="267"/>
      <c r="BZ480" s="269"/>
      <c r="CA480" s="269"/>
      <c r="CB480" s="269"/>
    </row>
    <row r="481" spans="1:80" ht="77.25" customHeight="1" x14ac:dyDescent="0.2">
      <c r="A481" s="42"/>
      <c r="B481" s="42"/>
      <c r="C481" s="913" t="s">
        <v>617</v>
      </c>
      <c r="D481" s="914" t="s">
        <v>609</v>
      </c>
      <c r="E481" s="906" t="s">
        <v>618</v>
      </c>
      <c r="F481" s="906" t="s">
        <v>619</v>
      </c>
      <c r="G481" s="43"/>
      <c r="H481" s="57">
        <v>180</v>
      </c>
      <c r="I481" s="729" t="s">
        <v>620</v>
      </c>
      <c r="J481" s="57">
        <v>0</v>
      </c>
      <c r="K481" s="169">
        <v>1</v>
      </c>
      <c r="L481" s="386">
        <v>0.4</v>
      </c>
      <c r="M481" s="884">
        <v>201700360031</v>
      </c>
      <c r="N481" s="895" t="s">
        <v>621</v>
      </c>
      <c r="O481" s="895" t="s">
        <v>622</v>
      </c>
      <c r="P481" s="890" t="s">
        <v>623</v>
      </c>
      <c r="Q481" s="57" t="s">
        <v>52</v>
      </c>
      <c r="R481" s="401">
        <v>0</v>
      </c>
      <c r="S481" s="401"/>
      <c r="T481" s="401"/>
      <c r="U481" s="401">
        <v>0</v>
      </c>
      <c r="V481" s="401"/>
      <c r="W481" s="401"/>
      <c r="X481" s="401">
        <v>0</v>
      </c>
      <c r="Y481" s="401"/>
      <c r="Z481" s="401"/>
      <c r="AA481" s="401">
        <v>0</v>
      </c>
      <c r="AB481" s="401"/>
      <c r="AC481" s="401"/>
      <c r="AD481" s="401">
        <v>0</v>
      </c>
      <c r="AE481" s="401"/>
      <c r="AF481" s="401"/>
      <c r="AG481" s="401">
        <v>0</v>
      </c>
      <c r="AH481" s="401"/>
      <c r="AI481" s="401"/>
      <c r="AJ481" s="401">
        <v>0</v>
      </c>
      <c r="AK481" s="401"/>
      <c r="AL481" s="401"/>
      <c r="AM481" s="401"/>
      <c r="AN481" s="401"/>
      <c r="AO481" s="401"/>
      <c r="AP481" s="401"/>
      <c r="AQ481" s="401"/>
      <c r="AR481" s="401"/>
      <c r="AS481" s="401">
        <v>0</v>
      </c>
      <c r="AT481" s="401"/>
      <c r="AU481" s="401"/>
      <c r="AV481" s="401">
        <v>0</v>
      </c>
      <c r="AW481" s="401"/>
      <c r="AX481" s="401"/>
      <c r="AY481" s="401"/>
      <c r="AZ481" s="401"/>
      <c r="BA481" s="401"/>
      <c r="BB481" s="401"/>
      <c r="BC481" s="401"/>
      <c r="BD481" s="401"/>
      <c r="BE481" s="401">
        <v>0</v>
      </c>
      <c r="BF481" s="401"/>
      <c r="BG481" s="401"/>
      <c r="BH481" s="401">
        <v>0</v>
      </c>
      <c r="BI481" s="403"/>
      <c r="BJ481" s="403"/>
      <c r="BK481" s="404">
        <f>34000000+11000000</f>
        <v>45000000</v>
      </c>
      <c r="BL481" s="404">
        <v>11650000</v>
      </c>
      <c r="BM481" s="404">
        <v>9480000</v>
      </c>
      <c r="BN481" s="404"/>
      <c r="BO481" s="404"/>
      <c r="BP481" s="404"/>
      <c r="BQ481" s="401">
        <v>0</v>
      </c>
      <c r="BR481" s="403"/>
      <c r="BS481" s="403"/>
      <c r="BT481" s="403"/>
      <c r="BU481" s="403"/>
      <c r="BV481" s="403"/>
      <c r="BW481" s="403"/>
      <c r="BX481" s="403"/>
      <c r="BY481" s="403"/>
      <c r="BZ481" s="401">
        <f t="shared" ref="BZ481:CB482" si="211">R481+U481+X481+AA481+AD481+AG481+AJ481+AM481+AP481+AS481+AV481+AY481+BB481+BE481+BH481+BK481+BN481+BQ481+BT481+BW481</f>
        <v>45000000</v>
      </c>
      <c r="CA481" s="401">
        <f t="shared" si="211"/>
        <v>11650000</v>
      </c>
      <c r="CB481" s="401">
        <f t="shared" si="211"/>
        <v>9480000</v>
      </c>
    </row>
    <row r="482" spans="1:80" ht="105.75" customHeight="1" x14ac:dyDescent="0.2">
      <c r="A482" s="42"/>
      <c r="B482" s="42"/>
      <c r="C482" s="913"/>
      <c r="D482" s="914"/>
      <c r="E482" s="906"/>
      <c r="F482" s="906"/>
      <c r="G482" s="92"/>
      <c r="H482" s="57">
        <v>181</v>
      </c>
      <c r="I482" s="729" t="s">
        <v>624</v>
      </c>
      <c r="J482" s="57">
        <v>6</v>
      </c>
      <c r="K482" s="169">
        <v>6</v>
      </c>
      <c r="L482" s="615">
        <v>6</v>
      </c>
      <c r="M482" s="886"/>
      <c r="N482" s="898"/>
      <c r="O482" s="898"/>
      <c r="P482" s="892"/>
      <c r="Q482" s="57" t="s">
        <v>52</v>
      </c>
      <c r="R482" s="401">
        <v>0</v>
      </c>
      <c r="S482" s="401"/>
      <c r="T482" s="401"/>
      <c r="U482" s="401">
        <v>0</v>
      </c>
      <c r="V482" s="401"/>
      <c r="W482" s="401"/>
      <c r="X482" s="401">
        <v>0</v>
      </c>
      <c r="Y482" s="401"/>
      <c r="Z482" s="401"/>
      <c r="AA482" s="401">
        <v>0</v>
      </c>
      <c r="AB482" s="401"/>
      <c r="AC482" s="401"/>
      <c r="AD482" s="401">
        <v>0</v>
      </c>
      <c r="AE482" s="401"/>
      <c r="AF482" s="401"/>
      <c r="AG482" s="401">
        <v>0</v>
      </c>
      <c r="AH482" s="401"/>
      <c r="AI482" s="401"/>
      <c r="AJ482" s="401">
        <v>0</v>
      </c>
      <c r="AK482" s="401"/>
      <c r="AL482" s="401"/>
      <c r="AM482" s="401"/>
      <c r="AN482" s="401"/>
      <c r="AO482" s="401"/>
      <c r="AP482" s="401"/>
      <c r="AQ482" s="401"/>
      <c r="AR482" s="401"/>
      <c r="AS482" s="401">
        <v>0</v>
      </c>
      <c r="AT482" s="401"/>
      <c r="AU482" s="401"/>
      <c r="AV482" s="401">
        <v>0</v>
      </c>
      <c r="AW482" s="401"/>
      <c r="AX482" s="401"/>
      <c r="AY482" s="401"/>
      <c r="AZ482" s="401"/>
      <c r="BA482" s="401"/>
      <c r="BB482" s="401"/>
      <c r="BC482" s="401"/>
      <c r="BD482" s="401"/>
      <c r="BE482" s="401">
        <v>0</v>
      </c>
      <c r="BF482" s="401"/>
      <c r="BG482" s="401"/>
      <c r="BH482" s="401">
        <v>0</v>
      </c>
      <c r="BI482" s="403"/>
      <c r="BJ482" s="403"/>
      <c r="BK482" s="404">
        <f>12500000+2500000</f>
        <v>15000000</v>
      </c>
      <c r="BL482" s="404">
        <v>12110000</v>
      </c>
      <c r="BM482" s="404">
        <v>9000000</v>
      </c>
      <c r="BN482" s="404"/>
      <c r="BO482" s="404"/>
      <c r="BP482" s="404"/>
      <c r="BQ482" s="401">
        <v>0</v>
      </c>
      <c r="BR482" s="403"/>
      <c r="BS482" s="403"/>
      <c r="BT482" s="403"/>
      <c r="BU482" s="403"/>
      <c r="BV482" s="403"/>
      <c r="BW482" s="403"/>
      <c r="BX482" s="403"/>
      <c r="BY482" s="403"/>
      <c r="BZ482" s="401">
        <f t="shared" si="211"/>
        <v>15000000</v>
      </c>
      <c r="CA482" s="401">
        <f t="shared" si="211"/>
        <v>12110000</v>
      </c>
      <c r="CB482" s="401">
        <f t="shared" si="211"/>
        <v>9000000</v>
      </c>
    </row>
    <row r="483" spans="1:80" ht="30" customHeight="1" x14ac:dyDescent="0.2">
      <c r="A483" s="42"/>
      <c r="B483" s="55"/>
      <c r="C483" s="546"/>
      <c r="D483" s="709"/>
      <c r="E483" s="714"/>
      <c r="F483" s="714"/>
      <c r="G483" s="58"/>
      <c r="H483" s="59"/>
      <c r="I483" s="58"/>
      <c r="J483" s="59"/>
      <c r="K483" s="191"/>
      <c r="L483" s="191"/>
      <c r="M483" s="191"/>
      <c r="N483" s="59"/>
      <c r="O483" s="59"/>
      <c r="P483" s="58"/>
      <c r="Q483" s="59"/>
      <c r="R483" s="410">
        <f t="shared" ref="R483:BY483" si="212">SUM(R481:R482)</f>
        <v>0</v>
      </c>
      <c r="S483" s="410">
        <f t="shared" si="212"/>
        <v>0</v>
      </c>
      <c r="T483" s="410">
        <f t="shared" si="212"/>
        <v>0</v>
      </c>
      <c r="U483" s="410">
        <f t="shared" si="212"/>
        <v>0</v>
      </c>
      <c r="V483" s="410">
        <f t="shared" si="212"/>
        <v>0</v>
      </c>
      <c r="W483" s="410">
        <f t="shared" si="212"/>
        <v>0</v>
      </c>
      <c r="X483" s="410">
        <f t="shared" si="212"/>
        <v>0</v>
      </c>
      <c r="Y483" s="410">
        <f t="shared" si="212"/>
        <v>0</v>
      </c>
      <c r="Z483" s="410">
        <f t="shared" si="212"/>
        <v>0</v>
      </c>
      <c r="AA483" s="410">
        <f t="shared" si="212"/>
        <v>0</v>
      </c>
      <c r="AB483" s="410">
        <f t="shared" si="212"/>
        <v>0</v>
      </c>
      <c r="AC483" s="410">
        <f t="shared" si="212"/>
        <v>0</v>
      </c>
      <c r="AD483" s="410">
        <f t="shared" si="212"/>
        <v>0</v>
      </c>
      <c r="AE483" s="410">
        <f t="shared" si="212"/>
        <v>0</v>
      </c>
      <c r="AF483" s="410">
        <f t="shared" si="212"/>
        <v>0</v>
      </c>
      <c r="AG483" s="410">
        <f t="shared" si="212"/>
        <v>0</v>
      </c>
      <c r="AH483" s="410">
        <f t="shared" si="212"/>
        <v>0</v>
      </c>
      <c r="AI483" s="410">
        <f t="shared" si="212"/>
        <v>0</v>
      </c>
      <c r="AJ483" s="410">
        <f t="shared" si="212"/>
        <v>0</v>
      </c>
      <c r="AK483" s="410">
        <f t="shared" si="212"/>
        <v>0</v>
      </c>
      <c r="AL483" s="410">
        <f t="shared" si="212"/>
        <v>0</v>
      </c>
      <c r="AM483" s="410">
        <f t="shared" si="212"/>
        <v>0</v>
      </c>
      <c r="AN483" s="410">
        <f t="shared" si="212"/>
        <v>0</v>
      </c>
      <c r="AO483" s="410">
        <f t="shared" si="212"/>
        <v>0</v>
      </c>
      <c r="AP483" s="410">
        <f t="shared" si="212"/>
        <v>0</v>
      </c>
      <c r="AQ483" s="410">
        <f t="shared" si="212"/>
        <v>0</v>
      </c>
      <c r="AR483" s="410">
        <f t="shared" si="212"/>
        <v>0</v>
      </c>
      <c r="AS483" s="410">
        <f t="shared" si="212"/>
        <v>0</v>
      </c>
      <c r="AT483" s="410">
        <f t="shared" si="212"/>
        <v>0</v>
      </c>
      <c r="AU483" s="410">
        <f t="shared" si="212"/>
        <v>0</v>
      </c>
      <c r="AV483" s="410">
        <f t="shared" si="212"/>
        <v>0</v>
      </c>
      <c r="AW483" s="410">
        <f t="shared" si="212"/>
        <v>0</v>
      </c>
      <c r="AX483" s="410">
        <f t="shared" si="212"/>
        <v>0</v>
      </c>
      <c r="AY483" s="410">
        <f t="shared" si="212"/>
        <v>0</v>
      </c>
      <c r="AZ483" s="410">
        <f t="shared" si="212"/>
        <v>0</v>
      </c>
      <c r="BA483" s="410">
        <f t="shared" si="212"/>
        <v>0</v>
      </c>
      <c r="BB483" s="410">
        <f t="shared" si="212"/>
        <v>0</v>
      </c>
      <c r="BC483" s="410">
        <f t="shared" si="212"/>
        <v>0</v>
      </c>
      <c r="BD483" s="410">
        <f t="shared" si="212"/>
        <v>0</v>
      </c>
      <c r="BE483" s="410">
        <f t="shared" si="212"/>
        <v>0</v>
      </c>
      <c r="BF483" s="410">
        <f t="shared" si="212"/>
        <v>0</v>
      </c>
      <c r="BG483" s="410">
        <f t="shared" si="212"/>
        <v>0</v>
      </c>
      <c r="BH483" s="410">
        <f t="shared" si="212"/>
        <v>0</v>
      </c>
      <c r="BI483" s="410">
        <f t="shared" si="212"/>
        <v>0</v>
      </c>
      <c r="BJ483" s="410">
        <f t="shared" si="212"/>
        <v>0</v>
      </c>
      <c r="BK483" s="410">
        <f t="shared" si="212"/>
        <v>60000000</v>
      </c>
      <c r="BL483" s="410">
        <f t="shared" si="212"/>
        <v>23760000</v>
      </c>
      <c r="BM483" s="410">
        <f t="shared" si="212"/>
        <v>18480000</v>
      </c>
      <c r="BN483" s="410">
        <f t="shared" si="212"/>
        <v>0</v>
      </c>
      <c r="BO483" s="410">
        <f t="shared" si="212"/>
        <v>0</v>
      </c>
      <c r="BP483" s="410">
        <f t="shared" si="212"/>
        <v>0</v>
      </c>
      <c r="BQ483" s="410">
        <f t="shared" si="212"/>
        <v>0</v>
      </c>
      <c r="BR483" s="410">
        <f t="shared" si="212"/>
        <v>0</v>
      </c>
      <c r="BS483" s="410">
        <f t="shared" si="212"/>
        <v>0</v>
      </c>
      <c r="BT483" s="410">
        <f t="shared" si="212"/>
        <v>0</v>
      </c>
      <c r="BU483" s="410">
        <f t="shared" si="212"/>
        <v>0</v>
      </c>
      <c r="BV483" s="410">
        <f t="shared" si="212"/>
        <v>0</v>
      </c>
      <c r="BW483" s="410">
        <f t="shared" si="212"/>
        <v>0</v>
      </c>
      <c r="BX483" s="410">
        <f t="shared" si="212"/>
        <v>0</v>
      </c>
      <c r="BY483" s="410">
        <f t="shared" si="212"/>
        <v>0</v>
      </c>
      <c r="BZ483" s="410">
        <f t="shared" ref="BZ483:CB483" si="213">SUM(BZ481:BZ482)</f>
        <v>60000000</v>
      </c>
      <c r="CA483" s="410">
        <f t="shared" si="213"/>
        <v>23760000</v>
      </c>
      <c r="CB483" s="410">
        <f t="shared" si="213"/>
        <v>18480000</v>
      </c>
    </row>
    <row r="484" spans="1:80" ht="30" customHeight="1" x14ac:dyDescent="0.2">
      <c r="A484" s="42"/>
      <c r="B484" s="304"/>
      <c r="C484" s="305"/>
      <c r="D484" s="62"/>
      <c r="E484" s="63"/>
      <c r="F484" s="63"/>
      <c r="G484" s="62"/>
      <c r="H484" s="63"/>
      <c r="I484" s="62"/>
      <c r="J484" s="63"/>
      <c r="K484" s="208"/>
      <c r="L484" s="208"/>
      <c r="M484" s="208"/>
      <c r="N484" s="63"/>
      <c r="O484" s="63"/>
      <c r="P484" s="62"/>
      <c r="Q484" s="63"/>
      <c r="R484" s="416">
        <f t="shared" ref="R484:CB484" si="214">R483</f>
        <v>0</v>
      </c>
      <c r="S484" s="416">
        <f t="shared" si="214"/>
        <v>0</v>
      </c>
      <c r="T484" s="416">
        <f t="shared" si="214"/>
        <v>0</v>
      </c>
      <c r="U484" s="416">
        <f t="shared" si="214"/>
        <v>0</v>
      </c>
      <c r="V484" s="416">
        <f t="shared" si="214"/>
        <v>0</v>
      </c>
      <c r="W484" s="416">
        <f t="shared" si="214"/>
        <v>0</v>
      </c>
      <c r="X484" s="416">
        <f t="shared" si="214"/>
        <v>0</v>
      </c>
      <c r="Y484" s="416">
        <f t="shared" si="214"/>
        <v>0</v>
      </c>
      <c r="Z484" s="416">
        <f t="shared" si="214"/>
        <v>0</v>
      </c>
      <c r="AA484" s="416">
        <f t="shared" si="214"/>
        <v>0</v>
      </c>
      <c r="AB484" s="416">
        <f t="shared" si="214"/>
        <v>0</v>
      </c>
      <c r="AC484" s="416">
        <f t="shared" si="214"/>
        <v>0</v>
      </c>
      <c r="AD484" s="416">
        <f t="shared" si="214"/>
        <v>0</v>
      </c>
      <c r="AE484" s="416">
        <f t="shared" si="214"/>
        <v>0</v>
      </c>
      <c r="AF484" s="416">
        <f t="shared" si="214"/>
        <v>0</v>
      </c>
      <c r="AG484" s="416">
        <f t="shared" si="214"/>
        <v>0</v>
      </c>
      <c r="AH484" s="416">
        <f t="shared" si="214"/>
        <v>0</v>
      </c>
      <c r="AI484" s="416">
        <f t="shared" si="214"/>
        <v>0</v>
      </c>
      <c r="AJ484" s="416">
        <f t="shared" si="214"/>
        <v>0</v>
      </c>
      <c r="AK484" s="416">
        <f t="shared" si="214"/>
        <v>0</v>
      </c>
      <c r="AL484" s="416">
        <f t="shared" si="214"/>
        <v>0</v>
      </c>
      <c r="AM484" s="416">
        <f t="shared" si="214"/>
        <v>0</v>
      </c>
      <c r="AN484" s="416">
        <f t="shared" si="214"/>
        <v>0</v>
      </c>
      <c r="AO484" s="416">
        <f t="shared" si="214"/>
        <v>0</v>
      </c>
      <c r="AP484" s="416">
        <f t="shared" si="214"/>
        <v>0</v>
      </c>
      <c r="AQ484" s="416">
        <f t="shared" si="214"/>
        <v>0</v>
      </c>
      <c r="AR484" s="416">
        <f t="shared" si="214"/>
        <v>0</v>
      </c>
      <c r="AS484" s="416">
        <f t="shared" si="214"/>
        <v>0</v>
      </c>
      <c r="AT484" s="416">
        <f t="shared" si="214"/>
        <v>0</v>
      </c>
      <c r="AU484" s="416">
        <f t="shared" si="214"/>
        <v>0</v>
      </c>
      <c r="AV484" s="416">
        <f t="shared" si="214"/>
        <v>0</v>
      </c>
      <c r="AW484" s="416">
        <f t="shared" si="214"/>
        <v>0</v>
      </c>
      <c r="AX484" s="416">
        <f t="shared" si="214"/>
        <v>0</v>
      </c>
      <c r="AY484" s="416">
        <f t="shared" si="214"/>
        <v>0</v>
      </c>
      <c r="AZ484" s="416">
        <f t="shared" si="214"/>
        <v>0</v>
      </c>
      <c r="BA484" s="416">
        <f t="shared" si="214"/>
        <v>0</v>
      </c>
      <c r="BB484" s="416">
        <f t="shared" si="214"/>
        <v>0</v>
      </c>
      <c r="BC484" s="416">
        <f t="shared" si="214"/>
        <v>0</v>
      </c>
      <c r="BD484" s="416">
        <f t="shared" si="214"/>
        <v>0</v>
      </c>
      <c r="BE484" s="416">
        <f t="shared" si="214"/>
        <v>0</v>
      </c>
      <c r="BF484" s="416">
        <f t="shared" si="214"/>
        <v>0</v>
      </c>
      <c r="BG484" s="416">
        <f t="shared" si="214"/>
        <v>0</v>
      </c>
      <c r="BH484" s="416">
        <f t="shared" si="214"/>
        <v>0</v>
      </c>
      <c r="BI484" s="416">
        <f t="shared" si="214"/>
        <v>0</v>
      </c>
      <c r="BJ484" s="416">
        <f t="shared" si="214"/>
        <v>0</v>
      </c>
      <c r="BK484" s="416">
        <f t="shared" si="214"/>
        <v>60000000</v>
      </c>
      <c r="BL484" s="416">
        <f t="shared" si="214"/>
        <v>23760000</v>
      </c>
      <c r="BM484" s="416">
        <f t="shared" si="214"/>
        <v>18480000</v>
      </c>
      <c r="BN484" s="416">
        <f t="shared" si="214"/>
        <v>0</v>
      </c>
      <c r="BO484" s="416">
        <f t="shared" si="214"/>
        <v>0</v>
      </c>
      <c r="BP484" s="416">
        <f t="shared" si="214"/>
        <v>0</v>
      </c>
      <c r="BQ484" s="416">
        <f t="shared" si="214"/>
        <v>0</v>
      </c>
      <c r="BR484" s="416">
        <f t="shared" si="214"/>
        <v>0</v>
      </c>
      <c r="BS484" s="416">
        <f t="shared" si="214"/>
        <v>0</v>
      </c>
      <c r="BT484" s="416">
        <f t="shared" si="214"/>
        <v>0</v>
      </c>
      <c r="BU484" s="416">
        <f t="shared" si="214"/>
        <v>0</v>
      </c>
      <c r="BV484" s="416">
        <f t="shared" si="214"/>
        <v>0</v>
      </c>
      <c r="BW484" s="416">
        <f t="shared" si="214"/>
        <v>0</v>
      </c>
      <c r="BX484" s="416">
        <f t="shared" si="214"/>
        <v>0</v>
      </c>
      <c r="BY484" s="416">
        <f t="shared" si="214"/>
        <v>0</v>
      </c>
      <c r="BZ484" s="416">
        <f t="shared" si="214"/>
        <v>60000000</v>
      </c>
      <c r="CA484" s="416">
        <f t="shared" si="214"/>
        <v>23760000</v>
      </c>
      <c r="CB484" s="416">
        <f t="shared" si="214"/>
        <v>18480000</v>
      </c>
    </row>
    <row r="485" spans="1:80" ht="30" customHeight="1" x14ac:dyDescent="0.2">
      <c r="A485" s="42"/>
      <c r="B485" s="311"/>
      <c r="C485" s="312"/>
      <c r="D485" s="72"/>
      <c r="E485" s="150"/>
      <c r="F485" s="150"/>
      <c r="G485" s="72"/>
      <c r="H485" s="150"/>
      <c r="I485" s="72"/>
      <c r="J485" s="150"/>
      <c r="K485" s="195"/>
      <c r="L485" s="195"/>
      <c r="M485" s="195"/>
      <c r="N485" s="150"/>
      <c r="O485" s="150"/>
      <c r="P485" s="72"/>
      <c r="Q485" s="150"/>
      <c r="R485" s="405"/>
      <c r="S485" s="405"/>
      <c r="T485" s="405"/>
      <c r="U485" s="405"/>
      <c r="V485" s="405"/>
      <c r="W485" s="405"/>
      <c r="X485" s="405"/>
      <c r="Y485" s="405"/>
      <c r="Z485" s="405"/>
      <c r="AA485" s="405"/>
      <c r="AB485" s="405"/>
      <c r="AC485" s="405"/>
      <c r="AD485" s="405"/>
      <c r="AE485" s="405"/>
      <c r="AF485" s="405"/>
      <c r="AG485" s="405"/>
      <c r="AH485" s="405"/>
      <c r="AI485" s="405"/>
      <c r="AJ485" s="405"/>
      <c r="AK485" s="405"/>
      <c r="AL485" s="405"/>
      <c r="AM485" s="405"/>
      <c r="AN485" s="405"/>
      <c r="AO485" s="405"/>
      <c r="AP485" s="405"/>
      <c r="AQ485" s="405"/>
      <c r="AR485" s="405"/>
      <c r="AS485" s="405"/>
      <c r="AT485" s="405"/>
      <c r="AU485" s="405"/>
      <c r="AV485" s="405"/>
      <c r="AW485" s="405"/>
      <c r="AX485" s="405"/>
      <c r="AY485" s="406"/>
      <c r="AZ485" s="406"/>
      <c r="BA485" s="406"/>
      <c r="BB485" s="406"/>
      <c r="BC485" s="406"/>
      <c r="BD485" s="406"/>
      <c r="BE485" s="405"/>
      <c r="BF485" s="405"/>
      <c r="BG485" s="405"/>
      <c r="BH485" s="405"/>
      <c r="BI485" s="405"/>
      <c r="BJ485" s="405"/>
      <c r="BK485" s="407" t="s">
        <v>69</v>
      </c>
      <c r="BL485" s="407"/>
      <c r="BM485" s="407"/>
      <c r="BN485" s="408"/>
      <c r="BO485" s="408"/>
      <c r="BP485" s="408"/>
      <c r="BQ485" s="405"/>
      <c r="BR485" s="405"/>
      <c r="BS485" s="405"/>
      <c r="BT485" s="405"/>
      <c r="BU485" s="405"/>
      <c r="BV485" s="405"/>
      <c r="BW485" s="405"/>
      <c r="BX485" s="405"/>
      <c r="BY485" s="405"/>
      <c r="BZ485" s="409"/>
      <c r="CA485" s="409"/>
      <c r="CB485" s="409"/>
    </row>
    <row r="486" spans="1:80" ht="30" customHeight="1" x14ac:dyDescent="0.2">
      <c r="A486" s="42"/>
      <c r="B486" s="125">
        <v>17</v>
      </c>
      <c r="C486" s="40" t="s">
        <v>625</v>
      </c>
      <c r="D486" s="39"/>
      <c r="E486" s="39"/>
      <c r="F486" s="39"/>
      <c r="G486" s="39"/>
      <c r="H486" s="40"/>
      <c r="I486" s="39"/>
      <c r="J486" s="39"/>
      <c r="K486" s="201"/>
      <c r="L486" s="201"/>
      <c r="M486" s="201"/>
      <c r="N486" s="40"/>
      <c r="O486" s="40"/>
      <c r="P486" s="39"/>
      <c r="Q486" s="39"/>
      <c r="R486" s="412"/>
      <c r="S486" s="412"/>
      <c r="T486" s="412"/>
      <c r="U486" s="412"/>
      <c r="V486" s="412"/>
      <c r="W486" s="412"/>
      <c r="X486" s="412"/>
      <c r="Y486" s="412"/>
      <c r="Z486" s="412"/>
      <c r="AA486" s="412"/>
      <c r="AB486" s="412"/>
      <c r="AC486" s="412"/>
      <c r="AD486" s="412"/>
      <c r="AE486" s="412"/>
      <c r="AF486" s="412"/>
      <c r="AG486" s="412"/>
      <c r="AH486" s="412"/>
      <c r="AI486" s="412"/>
      <c r="AJ486" s="412"/>
      <c r="AK486" s="412"/>
      <c r="AL486" s="412"/>
      <c r="AM486" s="412"/>
      <c r="AN486" s="412"/>
      <c r="AO486" s="412"/>
      <c r="AP486" s="412"/>
      <c r="AQ486" s="412"/>
      <c r="AR486" s="412"/>
      <c r="AS486" s="412"/>
      <c r="AT486" s="412"/>
      <c r="AU486" s="412"/>
      <c r="AV486" s="412"/>
      <c r="AW486" s="412"/>
      <c r="AX486" s="412"/>
      <c r="AY486" s="412"/>
      <c r="AZ486" s="412"/>
      <c r="BA486" s="412"/>
      <c r="BB486" s="412"/>
      <c r="BC486" s="412"/>
      <c r="BD486" s="412"/>
      <c r="BE486" s="412"/>
      <c r="BF486" s="412"/>
      <c r="BG486" s="412"/>
      <c r="BH486" s="412"/>
      <c r="BI486" s="412"/>
      <c r="BJ486" s="412"/>
      <c r="BK486" s="413"/>
      <c r="BL486" s="413"/>
      <c r="BM486" s="413"/>
      <c r="BN486" s="412"/>
      <c r="BO486" s="412"/>
      <c r="BP486" s="412"/>
      <c r="BQ486" s="412"/>
      <c r="BR486" s="412"/>
      <c r="BS486" s="412"/>
      <c r="BT486" s="412"/>
      <c r="BU486" s="412"/>
      <c r="BV486" s="412"/>
      <c r="BW486" s="412"/>
      <c r="BX486" s="412"/>
      <c r="BY486" s="412"/>
      <c r="BZ486" s="417"/>
      <c r="CA486" s="417"/>
      <c r="CB486" s="417"/>
    </row>
    <row r="487" spans="1:80" ht="30" customHeight="1" x14ac:dyDescent="0.2">
      <c r="A487" s="42"/>
      <c r="B487" s="313"/>
      <c r="C487" s="547"/>
      <c r="D487" s="707"/>
      <c r="E487" s="713"/>
      <c r="F487" s="713"/>
      <c r="G487" s="219">
        <v>58</v>
      </c>
      <c r="H487" s="80" t="s">
        <v>626</v>
      </c>
      <c r="I487" s="80"/>
      <c r="J487" s="80"/>
      <c r="K487" s="153"/>
      <c r="L487" s="153"/>
      <c r="M487" s="153"/>
      <c r="N487" s="173"/>
      <c r="O487" s="173"/>
      <c r="P487" s="80"/>
      <c r="Q487" s="80"/>
      <c r="R487" s="267"/>
      <c r="S487" s="267"/>
      <c r="T487" s="267"/>
      <c r="U487" s="267"/>
      <c r="V487" s="267"/>
      <c r="W487" s="267"/>
      <c r="X487" s="267"/>
      <c r="Y487" s="267"/>
      <c r="Z487" s="267"/>
      <c r="AA487" s="267"/>
      <c r="AB487" s="267"/>
      <c r="AC487" s="267"/>
      <c r="AD487" s="267"/>
      <c r="AE487" s="267"/>
      <c r="AF487" s="267"/>
      <c r="AG487" s="267"/>
      <c r="AH487" s="267"/>
      <c r="AI487" s="267"/>
      <c r="AJ487" s="267"/>
      <c r="AK487" s="267"/>
      <c r="AL487" s="267"/>
      <c r="AM487" s="267"/>
      <c r="AN487" s="267"/>
      <c r="AO487" s="267"/>
      <c r="AP487" s="267"/>
      <c r="AQ487" s="267"/>
      <c r="AR487" s="267"/>
      <c r="AS487" s="267"/>
      <c r="AT487" s="267"/>
      <c r="AU487" s="267"/>
      <c r="AV487" s="267"/>
      <c r="AW487" s="267"/>
      <c r="AX487" s="267"/>
      <c r="AY487" s="267"/>
      <c r="AZ487" s="267"/>
      <c r="BA487" s="267"/>
      <c r="BB487" s="267"/>
      <c r="BC487" s="267"/>
      <c r="BD487" s="267"/>
      <c r="BE487" s="267"/>
      <c r="BF487" s="267"/>
      <c r="BG487" s="267"/>
      <c r="BH487" s="267"/>
      <c r="BI487" s="267"/>
      <c r="BJ487" s="267"/>
      <c r="BK487" s="414"/>
      <c r="BL487" s="414"/>
      <c r="BM487" s="414"/>
      <c r="BN487" s="267"/>
      <c r="BO487" s="267"/>
      <c r="BP487" s="267"/>
      <c r="BQ487" s="267"/>
      <c r="BR487" s="267"/>
      <c r="BS487" s="267"/>
      <c r="BT487" s="267"/>
      <c r="BU487" s="267"/>
      <c r="BV487" s="267"/>
      <c r="BW487" s="267"/>
      <c r="BX487" s="267"/>
      <c r="BY487" s="267"/>
      <c r="BZ487" s="269"/>
      <c r="CA487" s="269"/>
      <c r="CB487" s="269"/>
    </row>
    <row r="488" spans="1:80" ht="71.25" customHeight="1" x14ac:dyDescent="0.2">
      <c r="A488" s="42"/>
      <c r="B488" s="314"/>
      <c r="C488" s="702">
        <v>22</v>
      </c>
      <c r="D488" s="708" t="s">
        <v>627</v>
      </c>
      <c r="E488" s="702" t="s">
        <v>628</v>
      </c>
      <c r="F488" s="702" t="s">
        <v>629</v>
      </c>
      <c r="G488" s="43"/>
      <c r="H488" s="57">
        <v>183</v>
      </c>
      <c r="I488" s="729" t="s">
        <v>630</v>
      </c>
      <c r="J488" s="44">
        <v>0</v>
      </c>
      <c r="K488" s="190">
        <v>1</v>
      </c>
      <c r="L488" s="387">
        <v>0.7</v>
      </c>
      <c r="M488" s="46">
        <v>201700360055</v>
      </c>
      <c r="N488" s="57" t="s">
        <v>621</v>
      </c>
      <c r="O488" s="57" t="s">
        <v>631</v>
      </c>
      <c r="P488" s="729" t="s">
        <v>997</v>
      </c>
      <c r="Q488" s="57" t="s">
        <v>52</v>
      </c>
      <c r="R488" s="401"/>
      <c r="S488" s="401"/>
      <c r="T488" s="401"/>
      <c r="U488" s="401"/>
      <c r="V488" s="401"/>
      <c r="W488" s="401"/>
      <c r="X488" s="401"/>
      <c r="Y488" s="401"/>
      <c r="Z488" s="401"/>
      <c r="AA488" s="401"/>
      <c r="AB488" s="401"/>
      <c r="AC488" s="401"/>
      <c r="AD488" s="401"/>
      <c r="AE488" s="401"/>
      <c r="AF488" s="401"/>
      <c r="AG488" s="401"/>
      <c r="AH488" s="401"/>
      <c r="AI488" s="401"/>
      <c r="AJ488" s="401"/>
      <c r="AK488" s="401"/>
      <c r="AL488" s="401"/>
      <c r="AM488" s="401"/>
      <c r="AN488" s="401"/>
      <c r="AO488" s="401"/>
      <c r="AP488" s="401"/>
      <c r="AQ488" s="401"/>
      <c r="AR488" s="401"/>
      <c r="AS488" s="401"/>
      <c r="AT488" s="401"/>
      <c r="AU488" s="401"/>
      <c r="AV488" s="401"/>
      <c r="AW488" s="401"/>
      <c r="AX488" s="401"/>
      <c r="AY488" s="401"/>
      <c r="AZ488" s="401"/>
      <c r="BA488" s="401"/>
      <c r="BB488" s="401"/>
      <c r="BC488" s="401"/>
      <c r="BD488" s="401"/>
      <c r="BE488" s="401"/>
      <c r="BF488" s="401"/>
      <c r="BG488" s="401"/>
      <c r="BH488" s="401"/>
      <c r="BI488" s="401"/>
      <c r="BJ488" s="401"/>
      <c r="BK488" s="402">
        <f>129000000+51000000</f>
        <v>180000000</v>
      </c>
      <c r="BL488" s="402">
        <v>139776666</v>
      </c>
      <c r="BM488" s="402">
        <v>61918000</v>
      </c>
      <c r="BN488" s="402"/>
      <c r="BO488" s="402"/>
      <c r="BP488" s="402"/>
      <c r="BQ488" s="401"/>
      <c r="BR488" s="403"/>
      <c r="BS488" s="403"/>
      <c r="BT488" s="403"/>
      <c r="BU488" s="403"/>
      <c r="BV488" s="403"/>
      <c r="BW488" s="403"/>
      <c r="BX488" s="403"/>
      <c r="BY488" s="403"/>
      <c r="BZ488" s="401">
        <f>R488+U488+X488+AA488+AD488+AG488+AJ488+AM488+AP488+AS488+AV488+AY488+BB488+BE488+BH488+BK488+BN488+BQ488+BT488+BW488</f>
        <v>180000000</v>
      </c>
      <c r="CA488" s="401">
        <f t="shared" ref="CA488:CB488" si="215">S488+V488+Y488+AB488+AE488+AH488+AK488+AN488+AQ488+AT488+AW488+AZ488+BC488+BF488+BI488+BL488+BO488+BR488+BU488+BX488</f>
        <v>139776666</v>
      </c>
      <c r="CB488" s="401">
        <f t="shared" si="215"/>
        <v>61918000</v>
      </c>
    </row>
    <row r="489" spans="1:80" ht="30" customHeight="1" x14ac:dyDescent="0.2">
      <c r="A489" s="42"/>
      <c r="B489" s="315"/>
      <c r="C489" s="548"/>
      <c r="D489" s="709"/>
      <c r="E489" s="714"/>
      <c r="F489" s="714"/>
      <c r="G489" s="58"/>
      <c r="H489" s="59"/>
      <c r="I489" s="58"/>
      <c r="J489" s="60"/>
      <c r="K489" s="196"/>
      <c r="L489" s="196"/>
      <c r="M489" s="196"/>
      <c r="N489" s="60"/>
      <c r="O489" s="59"/>
      <c r="P489" s="58"/>
      <c r="Q489" s="59"/>
      <c r="R489" s="410">
        <f t="shared" ref="R489:CB489" si="216">SUM(R488:R488)</f>
        <v>0</v>
      </c>
      <c r="S489" s="410">
        <f t="shared" si="216"/>
        <v>0</v>
      </c>
      <c r="T489" s="410">
        <f t="shared" si="216"/>
        <v>0</v>
      </c>
      <c r="U489" s="410">
        <f t="shared" si="216"/>
        <v>0</v>
      </c>
      <c r="V489" s="410">
        <f t="shared" si="216"/>
        <v>0</v>
      </c>
      <c r="W489" s="410">
        <f t="shared" si="216"/>
        <v>0</v>
      </c>
      <c r="X489" s="410">
        <f t="shared" si="216"/>
        <v>0</v>
      </c>
      <c r="Y489" s="410">
        <f t="shared" si="216"/>
        <v>0</v>
      </c>
      <c r="Z489" s="410">
        <f t="shared" si="216"/>
        <v>0</v>
      </c>
      <c r="AA489" s="410">
        <f t="shared" si="216"/>
        <v>0</v>
      </c>
      <c r="AB489" s="410">
        <f t="shared" si="216"/>
        <v>0</v>
      </c>
      <c r="AC489" s="410">
        <f t="shared" si="216"/>
        <v>0</v>
      </c>
      <c r="AD489" s="410">
        <f t="shared" si="216"/>
        <v>0</v>
      </c>
      <c r="AE489" s="410">
        <f t="shared" si="216"/>
        <v>0</v>
      </c>
      <c r="AF489" s="410">
        <f t="shared" si="216"/>
        <v>0</v>
      </c>
      <c r="AG489" s="410">
        <f t="shared" si="216"/>
        <v>0</v>
      </c>
      <c r="AH489" s="410">
        <f t="shared" si="216"/>
        <v>0</v>
      </c>
      <c r="AI489" s="410">
        <f t="shared" si="216"/>
        <v>0</v>
      </c>
      <c r="AJ489" s="410">
        <f t="shared" si="216"/>
        <v>0</v>
      </c>
      <c r="AK489" s="410">
        <f t="shared" si="216"/>
        <v>0</v>
      </c>
      <c r="AL489" s="410">
        <f t="shared" si="216"/>
        <v>0</v>
      </c>
      <c r="AM489" s="410">
        <f t="shared" si="216"/>
        <v>0</v>
      </c>
      <c r="AN489" s="410">
        <f t="shared" si="216"/>
        <v>0</v>
      </c>
      <c r="AO489" s="410">
        <f t="shared" si="216"/>
        <v>0</v>
      </c>
      <c r="AP489" s="410">
        <f t="shared" si="216"/>
        <v>0</v>
      </c>
      <c r="AQ489" s="410">
        <f t="shared" si="216"/>
        <v>0</v>
      </c>
      <c r="AR489" s="410">
        <f t="shared" si="216"/>
        <v>0</v>
      </c>
      <c r="AS489" s="410">
        <f t="shared" si="216"/>
        <v>0</v>
      </c>
      <c r="AT489" s="410">
        <f t="shared" si="216"/>
        <v>0</v>
      </c>
      <c r="AU489" s="410">
        <f t="shared" si="216"/>
        <v>0</v>
      </c>
      <c r="AV489" s="410">
        <f t="shared" si="216"/>
        <v>0</v>
      </c>
      <c r="AW489" s="410">
        <f t="shared" si="216"/>
        <v>0</v>
      </c>
      <c r="AX489" s="410">
        <f t="shared" si="216"/>
        <v>0</v>
      </c>
      <c r="AY489" s="410">
        <f t="shared" si="216"/>
        <v>0</v>
      </c>
      <c r="AZ489" s="410">
        <f t="shared" si="216"/>
        <v>0</v>
      </c>
      <c r="BA489" s="410">
        <f t="shared" si="216"/>
        <v>0</v>
      </c>
      <c r="BB489" s="410">
        <f t="shared" si="216"/>
        <v>0</v>
      </c>
      <c r="BC489" s="410">
        <f t="shared" si="216"/>
        <v>0</v>
      </c>
      <c r="BD489" s="410">
        <f t="shared" si="216"/>
        <v>0</v>
      </c>
      <c r="BE489" s="410">
        <f t="shared" si="216"/>
        <v>0</v>
      </c>
      <c r="BF489" s="410">
        <f t="shared" si="216"/>
        <v>0</v>
      </c>
      <c r="BG489" s="410">
        <f t="shared" si="216"/>
        <v>0</v>
      </c>
      <c r="BH489" s="410">
        <f t="shared" si="216"/>
        <v>0</v>
      </c>
      <c r="BI489" s="410">
        <f t="shared" si="216"/>
        <v>0</v>
      </c>
      <c r="BJ489" s="410">
        <f t="shared" si="216"/>
        <v>0</v>
      </c>
      <c r="BK489" s="410">
        <f t="shared" si="216"/>
        <v>180000000</v>
      </c>
      <c r="BL489" s="410">
        <f t="shared" si="216"/>
        <v>139776666</v>
      </c>
      <c r="BM489" s="410">
        <f t="shared" si="216"/>
        <v>61918000</v>
      </c>
      <c r="BN489" s="410">
        <f t="shared" si="216"/>
        <v>0</v>
      </c>
      <c r="BO489" s="410">
        <f t="shared" si="216"/>
        <v>0</v>
      </c>
      <c r="BP489" s="410">
        <f t="shared" si="216"/>
        <v>0</v>
      </c>
      <c r="BQ489" s="410">
        <f t="shared" si="216"/>
        <v>0</v>
      </c>
      <c r="BR489" s="410">
        <f t="shared" si="216"/>
        <v>0</v>
      </c>
      <c r="BS489" s="410">
        <f t="shared" si="216"/>
        <v>0</v>
      </c>
      <c r="BT489" s="410">
        <f t="shared" si="216"/>
        <v>0</v>
      </c>
      <c r="BU489" s="410">
        <f t="shared" si="216"/>
        <v>0</v>
      </c>
      <c r="BV489" s="410">
        <f t="shared" si="216"/>
        <v>0</v>
      </c>
      <c r="BW489" s="410">
        <f t="shared" si="216"/>
        <v>0</v>
      </c>
      <c r="BX489" s="410">
        <f t="shared" si="216"/>
        <v>0</v>
      </c>
      <c r="BY489" s="410">
        <f t="shared" si="216"/>
        <v>0</v>
      </c>
      <c r="BZ489" s="410">
        <f t="shared" si="216"/>
        <v>180000000</v>
      </c>
      <c r="CA489" s="410">
        <f t="shared" si="216"/>
        <v>139776666</v>
      </c>
      <c r="CB489" s="410">
        <f t="shared" si="216"/>
        <v>61918000</v>
      </c>
    </row>
    <row r="490" spans="1:80" ht="30" customHeight="1" x14ac:dyDescent="0.2">
      <c r="A490" s="42"/>
      <c r="B490" s="315"/>
      <c r="C490" s="747"/>
      <c r="D490" s="748"/>
      <c r="E490" s="747"/>
      <c r="F490" s="747"/>
      <c r="G490" s="748"/>
      <c r="H490" s="747"/>
      <c r="I490" s="748"/>
      <c r="J490" s="749"/>
      <c r="K490" s="806"/>
      <c r="L490" s="806"/>
      <c r="M490" s="806"/>
      <c r="N490" s="749"/>
      <c r="O490" s="747"/>
      <c r="P490" s="748"/>
      <c r="Q490" s="747"/>
      <c r="R490" s="791"/>
      <c r="S490" s="791"/>
      <c r="T490" s="791"/>
      <c r="U490" s="791"/>
      <c r="V490" s="791"/>
      <c r="W490" s="791"/>
      <c r="X490" s="791"/>
      <c r="Y490" s="791"/>
      <c r="Z490" s="791"/>
      <c r="AA490" s="791"/>
      <c r="AB490" s="791"/>
      <c r="AC490" s="791"/>
      <c r="AD490" s="791"/>
      <c r="AE490" s="791"/>
      <c r="AF490" s="791"/>
      <c r="AG490" s="791"/>
      <c r="AH490" s="791"/>
      <c r="AI490" s="791"/>
      <c r="AJ490" s="791"/>
      <c r="AK490" s="791"/>
      <c r="AL490" s="791"/>
      <c r="AM490" s="791"/>
      <c r="AN490" s="791"/>
      <c r="AO490" s="791"/>
      <c r="AP490" s="791"/>
      <c r="AQ490" s="791"/>
      <c r="AR490" s="791"/>
      <c r="AS490" s="791"/>
      <c r="AT490" s="791"/>
      <c r="AU490" s="791"/>
      <c r="AV490" s="791"/>
      <c r="AW490" s="791"/>
      <c r="AX490" s="791"/>
      <c r="AY490" s="791"/>
      <c r="AZ490" s="791"/>
      <c r="BA490" s="791"/>
      <c r="BB490" s="791"/>
      <c r="BC490" s="791"/>
      <c r="BD490" s="791"/>
      <c r="BE490" s="791"/>
      <c r="BF490" s="791"/>
      <c r="BG490" s="791"/>
      <c r="BH490" s="791"/>
      <c r="BI490" s="791"/>
      <c r="BJ490" s="791"/>
      <c r="BK490" s="407" t="s">
        <v>69</v>
      </c>
      <c r="BL490" s="793"/>
      <c r="BM490" s="793"/>
      <c r="BN490" s="794"/>
      <c r="BO490" s="794"/>
      <c r="BP490" s="794"/>
      <c r="BQ490" s="791"/>
      <c r="BR490" s="791"/>
      <c r="BS490" s="791"/>
      <c r="BT490" s="791"/>
      <c r="BU490" s="791"/>
      <c r="BV490" s="791"/>
      <c r="BW490" s="791"/>
      <c r="BX490" s="791"/>
      <c r="BY490" s="791"/>
      <c r="BZ490" s="630"/>
      <c r="CA490" s="630"/>
      <c r="CB490" s="630"/>
    </row>
    <row r="491" spans="1:80" ht="30" customHeight="1" x14ac:dyDescent="0.2">
      <c r="A491" s="42"/>
      <c r="B491" s="315"/>
      <c r="C491" s="549"/>
      <c r="D491" s="707"/>
      <c r="E491" s="713"/>
      <c r="F491" s="713"/>
      <c r="G491" s="78">
        <v>59</v>
      </c>
      <c r="H491" s="79" t="s">
        <v>633</v>
      </c>
      <c r="I491" s="79"/>
      <c r="J491" s="79"/>
      <c r="K491" s="317"/>
      <c r="L491" s="317"/>
      <c r="M491" s="317"/>
      <c r="N491" s="173"/>
      <c r="O491" s="173"/>
      <c r="P491" s="79"/>
      <c r="Q491" s="79"/>
      <c r="R491" s="507"/>
      <c r="S491" s="507"/>
      <c r="T491" s="507"/>
      <c r="U491" s="507"/>
      <c r="V491" s="507"/>
      <c r="W491" s="507"/>
      <c r="X491" s="267"/>
      <c r="Y491" s="267"/>
      <c r="Z491" s="267"/>
      <c r="AA491" s="267"/>
      <c r="AB491" s="267"/>
      <c r="AC491" s="267"/>
      <c r="AD491" s="267"/>
      <c r="AE491" s="267"/>
      <c r="AF491" s="267"/>
      <c r="AG491" s="267"/>
      <c r="AH491" s="267"/>
      <c r="AI491" s="267"/>
      <c r="AJ491" s="267"/>
      <c r="AK491" s="267"/>
      <c r="AL491" s="267"/>
      <c r="AM491" s="267"/>
      <c r="AN491" s="267"/>
      <c r="AO491" s="267"/>
      <c r="AP491" s="267"/>
      <c r="AQ491" s="267"/>
      <c r="AR491" s="267"/>
      <c r="AS491" s="267"/>
      <c r="AT491" s="267"/>
      <c r="AU491" s="267"/>
      <c r="AV491" s="267"/>
      <c r="AW491" s="267"/>
      <c r="AX491" s="267"/>
      <c r="AY491" s="267"/>
      <c r="AZ491" s="267"/>
      <c r="BA491" s="267"/>
      <c r="BB491" s="267"/>
      <c r="BC491" s="267"/>
      <c r="BD491" s="267"/>
      <c r="BE491" s="267"/>
      <c r="BF491" s="267"/>
      <c r="BG491" s="267"/>
      <c r="BH491" s="267"/>
      <c r="BI491" s="267"/>
      <c r="BJ491" s="267"/>
      <c r="BK491" s="414"/>
      <c r="BL491" s="414"/>
      <c r="BM491" s="414"/>
      <c r="BN491" s="267"/>
      <c r="BO491" s="267"/>
      <c r="BP491" s="267"/>
      <c r="BQ491" s="267"/>
      <c r="BR491" s="267"/>
      <c r="BS491" s="267"/>
      <c r="BT491" s="267"/>
      <c r="BU491" s="267"/>
      <c r="BV491" s="267"/>
      <c r="BW491" s="267"/>
      <c r="BX491" s="267"/>
      <c r="BY491" s="267"/>
      <c r="BZ491" s="269"/>
      <c r="CA491" s="269"/>
      <c r="CB491" s="269"/>
    </row>
    <row r="492" spans="1:80" ht="56.25" customHeight="1" x14ac:dyDescent="0.2">
      <c r="A492" s="42"/>
      <c r="B492" s="314"/>
      <c r="C492" s="883" t="s">
        <v>634</v>
      </c>
      <c r="D492" s="891" t="s">
        <v>635</v>
      </c>
      <c r="E492" s="883" t="s">
        <v>636</v>
      </c>
      <c r="F492" s="883" t="s">
        <v>637</v>
      </c>
      <c r="G492" s="49"/>
      <c r="H492" s="57">
        <v>184</v>
      </c>
      <c r="I492" s="729" t="s">
        <v>638</v>
      </c>
      <c r="J492" s="44">
        <v>1</v>
      </c>
      <c r="K492" s="190">
        <v>1</v>
      </c>
      <c r="L492" s="388">
        <v>0.7</v>
      </c>
      <c r="M492" s="884">
        <v>201700360050</v>
      </c>
      <c r="N492" s="895" t="s">
        <v>621</v>
      </c>
      <c r="O492" s="895" t="s">
        <v>639</v>
      </c>
      <c r="P492" s="890" t="s">
        <v>998</v>
      </c>
      <c r="Q492" s="169" t="s">
        <v>52</v>
      </c>
      <c r="R492" s="401"/>
      <c r="S492" s="401"/>
      <c r="T492" s="401"/>
      <c r="U492" s="401"/>
      <c r="V492" s="401"/>
      <c r="W492" s="401"/>
      <c r="X492" s="401"/>
      <c r="Y492" s="401"/>
      <c r="Z492" s="401"/>
      <c r="AA492" s="401"/>
      <c r="AB492" s="401"/>
      <c r="AC492" s="401"/>
      <c r="AD492" s="401"/>
      <c r="AE492" s="401"/>
      <c r="AF492" s="401"/>
      <c r="AG492" s="401"/>
      <c r="AH492" s="401"/>
      <c r="AI492" s="401"/>
      <c r="AJ492" s="401"/>
      <c r="AK492" s="401"/>
      <c r="AL492" s="401"/>
      <c r="AM492" s="401"/>
      <c r="AN492" s="401"/>
      <c r="AO492" s="401"/>
      <c r="AP492" s="401"/>
      <c r="AQ492" s="401"/>
      <c r="AR492" s="401"/>
      <c r="AS492" s="401"/>
      <c r="AT492" s="401"/>
      <c r="AU492" s="401"/>
      <c r="AV492" s="401"/>
      <c r="AW492" s="401"/>
      <c r="AX492" s="401"/>
      <c r="AY492" s="401"/>
      <c r="AZ492" s="401"/>
      <c r="BA492" s="401"/>
      <c r="BB492" s="401"/>
      <c r="BC492" s="401"/>
      <c r="BD492" s="401"/>
      <c r="BE492" s="401"/>
      <c r="BF492" s="401"/>
      <c r="BG492" s="401"/>
      <c r="BH492" s="401"/>
      <c r="BI492" s="403"/>
      <c r="BJ492" s="403"/>
      <c r="BK492" s="404">
        <f>90000000+350000000</f>
        <v>440000000</v>
      </c>
      <c r="BL492" s="631">
        <v>61812850</v>
      </c>
      <c r="BM492" s="631">
        <v>42710000</v>
      </c>
      <c r="BN492" s="404"/>
      <c r="BO492" s="404"/>
      <c r="BP492" s="404"/>
      <c r="BQ492" s="401"/>
      <c r="BR492" s="403"/>
      <c r="BS492" s="403"/>
      <c r="BT492" s="403"/>
      <c r="BU492" s="403"/>
      <c r="BV492" s="403"/>
      <c r="BW492" s="403"/>
      <c r="BX492" s="403"/>
      <c r="BY492" s="403"/>
      <c r="BZ492" s="401">
        <f t="shared" ref="BZ492:CB494" si="217">R492+U492+X492+AA492+AD492+AG492+AJ492+AM492+AP492+AS492+AV492+AY492+BB492+BE492+BH492+BK492+BN492+BQ492+BT492+BW492</f>
        <v>440000000</v>
      </c>
      <c r="CA492" s="401">
        <f t="shared" si="217"/>
        <v>61812850</v>
      </c>
      <c r="CB492" s="401">
        <f t="shared" si="217"/>
        <v>42710000</v>
      </c>
    </row>
    <row r="493" spans="1:80" ht="56.25" customHeight="1" x14ac:dyDescent="0.2">
      <c r="A493" s="42"/>
      <c r="B493" s="314"/>
      <c r="C493" s="883"/>
      <c r="D493" s="891"/>
      <c r="E493" s="883"/>
      <c r="F493" s="883"/>
      <c r="G493" s="49"/>
      <c r="H493" s="57">
        <v>185</v>
      </c>
      <c r="I493" s="729" t="s">
        <v>641</v>
      </c>
      <c r="J493" s="44" t="s">
        <v>43</v>
      </c>
      <c r="K493" s="190">
        <v>1</v>
      </c>
      <c r="L493" s="387">
        <v>0.7</v>
      </c>
      <c r="M493" s="885"/>
      <c r="N493" s="883"/>
      <c r="O493" s="883"/>
      <c r="P493" s="891"/>
      <c r="Q493" s="57" t="s">
        <v>52</v>
      </c>
      <c r="R493" s="401">
        <v>0</v>
      </c>
      <c r="S493" s="401"/>
      <c r="T493" s="401"/>
      <c r="U493" s="401">
        <v>0</v>
      </c>
      <c r="V493" s="401"/>
      <c r="W493" s="401"/>
      <c r="X493" s="401">
        <v>0</v>
      </c>
      <c r="Y493" s="401"/>
      <c r="Z493" s="401"/>
      <c r="AA493" s="401">
        <v>0</v>
      </c>
      <c r="AB493" s="401"/>
      <c r="AC493" s="401"/>
      <c r="AD493" s="401">
        <v>0</v>
      </c>
      <c r="AE493" s="401"/>
      <c r="AF493" s="401"/>
      <c r="AG493" s="401">
        <v>0</v>
      </c>
      <c r="AH493" s="401"/>
      <c r="AI493" s="401"/>
      <c r="AJ493" s="401">
        <v>0</v>
      </c>
      <c r="AK493" s="401"/>
      <c r="AL493" s="401"/>
      <c r="AM493" s="401"/>
      <c r="AN493" s="401"/>
      <c r="AO493" s="401"/>
      <c r="AP493" s="401"/>
      <c r="AQ493" s="401"/>
      <c r="AR493" s="401"/>
      <c r="AS493" s="401">
        <v>0</v>
      </c>
      <c r="AT493" s="401"/>
      <c r="AU493" s="401"/>
      <c r="AV493" s="401">
        <v>0</v>
      </c>
      <c r="AW493" s="401"/>
      <c r="AX493" s="401"/>
      <c r="AY493" s="401"/>
      <c r="AZ493" s="401"/>
      <c r="BA493" s="401"/>
      <c r="BB493" s="401"/>
      <c r="BC493" s="401"/>
      <c r="BD493" s="401"/>
      <c r="BE493" s="401">
        <v>0</v>
      </c>
      <c r="BF493" s="401"/>
      <c r="BG493" s="401"/>
      <c r="BH493" s="401">
        <v>0</v>
      </c>
      <c r="BI493" s="403"/>
      <c r="BJ493" s="403"/>
      <c r="BK493" s="404">
        <f>16500000+23500000</f>
        <v>40000000</v>
      </c>
      <c r="BL493" s="404">
        <v>22920000</v>
      </c>
      <c r="BM493" s="404">
        <v>20152000</v>
      </c>
      <c r="BN493" s="404"/>
      <c r="BO493" s="404"/>
      <c r="BP493" s="404"/>
      <c r="BQ493" s="401">
        <v>0</v>
      </c>
      <c r="BR493" s="403"/>
      <c r="BS493" s="403"/>
      <c r="BT493" s="403"/>
      <c r="BU493" s="403"/>
      <c r="BV493" s="403"/>
      <c r="BW493" s="403"/>
      <c r="BX493" s="403"/>
      <c r="BY493" s="403"/>
      <c r="BZ493" s="401">
        <f t="shared" si="217"/>
        <v>40000000</v>
      </c>
      <c r="CA493" s="401">
        <f t="shared" si="217"/>
        <v>22920000</v>
      </c>
      <c r="CB493" s="401">
        <f t="shared" si="217"/>
        <v>20152000</v>
      </c>
    </row>
    <row r="494" spans="1:80" ht="71.25" customHeight="1" x14ac:dyDescent="0.2">
      <c r="A494" s="42"/>
      <c r="B494" s="314"/>
      <c r="C494" s="883"/>
      <c r="D494" s="891"/>
      <c r="E494" s="883"/>
      <c r="F494" s="883"/>
      <c r="G494" s="92"/>
      <c r="H494" s="57">
        <v>186</v>
      </c>
      <c r="I494" s="729" t="s">
        <v>642</v>
      </c>
      <c r="J494" s="44" t="s">
        <v>43</v>
      </c>
      <c r="K494" s="190">
        <v>1</v>
      </c>
      <c r="L494" s="389">
        <v>0.7</v>
      </c>
      <c r="M494" s="886"/>
      <c r="N494" s="898"/>
      <c r="O494" s="898"/>
      <c r="P494" s="892"/>
      <c r="Q494" s="57" t="s">
        <v>52</v>
      </c>
      <c r="R494" s="401"/>
      <c r="S494" s="401"/>
      <c r="T494" s="401"/>
      <c r="U494" s="401"/>
      <c r="V494" s="401"/>
      <c r="W494" s="401"/>
      <c r="X494" s="401"/>
      <c r="Y494" s="401"/>
      <c r="Z494" s="401"/>
      <c r="AA494" s="401"/>
      <c r="AB494" s="401"/>
      <c r="AC494" s="401"/>
      <c r="AD494" s="401"/>
      <c r="AE494" s="401"/>
      <c r="AF494" s="401"/>
      <c r="AG494" s="401"/>
      <c r="AH494" s="401"/>
      <c r="AI494" s="401"/>
      <c r="AJ494" s="401"/>
      <c r="AK494" s="401"/>
      <c r="AL494" s="401"/>
      <c r="AM494" s="401"/>
      <c r="AN494" s="401"/>
      <c r="AO494" s="401"/>
      <c r="AP494" s="401"/>
      <c r="AQ494" s="401"/>
      <c r="AR494" s="401"/>
      <c r="AS494" s="401"/>
      <c r="AT494" s="401"/>
      <c r="AU494" s="401"/>
      <c r="AV494" s="401"/>
      <c r="AW494" s="401"/>
      <c r="AX494" s="401"/>
      <c r="AY494" s="401"/>
      <c r="AZ494" s="401"/>
      <c r="BA494" s="401"/>
      <c r="BB494" s="401"/>
      <c r="BC494" s="401"/>
      <c r="BD494" s="401"/>
      <c r="BE494" s="401"/>
      <c r="BF494" s="401"/>
      <c r="BG494" s="401"/>
      <c r="BH494" s="401"/>
      <c r="BI494" s="403"/>
      <c r="BJ494" s="403"/>
      <c r="BK494" s="404">
        <f>21000000+19000000</f>
        <v>40000000</v>
      </c>
      <c r="BL494" s="404">
        <v>31275150</v>
      </c>
      <c r="BM494" s="404">
        <v>10140000</v>
      </c>
      <c r="BN494" s="404"/>
      <c r="BO494" s="404"/>
      <c r="BP494" s="404"/>
      <c r="BQ494" s="401"/>
      <c r="BR494" s="403"/>
      <c r="BS494" s="403"/>
      <c r="BT494" s="403"/>
      <c r="BU494" s="403"/>
      <c r="BV494" s="403"/>
      <c r="BW494" s="403"/>
      <c r="BX494" s="403"/>
      <c r="BY494" s="403"/>
      <c r="BZ494" s="401">
        <f t="shared" si="217"/>
        <v>40000000</v>
      </c>
      <c r="CA494" s="401">
        <f t="shared" si="217"/>
        <v>31275150</v>
      </c>
      <c r="CB494" s="401">
        <f t="shared" si="217"/>
        <v>10140000</v>
      </c>
    </row>
    <row r="495" spans="1:80" ht="30" customHeight="1" x14ac:dyDescent="0.2">
      <c r="A495" s="42"/>
      <c r="B495" s="315"/>
      <c r="C495" s="548"/>
      <c r="D495" s="709"/>
      <c r="E495" s="714"/>
      <c r="F495" s="714"/>
      <c r="G495" s="58"/>
      <c r="H495" s="59"/>
      <c r="I495" s="58"/>
      <c r="J495" s="60"/>
      <c r="K495" s="196"/>
      <c r="L495" s="196"/>
      <c r="M495" s="196"/>
      <c r="N495" s="60"/>
      <c r="O495" s="59"/>
      <c r="P495" s="58"/>
      <c r="Q495" s="59"/>
      <c r="R495" s="410">
        <f t="shared" ref="R495:BZ495" si="218">SUM(R492:R494)</f>
        <v>0</v>
      </c>
      <c r="S495" s="410">
        <f t="shared" si="218"/>
        <v>0</v>
      </c>
      <c r="T495" s="410">
        <f t="shared" si="218"/>
        <v>0</v>
      </c>
      <c r="U495" s="410">
        <f t="shared" si="218"/>
        <v>0</v>
      </c>
      <c r="V495" s="410">
        <f t="shared" si="218"/>
        <v>0</v>
      </c>
      <c r="W495" s="410">
        <f t="shared" si="218"/>
        <v>0</v>
      </c>
      <c r="X495" s="410">
        <f t="shared" si="218"/>
        <v>0</v>
      </c>
      <c r="Y495" s="410">
        <f t="shared" si="218"/>
        <v>0</v>
      </c>
      <c r="Z495" s="410">
        <f t="shared" si="218"/>
        <v>0</v>
      </c>
      <c r="AA495" s="410">
        <f t="shared" si="218"/>
        <v>0</v>
      </c>
      <c r="AB495" s="410">
        <f t="shared" si="218"/>
        <v>0</v>
      </c>
      <c r="AC495" s="410">
        <f t="shared" si="218"/>
        <v>0</v>
      </c>
      <c r="AD495" s="410">
        <f t="shared" si="218"/>
        <v>0</v>
      </c>
      <c r="AE495" s="410">
        <f t="shared" si="218"/>
        <v>0</v>
      </c>
      <c r="AF495" s="410">
        <f t="shared" si="218"/>
        <v>0</v>
      </c>
      <c r="AG495" s="410">
        <f t="shared" si="218"/>
        <v>0</v>
      </c>
      <c r="AH495" s="410">
        <f t="shared" si="218"/>
        <v>0</v>
      </c>
      <c r="AI495" s="410">
        <f t="shared" si="218"/>
        <v>0</v>
      </c>
      <c r="AJ495" s="410">
        <f t="shared" si="218"/>
        <v>0</v>
      </c>
      <c r="AK495" s="410">
        <f t="shared" si="218"/>
        <v>0</v>
      </c>
      <c r="AL495" s="410">
        <f t="shared" si="218"/>
        <v>0</v>
      </c>
      <c r="AM495" s="410">
        <f t="shared" si="218"/>
        <v>0</v>
      </c>
      <c r="AN495" s="410">
        <f t="shared" si="218"/>
        <v>0</v>
      </c>
      <c r="AO495" s="410">
        <f t="shared" si="218"/>
        <v>0</v>
      </c>
      <c r="AP495" s="410">
        <f t="shared" si="218"/>
        <v>0</v>
      </c>
      <c r="AQ495" s="410">
        <f t="shared" si="218"/>
        <v>0</v>
      </c>
      <c r="AR495" s="410">
        <f t="shared" si="218"/>
        <v>0</v>
      </c>
      <c r="AS495" s="410">
        <f t="shared" si="218"/>
        <v>0</v>
      </c>
      <c r="AT495" s="410">
        <f t="shared" si="218"/>
        <v>0</v>
      </c>
      <c r="AU495" s="410">
        <f t="shared" si="218"/>
        <v>0</v>
      </c>
      <c r="AV495" s="410">
        <f t="shared" si="218"/>
        <v>0</v>
      </c>
      <c r="AW495" s="410">
        <f t="shared" si="218"/>
        <v>0</v>
      </c>
      <c r="AX495" s="410">
        <f t="shared" si="218"/>
        <v>0</v>
      </c>
      <c r="AY495" s="410">
        <f t="shared" si="218"/>
        <v>0</v>
      </c>
      <c r="AZ495" s="410">
        <f t="shared" si="218"/>
        <v>0</v>
      </c>
      <c r="BA495" s="410">
        <f t="shared" si="218"/>
        <v>0</v>
      </c>
      <c r="BB495" s="410">
        <f t="shared" si="218"/>
        <v>0</v>
      </c>
      <c r="BC495" s="410">
        <f t="shared" si="218"/>
        <v>0</v>
      </c>
      <c r="BD495" s="410">
        <f t="shared" si="218"/>
        <v>0</v>
      </c>
      <c r="BE495" s="410">
        <f t="shared" si="218"/>
        <v>0</v>
      </c>
      <c r="BF495" s="410">
        <f t="shared" si="218"/>
        <v>0</v>
      </c>
      <c r="BG495" s="410">
        <f t="shared" si="218"/>
        <v>0</v>
      </c>
      <c r="BH495" s="410">
        <f t="shared" si="218"/>
        <v>0</v>
      </c>
      <c r="BI495" s="410">
        <f t="shared" si="218"/>
        <v>0</v>
      </c>
      <c r="BJ495" s="410">
        <f t="shared" si="218"/>
        <v>0</v>
      </c>
      <c r="BK495" s="410">
        <f t="shared" si="218"/>
        <v>520000000</v>
      </c>
      <c r="BL495" s="410">
        <f t="shared" si="218"/>
        <v>116008000</v>
      </c>
      <c r="BM495" s="410">
        <f t="shared" si="218"/>
        <v>73002000</v>
      </c>
      <c r="BN495" s="410">
        <f t="shared" si="218"/>
        <v>0</v>
      </c>
      <c r="BO495" s="410">
        <f t="shared" si="218"/>
        <v>0</v>
      </c>
      <c r="BP495" s="410">
        <f t="shared" si="218"/>
        <v>0</v>
      </c>
      <c r="BQ495" s="410">
        <f t="shared" si="218"/>
        <v>0</v>
      </c>
      <c r="BR495" s="410">
        <f t="shared" si="218"/>
        <v>0</v>
      </c>
      <c r="BS495" s="410">
        <f t="shared" si="218"/>
        <v>0</v>
      </c>
      <c r="BT495" s="410">
        <f t="shared" si="218"/>
        <v>0</v>
      </c>
      <c r="BU495" s="410">
        <f t="shared" si="218"/>
        <v>0</v>
      </c>
      <c r="BV495" s="410">
        <f t="shared" si="218"/>
        <v>0</v>
      </c>
      <c r="BW495" s="410">
        <f t="shared" si="218"/>
        <v>0</v>
      </c>
      <c r="BX495" s="410">
        <f t="shared" si="218"/>
        <v>0</v>
      </c>
      <c r="BY495" s="410">
        <f t="shared" si="218"/>
        <v>0</v>
      </c>
      <c r="BZ495" s="410">
        <f t="shared" si="218"/>
        <v>520000000</v>
      </c>
      <c r="CA495" s="410">
        <f t="shared" ref="CA495:CB495" si="219">SUM(CA492:CA494)</f>
        <v>116008000</v>
      </c>
      <c r="CB495" s="410">
        <f t="shared" si="219"/>
        <v>73002000</v>
      </c>
    </row>
    <row r="496" spans="1:80" ht="30" customHeight="1" x14ac:dyDescent="0.2">
      <c r="A496" s="42"/>
      <c r="B496" s="315"/>
      <c r="C496" s="747"/>
      <c r="D496" s="748"/>
      <c r="E496" s="747"/>
      <c r="F496" s="747"/>
      <c r="G496" s="748"/>
      <c r="H496" s="747"/>
      <c r="I496" s="748"/>
      <c r="J496" s="749"/>
      <c r="K496" s="806"/>
      <c r="L496" s="806"/>
      <c r="M496" s="806"/>
      <c r="N496" s="749"/>
      <c r="O496" s="747"/>
      <c r="P496" s="748"/>
      <c r="Q496" s="747"/>
      <c r="R496" s="791"/>
      <c r="S496" s="791"/>
      <c r="T496" s="791"/>
      <c r="U496" s="792"/>
      <c r="V496" s="792"/>
      <c r="W496" s="792"/>
      <c r="X496" s="791"/>
      <c r="Y496" s="791"/>
      <c r="Z496" s="791"/>
      <c r="AA496" s="791"/>
      <c r="AB496" s="791"/>
      <c r="AC496" s="791"/>
      <c r="AD496" s="791"/>
      <c r="AE496" s="791"/>
      <c r="AF496" s="791"/>
      <c r="AG496" s="791"/>
      <c r="AH496" s="791"/>
      <c r="AI496" s="791"/>
      <c r="AJ496" s="791"/>
      <c r="AK496" s="791"/>
      <c r="AL496" s="791"/>
      <c r="AM496" s="791"/>
      <c r="AN496" s="791"/>
      <c r="AO496" s="791"/>
      <c r="AP496" s="791"/>
      <c r="AQ496" s="791"/>
      <c r="AR496" s="791"/>
      <c r="AS496" s="791"/>
      <c r="AT496" s="791"/>
      <c r="AU496" s="791"/>
      <c r="AV496" s="791"/>
      <c r="AW496" s="791"/>
      <c r="AX496" s="791"/>
      <c r="AY496" s="791"/>
      <c r="AZ496" s="791"/>
      <c r="BA496" s="791"/>
      <c r="BB496" s="791"/>
      <c r="BC496" s="791"/>
      <c r="BD496" s="791"/>
      <c r="BE496" s="791"/>
      <c r="BF496" s="791"/>
      <c r="BG496" s="791"/>
      <c r="BH496" s="791"/>
      <c r="BI496" s="791"/>
      <c r="BJ496" s="791"/>
      <c r="BK496" s="407"/>
      <c r="BL496" s="793"/>
      <c r="BM496" s="793"/>
      <c r="BN496" s="794"/>
      <c r="BO496" s="794"/>
      <c r="BP496" s="794"/>
      <c r="BQ496" s="791"/>
      <c r="BR496" s="791"/>
      <c r="BS496" s="791"/>
      <c r="BT496" s="791"/>
      <c r="BU496" s="791"/>
      <c r="BV496" s="791"/>
      <c r="BW496" s="791"/>
      <c r="BX496" s="791"/>
      <c r="BY496" s="791"/>
      <c r="BZ496" s="630"/>
      <c r="CA496" s="630"/>
      <c r="CB496" s="630"/>
    </row>
    <row r="497" spans="1:80" ht="30" customHeight="1" x14ac:dyDescent="0.2">
      <c r="A497" s="42"/>
      <c r="B497" s="315"/>
      <c r="C497" s="549"/>
      <c r="D497" s="707"/>
      <c r="E497" s="713"/>
      <c r="F497" s="713"/>
      <c r="G497" s="78">
        <v>60</v>
      </c>
      <c r="H497" s="79" t="s">
        <v>643</v>
      </c>
      <c r="I497" s="80"/>
      <c r="J497" s="80"/>
      <c r="K497" s="153"/>
      <c r="L497" s="153"/>
      <c r="M497" s="153"/>
      <c r="N497" s="173"/>
      <c r="O497" s="173"/>
      <c r="P497" s="80"/>
      <c r="Q497" s="80"/>
      <c r="R497" s="267"/>
      <c r="S497" s="267"/>
      <c r="T497" s="267"/>
      <c r="U497" s="267"/>
      <c r="V497" s="267"/>
      <c r="W497" s="267"/>
      <c r="X497" s="267"/>
      <c r="Y497" s="267"/>
      <c r="Z497" s="267"/>
      <c r="AA497" s="267"/>
      <c r="AB497" s="267"/>
      <c r="AC497" s="267"/>
      <c r="AD497" s="267"/>
      <c r="AE497" s="267"/>
      <c r="AF497" s="267"/>
      <c r="AG497" s="267"/>
      <c r="AH497" s="267"/>
      <c r="AI497" s="267"/>
      <c r="AJ497" s="267"/>
      <c r="AK497" s="267"/>
      <c r="AL497" s="267"/>
      <c r="AM497" s="267"/>
      <c r="AN497" s="267"/>
      <c r="AO497" s="267"/>
      <c r="AP497" s="267"/>
      <c r="AQ497" s="267"/>
      <c r="AR497" s="267"/>
      <c r="AS497" s="267"/>
      <c r="AT497" s="267"/>
      <c r="AU497" s="267"/>
      <c r="AV497" s="267"/>
      <c r="AW497" s="267"/>
      <c r="AX497" s="267"/>
      <c r="AY497" s="267"/>
      <c r="AZ497" s="267"/>
      <c r="BA497" s="267"/>
      <c r="BB497" s="267"/>
      <c r="BC497" s="267"/>
      <c r="BD497" s="267"/>
      <c r="BE497" s="267"/>
      <c r="BF497" s="267"/>
      <c r="BG497" s="267"/>
      <c r="BH497" s="267"/>
      <c r="BI497" s="267"/>
      <c r="BJ497" s="267"/>
      <c r="BK497" s="414"/>
      <c r="BL497" s="414"/>
      <c r="BM497" s="414"/>
      <c r="BN497" s="267"/>
      <c r="BO497" s="267"/>
      <c r="BP497" s="267"/>
      <c r="BQ497" s="267"/>
      <c r="BR497" s="267"/>
      <c r="BS497" s="267"/>
      <c r="BT497" s="267"/>
      <c r="BU497" s="267"/>
      <c r="BV497" s="267"/>
      <c r="BW497" s="267"/>
      <c r="BX497" s="267"/>
      <c r="BY497" s="267"/>
      <c r="BZ497" s="269"/>
      <c r="CA497" s="269"/>
      <c r="CB497" s="269"/>
    </row>
    <row r="498" spans="1:80" ht="53.25" customHeight="1" x14ac:dyDescent="0.2">
      <c r="A498" s="42"/>
      <c r="B498" s="314"/>
      <c r="C498" s="714">
        <v>22</v>
      </c>
      <c r="D498" s="709" t="s">
        <v>644</v>
      </c>
      <c r="E498" s="714" t="s">
        <v>645</v>
      </c>
      <c r="F498" s="714" t="s">
        <v>646</v>
      </c>
      <c r="G498" s="43"/>
      <c r="H498" s="57">
        <v>187</v>
      </c>
      <c r="I498" s="729" t="s">
        <v>647</v>
      </c>
      <c r="J498" s="44">
        <v>1</v>
      </c>
      <c r="K498" s="190">
        <v>1</v>
      </c>
      <c r="L498" s="390">
        <v>0.75</v>
      </c>
      <c r="M498" s="884">
        <v>201700360056</v>
      </c>
      <c r="N498" s="895" t="s">
        <v>621</v>
      </c>
      <c r="O498" s="895" t="s">
        <v>648</v>
      </c>
      <c r="P498" s="890" t="s">
        <v>999</v>
      </c>
      <c r="Q498" s="57" t="s">
        <v>52</v>
      </c>
      <c r="R498" s="401">
        <v>0</v>
      </c>
      <c r="S498" s="401"/>
      <c r="T498" s="401"/>
      <c r="U498" s="401">
        <v>0</v>
      </c>
      <c r="V498" s="401"/>
      <c r="W498" s="401"/>
      <c r="X498" s="401">
        <v>0</v>
      </c>
      <c r="Y498" s="401"/>
      <c r="Z498" s="401"/>
      <c r="AA498" s="401">
        <v>0</v>
      </c>
      <c r="AB498" s="401"/>
      <c r="AC498" s="401"/>
      <c r="AD498" s="401">
        <v>0</v>
      </c>
      <c r="AE498" s="401"/>
      <c r="AF498" s="401"/>
      <c r="AG498" s="401">
        <v>0</v>
      </c>
      <c r="AH498" s="401"/>
      <c r="AI498" s="401"/>
      <c r="AJ498" s="401">
        <v>0</v>
      </c>
      <c r="AK498" s="401"/>
      <c r="AL498" s="401"/>
      <c r="AM498" s="401"/>
      <c r="AN498" s="401"/>
      <c r="AO498" s="401"/>
      <c r="AP498" s="401"/>
      <c r="AQ498" s="401"/>
      <c r="AR498" s="401"/>
      <c r="AS498" s="401">
        <v>0</v>
      </c>
      <c r="AT498" s="401"/>
      <c r="AU498" s="401"/>
      <c r="AV498" s="401">
        <v>0</v>
      </c>
      <c r="AW498" s="401"/>
      <c r="AX498" s="401"/>
      <c r="AY498" s="401"/>
      <c r="AZ498" s="401"/>
      <c r="BA498" s="401"/>
      <c r="BB498" s="401"/>
      <c r="BC498" s="401"/>
      <c r="BD498" s="401"/>
      <c r="BE498" s="401">
        <v>0</v>
      </c>
      <c r="BF498" s="401"/>
      <c r="BG498" s="401"/>
      <c r="BH498" s="401">
        <v>0</v>
      </c>
      <c r="BI498" s="403"/>
      <c r="BJ498" s="403"/>
      <c r="BK498" s="404">
        <v>25000000</v>
      </c>
      <c r="BL498" s="404">
        <v>18000000</v>
      </c>
      <c r="BM498" s="404">
        <v>15000000</v>
      </c>
      <c r="BN498" s="404"/>
      <c r="BO498" s="404"/>
      <c r="BP498" s="404"/>
      <c r="BQ498" s="401">
        <v>0</v>
      </c>
      <c r="BR498" s="403"/>
      <c r="BS498" s="403"/>
      <c r="BT498" s="403"/>
      <c r="BU498" s="403"/>
      <c r="BV498" s="403"/>
      <c r="BW498" s="403"/>
      <c r="BX498" s="403"/>
      <c r="BY498" s="403"/>
      <c r="BZ498" s="401">
        <f t="shared" ref="BZ498:CB500" si="220">R498+U498+X498+AA498+AD498+AG498+AJ498+AM498+AP498+AS498+AV498+AY498+BB498+BE498+BH498+BK498+BN498+BQ498+BT498+BW498</f>
        <v>25000000</v>
      </c>
      <c r="CA498" s="401">
        <f t="shared" si="220"/>
        <v>18000000</v>
      </c>
      <c r="CB498" s="401">
        <f t="shared" si="220"/>
        <v>15000000</v>
      </c>
    </row>
    <row r="499" spans="1:80" ht="53.25" customHeight="1" x14ac:dyDescent="0.2">
      <c r="A499" s="42"/>
      <c r="B499" s="314"/>
      <c r="C499" s="727">
        <v>31</v>
      </c>
      <c r="D499" s="729" t="s">
        <v>650</v>
      </c>
      <c r="E499" s="263">
        <v>0.249</v>
      </c>
      <c r="F499" s="319">
        <v>0.2</v>
      </c>
      <c r="G499" s="49"/>
      <c r="H499" s="57">
        <v>188</v>
      </c>
      <c r="I499" s="729" t="s">
        <v>651</v>
      </c>
      <c r="J499" s="44" t="s">
        <v>43</v>
      </c>
      <c r="K499" s="190">
        <v>2</v>
      </c>
      <c r="L499" s="190">
        <v>2</v>
      </c>
      <c r="M499" s="885"/>
      <c r="N499" s="883"/>
      <c r="O499" s="883"/>
      <c r="P499" s="891"/>
      <c r="Q499" s="57" t="s">
        <v>52</v>
      </c>
      <c r="R499" s="401">
        <v>0</v>
      </c>
      <c r="S499" s="401"/>
      <c r="T499" s="401"/>
      <c r="U499" s="401">
        <v>0</v>
      </c>
      <c r="V499" s="401"/>
      <c r="W499" s="401"/>
      <c r="X499" s="401">
        <v>0</v>
      </c>
      <c r="Y499" s="401"/>
      <c r="Z499" s="401"/>
      <c r="AA499" s="401">
        <v>0</v>
      </c>
      <c r="AB499" s="401"/>
      <c r="AC499" s="401"/>
      <c r="AD499" s="401">
        <v>0</v>
      </c>
      <c r="AE499" s="401"/>
      <c r="AF499" s="401"/>
      <c r="AG499" s="401">
        <v>0</v>
      </c>
      <c r="AH499" s="401"/>
      <c r="AI499" s="401"/>
      <c r="AJ499" s="401">
        <v>0</v>
      </c>
      <c r="AK499" s="401"/>
      <c r="AL499" s="401"/>
      <c r="AM499" s="401"/>
      <c r="AN499" s="401"/>
      <c r="AO499" s="401"/>
      <c r="AP499" s="401"/>
      <c r="AQ499" s="401"/>
      <c r="AR499" s="401"/>
      <c r="AS499" s="401">
        <v>0</v>
      </c>
      <c r="AT499" s="401"/>
      <c r="AU499" s="401"/>
      <c r="AV499" s="401">
        <v>0</v>
      </c>
      <c r="AW499" s="401"/>
      <c r="AX499" s="401"/>
      <c r="AY499" s="401"/>
      <c r="AZ499" s="401"/>
      <c r="BA499" s="401"/>
      <c r="BB499" s="401"/>
      <c r="BC499" s="401"/>
      <c r="BD499" s="401"/>
      <c r="BE499" s="401">
        <v>0</v>
      </c>
      <c r="BF499" s="401"/>
      <c r="BG499" s="401"/>
      <c r="BH499" s="401">
        <v>0</v>
      </c>
      <c r="BI499" s="403"/>
      <c r="BJ499" s="403"/>
      <c r="BK499" s="404">
        <f>38000000</f>
        <v>38000000</v>
      </c>
      <c r="BL499" s="404">
        <v>29320000</v>
      </c>
      <c r="BM499" s="404">
        <v>21390000</v>
      </c>
      <c r="BN499" s="404"/>
      <c r="BO499" s="404"/>
      <c r="BP499" s="404"/>
      <c r="BQ499" s="401">
        <v>0</v>
      </c>
      <c r="BR499" s="403"/>
      <c r="BS499" s="403"/>
      <c r="BT499" s="403"/>
      <c r="BU499" s="403"/>
      <c r="BV499" s="403"/>
      <c r="BW499" s="403"/>
      <c r="BX499" s="403"/>
      <c r="BY499" s="403"/>
      <c r="BZ499" s="401">
        <f t="shared" si="220"/>
        <v>38000000</v>
      </c>
      <c r="CA499" s="401">
        <f t="shared" si="220"/>
        <v>29320000</v>
      </c>
      <c r="CB499" s="401">
        <f t="shared" si="220"/>
        <v>21390000</v>
      </c>
    </row>
    <row r="500" spans="1:80" ht="72" customHeight="1" x14ac:dyDescent="0.2">
      <c r="A500" s="42"/>
      <c r="B500" s="314"/>
      <c r="C500" s="713">
        <v>32</v>
      </c>
      <c r="D500" s="707" t="s">
        <v>652</v>
      </c>
      <c r="E500" s="713" t="s">
        <v>653</v>
      </c>
      <c r="F500" s="713" t="s">
        <v>654</v>
      </c>
      <c r="G500" s="49"/>
      <c r="H500" s="57">
        <v>189</v>
      </c>
      <c r="I500" s="729" t="s">
        <v>655</v>
      </c>
      <c r="J500" s="44" t="s">
        <v>43</v>
      </c>
      <c r="K500" s="190">
        <v>1</v>
      </c>
      <c r="L500" s="681">
        <v>0.75</v>
      </c>
      <c r="M500" s="886"/>
      <c r="N500" s="898"/>
      <c r="O500" s="898"/>
      <c r="P500" s="892"/>
      <c r="Q500" s="57" t="s">
        <v>52</v>
      </c>
      <c r="R500" s="401">
        <v>0</v>
      </c>
      <c r="S500" s="401"/>
      <c r="T500" s="401"/>
      <c r="U500" s="401">
        <v>0</v>
      </c>
      <c r="V500" s="401"/>
      <c r="W500" s="401"/>
      <c r="X500" s="401">
        <v>0</v>
      </c>
      <c r="Y500" s="401"/>
      <c r="Z500" s="401"/>
      <c r="AA500" s="401">
        <v>0</v>
      </c>
      <c r="AB500" s="401"/>
      <c r="AC500" s="401"/>
      <c r="AD500" s="401">
        <v>0</v>
      </c>
      <c r="AE500" s="401"/>
      <c r="AF500" s="401"/>
      <c r="AG500" s="401">
        <v>0</v>
      </c>
      <c r="AH500" s="401"/>
      <c r="AI500" s="401"/>
      <c r="AJ500" s="401">
        <v>0</v>
      </c>
      <c r="AK500" s="401"/>
      <c r="AL500" s="401"/>
      <c r="AM500" s="401"/>
      <c r="AN500" s="401"/>
      <c r="AO500" s="401"/>
      <c r="AP500" s="401"/>
      <c r="AQ500" s="401"/>
      <c r="AR500" s="401"/>
      <c r="AS500" s="401">
        <v>0</v>
      </c>
      <c r="AT500" s="401"/>
      <c r="AU500" s="401"/>
      <c r="AV500" s="401">
        <v>0</v>
      </c>
      <c r="AW500" s="401"/>
      <c r="AX500" s="401"/>
      <c r="AY500" s="401"/>
      <c r="AZ500" s="401"/>
      <c r="BA500" s="401"/>
      <c r="BB500" s="401"/>
      <c r="BC500" s="401"/>
      <c r="BD500" s="401"/>
      <c r="BE500" s="401">
        <v>0</v>
      </c>
      <c r="BF500" s="401"/>
      <c r="BG500" s="401"/>
      <c r="BH500" s="401">
        <v>0</v>
      </c>
      <c r="BI500" s="403"/>
      <c r="BJ500" s="403"/>
      <c r="BK500" s="404">
        <f>38000000</f>
        <v>38000000</v>
      </c>
      <c r="BL500" s="404">
        <v>33470000</v>
      </c>
      <c r="BM500" s="404">
        <v>4438000</v>
      </c>
      <c r="BN500" s="404"/>
      <c r="BO500" s="404"/>
      <c r="BP500" s="404"/>
      <c r="BQ500" s="401">
        <v>0</v>
      </c>
      <c r="BR500" s="403"/>
      <c r="BS500" s="403"/>
      <c r="BT500" s="403"/>
      <c r="BU500" s="403"/>
      <c r="BV500" s="403"/>
      <c r="BW500" s="403"/>
      <c r="BX500" s="403"/>
      <c r="BY500" s="403"/>
      <c r="BZ500" s="401">
        <f t="shared" si="220"/>
        <v>38000000</v>
      </c>
      <c r="CA500" s="401">
        <f t="shared" si="220"/>
        <v>33470000</v>
      </c>
      <c r="CB500" s="401">
        <f t="shared" si="220"/>
        <v>4438000</v>
      </c>
    </row>
    <row r="501" spans="1:80" ht="30" customHeight="1" x14ac:dyDescent="0.2">
      <c r="A501" s="42"/>
      <c r="B501" s="315"/>
      <c r="C501" s="548"/>
      <c r="D501" s="709"/>
      <c r="E501" s="714"/>
      <c r="F501" s="714"/>
      <c r="G501" s="58"/>
      <c r="H501" s="59"/>
      <c r="I501" s="58"/>
      <c r="J501" s="60"/>
      <c r="K501" s="196"/>
      <c r="L501" s="196"/>
      <c r="M501" s="196"/>
      <c r="N501" s="60"/>
      <c r="O501" s="59"/>
      <c r="P501" s="58"/>
      <c r="Q501" s="59"/>
      <c r="R501" s="410">
        <f t="shared" ref="R501:CB501" si="221">SUM(R498:R500)</f>
        <v>0</v>
      </c>
      <c r="S501" s="410">
        <f t="shared" si="221"/>
        <v>0</v>
      </c>
      <c r="T501" s="410">
        <f t="shared" si="221"/>
        <v>0</v>
      </c>
      <c r="U501" s="410">
        <f t="shared" si="221"/>
        <v>0</v>
      </c>
      <c r="V501" s="410">
        <f t="shared" si="221"/>
        <v>0</v>
      </c>
      <c r="W501" s="410">
        <f t="shared" si="221"/>
        <v>0</v>
      </c>
      <c r="X501" s="410">
        <f t="shared" si="221"/>
        <v>0</v>
      </c>
      <c r="Y501" s="410">
        <f t="shared" si="221"/>
        <v>0</v>
      </c>
      <c r="Z501" s="410">
        <f t="shared" si="221"/>
        <v>0</v>
      </c>
      <c r="AA501" s="410">
        <f t="shared" si="221"/>
        <v>0</v>
      </c>
      <c r="AB501" s="410">
        <f t="shared" si="221"/>
        <v>0</v>
      </c>
      <c r="AC501" s="410">
        <f t="shared" si="221"/>
        <v>0</v>
      </c>
      <c r="AD501" s="410">
        <f t="shared" si="221"/>
        <v>0</v>
      </c>
      <c r="AE501" s="410">
        <f t="shared" si="221"/>
        <v>0</v>
      </c>
      <c r="AF501" s="410">
        <f t="shared" si="221"/>
        <v>0</v>
      </c>
      <c r="AG501" s="410">
        <f t="shared" si="221"/>
        <v>0</v>
      </c>
      <c r="AH501" s="410">
        <f t="shared" si="221"/>
        <v>0</v>
      </c>
      <c r="AI501" s="410">
        <f t="shared" si="221"/>
        <v>0</v>
      </c>
      <c r="AJ501" s="410">
        <f t="shared" si="221"/>
        <v>0</v>
      </c>
      <c r="AK501" s="410">
        <f t="shared" si="221"/>
        <v>0</v>
      </c>
      <c r="AL501" s="410">
        <f t="shared" si="221"/>
        <v>0</v>
      </c>
      <c r="AM501" s="410">
        <f t="shared" si="221"/>
        <v>0</v>
      </c>
      <c r="AN501" s="410">
        <f t="shared" si="221"/>
        <v>0</v>
      </c>
      <c r="AO501" s="410">
        <f t="shared" si="221"/>
        <v>0</v>
      </c>
      <c r="AP501" s="410">
        <f t="shared" si="221"/>
        <v>0</v>
      </c>
      <c r="AQ501" s="410">
        <f t="shared" si="221"/>
        <v>0</v>
      </c>
      <c r="AR501" s="410">
        <f t="shared" si="221"/>
        <v>0</v>
      </c>
      <c r="AS501" s="410">
        <f t="shared" si="221"/>
        <v>0</v>
      </c>
      <c r="AT501" s="410">
        <f t="shared" si="221"/>
        <v>0</v>
      </c>
      <c r="AU501" s="410">
        <f t="shared" si="221"/>
        <v>0</v>
      </c>
      <c r="AV501" s="410">
        <f t="shared" si="221"/>
        <v>0</v>
      </c>
      <c r="AW501" s="410">
        <f t="shared" si="221"/>
        <v>0</v>
      </c>
      <c r="AX501" s="410">
        <f t="shared" si="221"/>
        <v>0</v>
      </c>
      <c r="AY501" s="410">
        <f t="shared" si="221"/>
        <v>0</v>
      </c>
      <c r="AZ501" s="410">
        <f t="shared" si="221"/>
        <v>0</v>
      </c>
      <c r="BA501" s="410">
        <f t="shared" si="221"/>
        <v>0</v>
      </c>
      <c r="BB501" s="410">
        <f t="shared" si="221"/>
        <v>0</v>
      </c>
      <c r="BC501" s="410">
        <f t="shared" si="221"/>
        <v>0</v>
      </c>
      <c r="BD501" s="410">
        <f t="shared" si="221"/>
        <v>0</v>
      </c>
      <c r="BE501" s="410">
        <f t="shared" si="221"/>
        <v>0</v>
      </c>
      <c r="BF501" s="410">
        <f t="shared" si="221"/>
        <v>0</v>
      </c>
      <c r="BG501" s="410">
        <f t="shared" si="221"/>
        <v>0</v>
      </c>
      <c r="BH501" s="410">
        <f t="shared" si="221"/>
        <v>0</v>
      </c>
      <c r="BI501" s="410">
        <f t="shared" si="221"/>
        <v>0</v>
      </c>
      <c r="BJ501" s="410">
        <f t="shared" si="221"/>
        <v>0</v>
      </c>
      <c r="BK501" s="410">
        <f t="shared" si="221"/>
        <v>101000000</v>
      </c>
      <c r="BL501" s="410">
        <f t="shared" si="221"/>
        <v>80790000</v>
      </c>
      <c r="BM501" s="410">
        <f t="shared" si="221"/>
        <v>40828000</v>
      </c>
      <c r="BN501" s="410">
        <f t="shared" si="221"/>
        <v>0</v>
      </c>
      <c r="BO501" s="410">
        <f t="shared" si="221"/>
        <v>0</v>
      </c>
      <c r="BP501" s="410">
        <f t="shared" si="221"/>
        <v>0</v>
      </c>
      <c r="BQ501" s="410">
        <f t="shared" si="221"/>
        <v>0</v>
      </c>
      <c r="BR501" s="410">
        <f t="shared" si="221"/>
        <v>0</v>
      </c>
      <c r="BS501" s="410">
        <f t="shared" si="221"/>
        <v>0</v>
      </c>
      <c r="BT501" s="410">
        <f t="shared" si="221"/>
        <v>0</v>
      </c>
      <c r="BU501" s="410">
        <f t="shared" si="221"/>
        <v>0</v>
      </c>
      <c r="BV501" s="410">
        <f t="shared" si="221"/>
        <v>0</v>
      </c>
      <c r="BW501" s="410">
        <f t="shared" si="221"/>
        <v>0</v>
      </c>
      <c r="BX501" s="410">
        <f t="shared" si="221"/>
        <v>0</v>
      </c>
      <c r="BY501" s="410">
        <f t="shared" si="221"/>
        <v>0</v>
      </c>
      <c r="BZ501" s="410">
        <f t="shared" si="221"/>
        <v>101000000</v>
      </c>
      <c r="CA501" s="410">
        <f t="shared" si="221"/>
        <v>80790000</v>
      </c>
      <c r="CB501" s="410">
        <f t="shared" si="221"/>
        <v>40828000</v>
      </c>
    </row>
    <row r="502" spans="1:80" ht="30" customHeight="1" x14ac:dyDescent="0.2">
      <c r="A502" s="42"/>
      <c r="B502" s="315"/>
      <c r="C502" s="747"/>
      <c r="D502" s="748"/>
      <c r="E502" s="747"/>
      <c r="F502" s="747"/>
      <c r="G502" s="748"/>
      <c r="H502" s="747"/>
      <c r="I502" s="748"/>
      <c r="J502" s="749"/>
      <c r="K502" s="806"/>
      <c r="L502" s="806"/>
      <c r="M502" s="806"/>
      <c r="N502" s="749"/>
      <c r="O502" s="747"/>
      <c r="P502" s="748"/>
      <c r="Q502" s="747"/>
      <c r="R502" s="791"/>
      <c r="S502" s="791"/>
      <c r="T502" s="791"/>
      <c r="U502" s="792"/>
      <c r="V502" s="792"/>
      <c r="W502" s="792"/>
      <c r="X502" s="791"/>
      <c r="Y502" s="791"/>
      <c r="Z502" s="791"/>
      <c r="AA502" s="791"/>
      <c r="AB502" s="791"/>
      <c r="AC502" s="791"/>
      <c r="AD502" s="791"/>
      <c r="AE502" s="791"/>
      <c r="AF502" s="791"/>
      <c r="AG502" s="791"/>
      <c r="AH502" s="791"/>
      <c r="AI502" s="791"/>
      <c r="AJ502" s="791"/>
      <c r="AK502" s="791"/>
      <c r="AL502" s="791"/>
      <c r="AM502" s="791"/>
      <c r="AN502" s="791"/>
      <c r="AO502" s="791"/>
      <c r="AP502" s="791"/>
      <c r="AQ502" s="791"/>
      <c r="AR502" s="791"/>
      <c r="AS502" s="791"/>
      <c r="AT502" s="791"/>
      <c r="AU502" s="791"/>
      <c r="AV502" s="791"/>
      <c r="AW502" s="791"/>
      <c r="AX502" s="791"/>
      <c r="AY502" s="791"/>
      <c r="AZ502" s="791"/>
      <c r="BA502" s="791"/>
      <c r="BB502" s="791"/>
      <c r="BC502" s="791"/>
      <c r="BD502" s="791"/>
      <c r="BE502" s="791"/>
      <c r="BF502" s="791"/>
      <c r="BG502" s="791"/>
      <c r="BH502" s="791"/>
      <c r="BI502" s="791"/>
      <c r="BJ502" s="791"/>
      <c r="BK502" s="407"/>
      <c r="BL502" s="793"/>
      <c r="BM502" s="793"/>
      <c r="BN502" s="794"/>
      <c r="BO502" s="794"/>
      <c r="BP502" s="794"/>
      <c r="BQ502" s="791"/>
      <c r="BR502" s="791"/>
      <c r="BS502" s="791"/>
      <c r="BT502" s="791"/>
      <c r="BU502" s="791"/>
      <c r="BV502" s="791"/>
      <c r="BW502" s="791"/>
      <c r="BX502" s="791"/>
      <c r="BY502" s="791"/>
      <c r="BZ502" s="630"/>
      <c r="CA502" s="630"/>
      <c r="CB502" s="630"/>
    </row>
    <row r="503" spans="1:80" ht="30" customHeight="1" x14ac:dyDescent="0.2">
      <c r="A503" s="42"/>
      <c r="B503" s="315"/>
      <c r="C503" s="549"/>
      <c r="D503" s="707"/>
      <c r="E503" s="713"/>
      <c r="F503" s="713"/>
      <c r="G503" s="78">
        <v>61</v>
      </c>
      <c r="H503" s="80" t="s">
        <v>656</v>
      </c>
      <c r="I503" s="80"/>
      <c r="J503" s="80"/>
      <c r="K503" s="153"/>
      <c r="L503" s="153"/>
      <c r="M503" s="153"/>
      <c r="N503" s="173"/>
      <c r="O503" s="173"/>
      <c r="P503" s="80"/>
      <c r="Q503" s="80"/>
      <c r="R503" s="267"/>
      <c r="S503" s="267"/>
      <c r="T503" s="267"/>
      <c r="U503" s="267"/>
      <c r="V503" s="267"/>
      <c r="W503" s="267"/>
      <c r="X503" s="267"/>
      <c r="Y503" s="267"/>
      <c r="Z503" s="267"/>
      <c r="AA503" s="267"/>
      <c r="AB503" s="267"/>
      <c r="AC503" s="267"/>
      <c r="AD503" s="267"/>
      <c r="AE503" s="267"/>
      <c r="AF503" s="267"/>
      <c r="AG503" s="267"/>
      <c r="AH503" s="267"/>
      <c r="AI503" s="267"/>
      <c r="AJ503" s="267"/>
      <c r="AK503" s="267"/>
      <c r="AL503" s="267"/>
      <c r="AM503" s="267"/>
      <c r="AN503" s="267"/>
      <c r="AO503" s="267"/>
      <c r="AP503" s="267"/>
      <c r="AQ503" s="267"/>
      <c r="AR503" s="267"/>
      <c r="AS503" s="267"/>
      <c r="AT503" s="267"/>
      <c r="AU503" s="267"/>
      <c r="AV503" s="267"/>
      <c r="AW503" s="267"/>
      <c r="AX503" s="267"/>
      <c r="AY503" s="267"/>
      <c r="AZ503" s="267"/>
      <c r="BA503" s="267"/>
      <c r="BB503" s="267"/>
      <c r="BC503" s="267"/>
      <c r="BD503" s="267"/>
      <c r="BE503" s="267"/>
      <c r="BF503" s="267"/>
      <c r="BG503" s="267"/>
      <c r="BH503" s="267"/>
      <c r="BI503" s="267"/>
      <c r="BJ503" s="267"/>
      <c r="BK503" s="414"/>
      <c r="BL503" s="414"/>
      <c r="BM503" s="414"/>
      <c r="BN503" s="267"/>
      <c r="BO503" s="267"/>
      <c r="BP503" s="267"/>
      <c r="BQ503" s="267"/>
      <c r="BR503" s="267"/>
      <c r="BS503" s="267"/>
      <c r="BT503" s="267"/>
      <c r="BU503" s="267"/>
      <c r="BV503" s="267"/>
      <c r="BW503" s="267"/>
      <c r="BX503" s="267"/>
      <c r="BY503" s="267"/>
      <c r="BZ503" s="269"/>
      <c r="CA503" s="269"/>
      <c r="CB503" s="269"/>
    </row>
    <row r="504" spans="1:80" ht="63.75" customHeight="1" x14ac:dyDescent="0.2">
      <c r="A504" s="42"/>
      <c r="B504" s="314"/>
      <c r="C504" s="702">
        <v>34</v>
      </c>
      <c r="D504" s="708" t="s">
        <v>657</v>
      </c>
      <c r="E504" s="702" t="s">
        <v>43</v>
      </c>
      <c r="F504" s="702">
        <v>40</v>
      </c>
      <c r="G504" s="43"/>
      <c r="H504" s="57">
        <v>190</v>
      </c>
      <c r="I504" s="729" t="s">
        <v>658</v>
      </c>
      <c r="J504" s="57">
        <v>1</v>
      </c>
      <c r="K504" s="169">
        <v>1</v>
      </c>
      <c r="L504" s="386">
        <v>0.8</v>
      </c>
      <c r="M504" s="46">
        <v>201700360057</v>
      </c>
      <c r="N504" s="57" t="s">
        <v>621</v>
      </c>
      <c r="O504" s="57" t="s">
        <v>659</v>
      </c>
      <c r="P504" s="729" t="s">
        <v>1000</v>
      </c>
      <c r="Q504" s="57" t="s">
        <v>52</v>
      </c>
      <c r="R504" s="401"/>
      <c r="S504" s="401"/>
      <c r="T504" s="401"/>
      <c r="U504" s="401"/>
      <c r="V504" s="401"/>
      <c r="W504" s="401"/>
      <c r="X504" s="401"/>
      <c r="Y504" s="401"/>
      <c r="Z504" s="401"/>
      <c r="AA504" s="401"/>
      <c r="AB504" s="401"/>
      <c r="AC504" s="401"/>
      <c r="AD504" s="401"/>
      <c r="AE504" s="401"/>
      <c r="AF504" s="401"/>
      <c r="AG504" s="401"/>
      <c r="AH504" s="401"/>
      <c r="AI504" s="401"/>
      <c r="AJ504" s="401"/>
      <c r="AK504" s="401"/>
      <c r="AL504" s="401"/>
      <c r="AM504" s="401"/>
      <c r="AN504" s="401"/>
      <c r="AO504" s="401"/>
      <c r="AP504" s="401"/>
      <c r="AQ504" s="401"/>
      <c r="AR504" s="401"/>
      <c r="AS504" s="401"/>
      <c r="AT504" s="401"/>
      <c r="AU504" s="401"/>
      <c r="AV504" s="401"/>
      <c r="AW504" s="401"/>
      <c r="AX504" s="401"/>
      <c r="AY504" s="401"/>
      <c r="AZ504" s="401"/>
      <c r="BA504" s="401"/>
      <c r="BB504" s="401"/>
      <c r="BC504" s="401"/>
      <c r="BD504" s="401"/>
      <c r="BE504" s="401"/>
      <c r="BF504" s="401"/>
      <c r="BG504" s="401"/>
      <c r="BH504" s="401"/>
      <c r="BI504" s="401"/>
      <c r="BJ504" s="401"/>
      <c r="BK504" s="402">
        <f>137000000+28810224+24189776</f>
        <v>190000000</v>
      </c>
      <c r="BL504" s="402">
        <v>99634000</v>
      </c>
      <c r="BM504" s="402">
        <v>62823200</v>
      </c>
      <c r="BN504" s="402"/>
      <c r="BO504" s="402"/>
      <c r="BP504" s="402"/>
      <c r="BQ504" s="401"/>
      <c r="BR504" s="403"/>
      <c r="BS504" s="403"/>
      <c r="BT504" s="403"/>
      <c r="BU504" s="403"/>
      <c r="BV504" s="403"/>
      <c r="BW504" s="403"/>
      <c r="BX504" s="403"/>
      <c r="BY504" s="403"/>
      <c r="BZ504" s="401">
        <f>R504+U504+X504+AA504+AD504+AG504+AJ504+AM504+AP504+AS504+AV504+AY504+BB504+BE504+BH504+BK504+BN504+BQ504+BT504+BW504</f>
        <v>190000000</v>
      </c>
      <c r="CA504" s="401">
        <f t="shared" ref="CA504:CB504" si="222">S504+V504+Y504+AB504+AE504+AH504+AK504+AN504+AQ504+AT504+AW504+AZ504+BC504+BF504+BI504+BL504+BO504+BR504+BU504+BX504</f>
        <v>99634000</v>
      </c>
      <c r="CB504" s="401">
        <f t="shared" si="222"/>
        <v>62823200</v>
      </c>
    </row>
    <row r="505" spans="1:80" ht="30" customHeight="1" x14ac:dyDescent="0.2">
      <c r="A505" s="42"/>
      <c r="B505" s="318"/>
      <c r="C505" s="548"/>
      <c r="D505" s="709"/>
      <c r="E505" s="714"/>
      <c r="F505" s="714"/>
      <c r="G505" s="58"/>
      <c r="H505" s="59"/>
      <c r="I505" s="58"/>
      <c r="J505" s="59"/>
      <c r="K505" s="191"/>
      <c r="L505" s="191"/>
      <c r="M505" s="191"/>
      <c r="N505" s="59"/>
      <c r="O505" s="59"/>
      <c r="P505" s="58"/>
      <c r="Q505" s="59"/>
      <c r="R505" s="476">
        <f t="shared" ref="R505:CB505" si="223">SUM(R504:R504)</f>
        <v>0</v>
      </c>
      <c r="S505" s="476">
        <f t="shared" si="223"/>
        <v>0</v>
      </c>
      <c r="T505" s="476">
        <f t="shared" si="223"/>
        <v>0</v>
      </c>
      <c r="U505" s="476">
        <f t="shared" si="223"/>
        <v>0</v>
      </c>
      <c r="V505" s="476">
        <f t="shared" si="223"/>
        <v>0</v>
      </c>
      <c r="W505" s="476">
        <f t="shared" si="223"/>
        <v>0</v>
      </c>
      <c r="X505" s="476">
        <f t="shared" si="223"/>
        <v>0</v>
      </c>
      <c r="Y505" s="476">
        <f t="shared" si="223"/>
        <v>0</v>
      </c>
      <c r="Z505" s="476">
        <f t="shared" si="223"/>
        <v>0</v>
      </c>
      <c r="AA505" s="476">
        <f t="shared" si="223"/>
        <v>0</v>
      </c>
      <c r="AB505" s="476">
        <f t="shared" si="223"/>
        <v>0</v>
      </c>
      <c r="AC505" s="476">
        <f t="shared" si="223"/>
        <v>0</v>
      </c>
      <c r="AD505" s="476">
        <f t="shared" si="223"/>
        <v>0</v>
      </c>
      <c r="AE505" s="476">
        <f t="shared" si="223"/>
        <v>0</v>
      </c>
      <c r="AF505" s="476">
        <f t="shared" si="223"/>
        <v>0</v>
      </c>
      <c r="AG505" s="476">
        <f t="shared" si="223"/>
        <v>0</v>
      </c>
      <c r="AH505" s="476">
        <f t="shared" si="223"/>
        <v>0</v>
      </c>
      <c r="AI505" s="476">
        <f t="shared" si="223"/>
        <v>0</v>
      </c>
      <c r="AJ505" s="476">
        <f t="shared" si="223"/>
        <v>0</v>
      </c>
      <c r="AK505" s="476">
        <f t="shared" si="223"/>
        <v>0</v>
      </c>
      <c r="AL505" s="476">
        <f t="shared" si="223"/>
        <v>0</v>
      </c>
      <c r="AM505" s="476">
        <f t="shared" si="223"/>
        <v>0</v>
      </c>
      <c r="AN505" s="476">
        <f t="shared" si="223"/>
        <v>0</v>
      </c>
      <c r="AO505" s="476">
        <f t="shared" si="223"/>
        <v>0</v>
      </c>
      <c r="AP505" s="476">
        <f t="shared" si="223"/>
        <v>0</v>
      </c>
      <c r="AQ505" s="476">
        <f t="shared" si="223"/>
        <v>0</v>
      </c>
      <c r="AR505" s="476">
        <f t="shared" si="223"/>
        <v>0</v>
      </c>
      <c r="AS505" s="476">
        <f t="shared" si="223"/>
        <v>0</v>
      </c>
      <c r="AT505" s="476">
        <f t="shared" si="223"/>
        <v>0</v>
      </c>
      <c r="AU505" s="476">
        <f t="shared" si="223"/>
        <v>0</v>
      </c>
      <c r="AV505" s="476">
        <f t="shared" si="223"/>
        <v>0</v>
      </c>
      <c r="AW505" s="476">
        <f t="shared" si="223"/>
        <v>0</v>
      </c>
      <c r="AX505" s="476">
        <f t="shared" si="223"/>
        <v>0</v>
      </c>
      <c r="AY505" s="476">
        <f t="shared" si="223"/>
        <v>0</v>
      </c>
      <c r="AZ505" s="476">
        <f t="shared" si="223"/>
        <v>0</v>
      </c>
      <c r="BA505" s="476">
        <f t="shared" si="223"/>
        <v>0</v>
      </c>
      <c r="BB505" s="476">
        <f t="shared" si="223"/>
        <v>0</v>
      </c>
      <c r="BC505" s="476">
        <f t="shared" si="223"/>
        <v>0</v>
      </c>
      <c r="BD505" s="476">
        <f t="shared" si="223"/>
        <v>0</v>
      </c>
      <c r="BE505" s="476">
        <f t="shared" si="223"/>
        <v>0</v>
      </c>
      <c r="BF505" s="476">
        <f t="shared" si="223"/>
        <v>0</v>
      </c>
      <c r="BG505" s="476">
        <f t="shared" si="223"/>
        <v>0</v>
      </c>
      <c r="BH505" s="476">
        <f t="shared" si="223"/>
        <v>0</v>
      </c>
      <c r="BI505" s="476">
        <f t="shared" si="223"/>
        <v>0</v>
      </c>
      <c r="BJ505" s="476">
        <f t="shared" si="223"/>
        <v>0</v>
      </c>
      <c r="BK505" s="476">
        <f t="shared" si="223"/>
        <v>190000000</v>
      </c>
      <c r="BL505" s="476">
        <f t="shared" si="223"/>
        <v>99634000</v>
      </c>
      <c r="BM505" s="476">
        <f t="shared" si="223"/>
        <v>62823200</v>
      </c>
      <c r="BN505" s="476">
        <f t="shared" si="223"/>
        <v>0</v>
      </c>
      <c r="BO505" s="476">
        <f t="shared" si="223"/>
        <v>0</v>
      </c>
      <c r="BP505" s="476">
        <f t="shared" si="223"/>
        <v>0</v>
      </c>
      <c r="BQ505" s="476">
        <f t="shared" si="223"/>
        <v>0</v>
      </c>
      <c r="BR505" s="476">
        <f t="shared" si="223"/>
        <v>0</v>
      </c>
      <c r="BS505" s="476">
        <f t="shared" si="223"/>
        <v>0</v>
      </c>
      <c r="BT505" s="476">
        <f t="shared" si="223"/>
        <v>0</v>
      </c>
      <c r="BU505" s="476">
        <f t="shared" si="223"/>
        <v>0</v>
      </c>
      <c r="BV505" s="476">
        <f t="shared" si="223"/>
        <v>0</v>
      </c>
      <c r="BW505" s="476">
        <f t="shared" si="223"/>
        <v>0</v>
      </c>
      <c r="BX505" s="476">
        <f t="shared" si="223"/>
        <v>0</v>
      </c>
      <c r="BY505" s="476">
        <f t="shared" si="223"/>
        <v>0</v>
      </c>
      <c r="BZ505" s="476">
        <f t="shared" si="223"/>
        <v>190000000</v>
      </c>
      <c r="CA505" s="476">
        <f t="shared" si="223"/>
        <v>99634000</v>
      </c>
      <c r="CB505" s="476">
        <f t="shared" si="223"/>
        <v>62823200</v>
      </c>
    </row>
    <row r="506" spans="1:80" ht="30" customHeight="1" x14ac:dyDescent="0.2">
      <c r="A506" s="42"/>
      <c r="B506" s="95"/>
      <c r="C506" s="63"/>
      <c r="D506" s="62"/>
      <c r="E506" s="63"/>
      <c r="F506" s="63"/>
      <c r="G506" s="62"/>
      <c r="H506" s="63"/>
      <c r="I506" s="62"/>
      <c r="J506" s="63"/>
      <c r="K506" s="208"/>
      <c r="L506" s="208"/>
      <c r="M506" s="208"/>
      <c r="N506" s="63"/>
      <c r="O506" s="63"/>
      <c r="P506" s="62"/>
      <c r="Q506" s="63"/>
      <c r="R506" s="477">
        <f t="shared" ref="R506:CB506" si="224">R505+R501+R495+R489</f>
        <v>0</v>
      </c>
      <c r="S506" s="477">
        <f t="shared" si="224"/>
        <v>0</v>
      </c>
      <c r="T506" s="477">
        <f t="shared" si="224"/>
        <v>0</v>
      </c>
      <c r="U506" s="477">
        <f t="shared" si="224"/>
        <v>0</v>
      </c>
      <c r="V506" s="477">
        <f t="shared" si="224"/>
        <v>0</v>
      </c>
      <c r="W506" s="477">
        <f t="shared" si="224"/>
        <v>0</v>
      </c>
      <c r="X506" s="477">
        <f t="shared" si="224"/>
        <v>0</v>
      </c>
      <c r="Y506" s="477">
        <f t="shared" si="224"/>
        <v>0</v>
      </c>
      <c r="Z506" s="477">
        <f t="shared" si="224"/>
        <v>0</v>
      </c>
      <c r="AA506" s="477">
        <f t="shared" si="224"/>
        <v>0</v>
      </c>
      <c r="AB506" s="477">
        <f t="shared" si="224"/>
        <v>0</v>
      </c>
      <c r="AC506" s="477">
        <f t="shared" si="224"/>
        <v>0</v>
      </c>
      <c r="AD506" s="477">
        <f t="shared" si="224"/>
        <v>0</v>
      </c>
      <c r="AE506" s="477">
        <f t="shared" si="224"/>
        <v>0</v>
      </c>
      <c r="AF506" s="477">
        <f t="shared" si="224"/>
        <v>0</v>
      </c>
      <c r="AG506" s="477">
        <f t="shared" si="224"/>
        <v>0</v>
      </c>
      <c r="AH506" s="477">
        <f t="shared" si="224"/>
        <v>0</v>
      </c>
      <c r="AI506" s="477">
        <f t="shared" si="224"/>
        <v>0</v>
      </c>
      <c r="AJ506" s="477">
        <f t="shared" si="224"/>
        <v>0</v>
      </c>
      <c r="AK506" s="477">
        <f t="shared" si="224"/>
        <v>0</v>
      </c>
      <c r="AL506" s="477">
        <f t="shared" si="224"/>
        <v>0</v>
      </c>
      <c r="AM506" s="477">
        <f t="shared" si="224"/>
        <v>0</v>
      </c>
      <c r="AN506" s="477">
        <f t="shared" si="224"/>
        <v>0</v>
      </c>
      <c r="AO506" s="477">
        <f t="shared" si="224"/>
        <v>0</v>
      </c>
      <c r="AP506" s="477">
        <f t="shared" si="224"/>
        <v>0</v>
      </c>
      <c r="AQ506" s="477">
        <f t="shared" si="224"/>
        <v>0</v>
      </c>
      <c r="AR506" s="477">
        <f t="shared" si="224"/>
        <v>0</v>
      </c>
      <c r="AS506" s="477">
        <f t="shared" si="224"/>
        <v>0</v>
      </c>
      <c r="AT506" s="477">
        <f t="shared" si="224"/>
        <v>0</v>
      </c>
      <c r="AU506" s="477">
        <f t="shared" si="224"/>
        <v>0</v>
      </c>
      <c r="AV506" s="477">
        <f t="shared" si="224"/>
        <v>0</v>
      </c>
      <c r="AW506" s="477">
        <f t="shared" si="224"/>
        <v>0</v>
      </c>
      <c r="AX506" s="477">
        <f t="shared" si="224"/>
        <v>0</v>
      </c>
      <c r="AY506" s="477">
        <f t="shared" si="224"/>
        <v>0</v>
      </c>
      <c r="AZ506" s="477">
        <f t="shared" si="224"/>
        <v>0</v>
      </c>
      <c r="BA506" s="477">
        <f t="shared" si="224"/>
        <v>0</v>
      </c>
      <c r="BB506" s="477">
        <f t="shared" si="224"/>
        <v>0</v>
      </c>
      <c r="BC506" s="477">
        <f t="shared" si="224"/>
        <v>0</v>
      </c>
      <c r="BD506" s="477">
        <f t="shared" si="224"/>
        <v>0</v>
      </c>
      <c r="BE506" s="477">
        <f t="shared" si="224"/>
        <v>0</v>
      </c>
      <c r="BF506" s="477">
        <f t="shared" si="224"/>
        <v>0</v>
      </c>
      <c r="BG506" s="477">
        <f t="shared" si="224"/>
        <v>0</v>
      </c>
      <c r="BH506" s="477">
        <f t="shared" si="224"/>
        <v>0</v>
      </c>
      <c r="BI506" s="477">
        <f t="shared" si="224"/>
        <v>0</v>
      </c>
      <c r="BJ506" s="477">
        <f t="shared" si="224"/>
        <v>0</v>
      </c>
      <c r="BK506" s="477">
        <f t="shared" si="224"/>
        <v>991000000</v>
      </c>
      <c r="BL506" s="477">
        <f t="shared" si="224"/>
        <v>436208666</v>
      </c>
      <c r="BM506" s="477">
        <f t="shared" si="224"/>
        <v>238571200</v>
      </c>
      <c r="BN506" s="477">
        <f t="shared" si="224"/>
        <v>0</v>
      </c>
      <c r="BO506" s="477">
        <f t="shared" si="224"/>
        <v>0</v>
      </c>
      <c r="BP506" s="477">
        <f t="shared" si="224"/>
        <v>0</v>
      </c>
      <c r="BQ506" s="477">
        <f t="shared" si="224"/>
        <v>0</v>
      </c>
      <c r="BR506" s="477">
        <f t="shared" si="224"/>
        <v>0</v>
      </c>
      <c r="BS506" s="477">
        <f t="shared" si="224"/>
        <v>0</v>
      </c>
      <c r="BT506" s="477">
        <f t="shared" si="224"/>
        <v>0</v>
      </c>
      <c r="BU506" s="477">
        <f t="shared" si="224"/>
        <v>0</v>
      </c>
      <c r="BV506" s="477">
        <f t="shared" si="224"/>
        <v>0</v>
      </c>
      <c r="BW506" s="477">
        <f t="shared" si="224"/>
        <v>0</v>
      </c>
      <c r="BX506" s="477">
        <f t="shared" si="224"/>
        <v>0</v>
      </c>
      <c r="BY506" s="477">
        <f t="shared" si="224"/>
        <v>0</v>
      </c>
      <c r="BZ506" s="477">
        <f t="shared" si="224"/>
        <v>991000000</v>
      </c>
      <c r="CA506" s="477">
        <f t="shared" si="224"/>
        <v>436208666</v>
      </c>
      <c r="CB506" s="477">
        <f t="shared" si="224"/>
        <v>238571200</v>
      </c>
    </row>
    <row r="507" spans="1:80" ht="30" customHeight="1" x14ac:dyDescent="0.2">
      <c r="A507" s="42"/>
      <c r="B507" s="311"/>
      <c r="C507" s="312"/>
      <c r="D507" s="72"/>
      <c r="E507" s="150"/>
      <c r="F507" s="150"/>
      <c r="G507" s="72"/>
      <c r="H507" s="150"/>
      <c r="I507" s="72"/>
      <c r="J507" s="150"/>
      <c r="K507" s="195"/>
      <c r="L507" s="195"/>
      <c r="M507" s="195"/>
      <c r="N507" s="150"/>
      <c r="O507" s="150"/>
      <c r="P507" s="72"/>
      <c r="Q507" s="150"/>
      <c r="R507" s="405"/>
      <c r="S507" s="405"/>
      <c r="T507" s="405"/>
      <c r="U507" s="405"/>
      <c r="V507" s="405"/>
      <c r="W507" s="405"/>
      <c r="X507" s="405"/>
      <c r="Y507" s="405"/>
      <c r="Z507" s="405"/>
      <c r="AA507" s="405"/>
      <c r="AB507" s="405"/>
      <c r="AC507" s="405"/>
      <c r="AD507" s="405"/>
      <c r="AE507" s="405"/>
      <c r="AF507" s="405"/>
      <c r="AG507" s="405"/>
      <c r="AH507" s="405"/>
      <c r="AI507" s="405"/>
      <c r="AJ507" s="405"/>
      <c r="AK507" s="405"/>
      <c r="AL507" s="405"/>
      <c r="AM507" s="405"/>
      <c r="AN507" s="405"/>
      <c r="AO507" s="405"/>
      <c r="AP507" s="405"/>
      <c r="AQ507" s="405"/>
      <c r="AR507" s="405"/>
      <c r="AS507" s="405"/>
      <c r="AT507" s="405"/>
      <c r="AU507" s="405"/>
      <c r="AV507" s="405"/>
      <c r="AW507" s="405"/>
      <c r="AX507" s="405"/>
      <c r="AY507" s="406"/>
      <c r="AZ507" s="406"/>
      <c r="BA507" s="406"/>
      <c r="BB507" s="406"/>
      <c r="BC507" s="406"/>
      <c r="BD507" s="406"/>
      <c r="BE507" s="405"/>
      <c r="BF507" s="405"/>
      <c r="BG507" s="405"/>
      <c r="BH507" s="405"/>
      <c r="BI507" s="791"/>
      <c r="BJ507" s="791"/>
      <c r="BK507" s="801" t="s">
        <v>69</v>
      </c>
      <c r="BL507" s="801"/>
      <c r="BM507" s="801"/>
      <c r="BN507" s="408"/>
      <c r="BO507" s="408"/>
      <c r="BP507" s="408"/>
      <c r="BQ507" s="405"/>
      <c r="BR507" s="405"/>
      <c r="BS507" s="405"/>
      <c r="BT507" s="405"/>
      <c r="BU507" s="405"/>
      <c r="BV507" s="405"/>
      <c r="BW507" s="405"/>
      <c r="BX507" s="405"/>
      <c r="BY507" s="405"/>
      <c r="BZ507" s="409"/>
      <c r="CA507" s="409"/>
      <c r="CB507" s="409"/>
    </row>
    <row r="508" spans="1:80" ht="30" customHeight="1" x14ac:dyDescent="0.2">
      <c r="A508" s="42"/>
      <c r="B508" s="125">
        <v>18</v>
      </c>
      <c r="C508" s="38" t="s">
        <v>661</v>
      </c>
      <c r="D508" s="39"/>
      <c r="E508" s="39"/>
      <c r="F508" s="39"/>
      <c r="G508" s="39"/>
      <c r="H508" s="40"/>
      <c r="I508" s="39"/>
      <c r="J508" s="39"/>
      <c r="K508" s="201"/>
      <c r="L508" s="201"/>
      <c r="M508" s="201"/>
      <c r="N508" s="40"/>
      <c r="O508" s="40"/>
      <c r="P508" s="39"/>
      <c r="Q508" s="39"/>
      <c r="R508" s="412"/>
      <c r="S508" s="412"/>
      <c r="T508" s="412"/>
      <c r="U508" s="412"/>
      <c r="V508" s="412"/>
      <c r="W508" s="412"/>
      <c r="X508" s="412"/>
      <c r="Y508" s="412"/>
      <c r="Z508" s="412"/>
      <c r="AA508" s="412"/>
      <c r="AB508" s="412"/>
      <c r="AC508" s="412"/>
      <c r="AD508" s="412"/>
      <c r="AE508" s="412"/>
      <c r="AF508" s="412"/>
      <c r="AG508" s="412"/>
      <c r="AH508" s="412"/>
      <c r="AI508" s="412"/>
      <c r="AJ508" s="412"/>
      <c r="AK508" s="412"/>
      <c r="AL508" s="412"/>
      <c r="AM508" s="412"/>
      <c r="AN508" s="412"/>
      <c r="AO508" s="412"/>
      <c r="AP508" s="412"/>
      <c r="AQ508" s="412"/>
      <c r="AR508" s="412"/>
      <c r="AS508" s="412"/>
      <c r="AT508" s="412"/>
      <c r="AU508" s="412"/>
      <c r="AV508" s="412"/>
      <c r="AW508" s="412"/>
      <c r="AX508" s="412"/>
      <c r="AY508" s="412"/>
      <c r="AZ508" s="412"/>
      <c r="BA508" s="412"/>
      <c r="BB508" s="412"/>
      <c r="BC508" s="412"/>
      <c r="BD508" s="412"/>
      <c r="BE508" s="412"/>
      <c r="BF508" s="412"/>
      <c r="BG508" s="412"/>
      <c r="BH508" s="412"/>
      <c r="BI508" s="412"/>
      <c r="BJ508" s="412"/>
      <c r="BK508" s="413"/>
      <c r="BL508" s="413"/>
      <c r="BM508" s="413"/>
      <c r="BN508" s="412"/>
      <c r="BO508" s="412"/>
      <c r="BP508" s="412"/>
      <c r="BQ508" s="412"/>
      <c r="BR508" s="412"/>
      <c r="BS508" s="412"/>
      <c r="BT508" s="412"/>
      <c r="BU508" s="412"/>
      <c r="BV508" s="412"/>
      <c r="BW508" s="412"/>
      <c r="BX508" s="412"/>
      <c r="BY508" s="412"/>
      <c r="BZ508" s="417"/>
      <c r="CA508" s="417"/>
      <c r="CB508" s="417"/>
    </row>
    <row r="509" spans="1:80" ht="30" customHeight="1" x14ac:dyDescent="0.2">
      <c r="A509" s="42"/>
      <c r="B509" s="313"/>
      <c r="C509" s="547"/>
      <c r="D509" s="707"/>
      <c r="E509" s="713"/>
      <c r="F509" s="713"/>
      <c r="G509" s="219">
        <v>62</v>
      </c>
      <c r="H509" s="80" t="s">
        <v>662</v>
      </c>
      <c r="I509" s="80"/>
      <c r="J509" s="80"/>
      <c r="K509" s="153"/>
      <c r="L509" s="153"/>
      <c r="M509" s="153"/>
      <c r="N509" s="173"/>
      <c r="O509" s="173"/>
      <c r="P509" s="80"/>
      <c r="Q509" s="80"/>
      <c r="R509" s="267"/>
      <c r="S509" s="267"/>
      <c r="T509" s="267"/>
      <c r="U509" s="267"/>
      <c r="V509" s="267"/>
      <c r="W509" s="267"/>
      <c r="X509" s="267"/>
      <c r="Y509" s="267"/>
      <c r="Z509" s="267"/>
      <c r="AA509" s="267"/>
      <c r="AB509" s="267"/>
      <c r="AC509" s="267"/>
      <c r="AD509" s="267"/>
      <c r="AE509" s="267"/>
      <c r="AF509" s="267"/>
      <c r="AG509" s="267"/>
      <c r="AH509" s="267"/>
      <c r="AI509" s="267"/>
      <c r="AJ509" s="267"/>
      <c r="AK509" s="267"/>
      <c r="AL509" s="267"/>
      <c r="AM509" s="267"/>
      <c r="AN509" s="267"/>
      <c r="AO509" s="267"/>
      <c r="AP509" s="267"/>
      <c r="AQ509" s="267"/>
      <c r="AR509" s="267"/>
      <c r="AS509" s="267"/>
      <c r="AT509" s="267"/>
      <c r="AU509" s="267"/>
      <c r="AV509" s="267"/>
      <c r="AW509" s="267"/>
      <c r="AX509" s="267"/>
      <c r="AY509" s="267"/>
      <c r="AZ509" s="267"/>
      <c r="BA509" s="267"/>
      <c r="BB509" s="267"/>
      <c r="BC509" s="267"/>
      <c r="BD509" s="267"/>
      <c r="BE509" s="267"/>
      <c r="BF509" s="267"/>
      <c r="BG509" s="267"/>
      <c r="BH509" s="267"/>
      <c r="BI509" s="267"/>
      <c r="BJ509" s="267"/>
      <c r="BK509" s="414"/>
      <c r="BL509" s="414"/>
      <c r="BM509" s="414"/>
      <c r="BN509" s="267"/>
      <c r="BO509" s="267"/>
      <c r="BP509" s="267"/>
      <c r="BQ509" s="267"/>
      <c r="BR509" s="267"/>
      <c r="BS509" s="267"/>
      <c r="BT509" s="267"/>
      <c r="BU509" s="267"/>
      <c r="BV509" s="267"/>
      <c r="BW509" s="267"/>
      <c r="BX509" s="267"/>
      <c r="BY509" s="267"/>
      <c r="BZ509" s="269"/>
      <c r="CA509" s="269"/>
      <c r="CB509" s="269"/>
    </row>
    <row r="510" spans="1:80" ht="105" customHeight="1" x14ac:dyDescent="0.2">
      <c r="A510" s="42"/>
      <c r="B510" s="314"/>
      <c r="C510" s="714">
        <v>22</v>
      </c>
      <c r="D510" s="709" t="s">
        <v>644</v>
      </c>
      <c r="E510" s="714" t="s">
        <v>645</v>
      </c>
      <c r="F510" s="714" t="s">
        <v>646</v>
      </c>
      <c r="G510" s="43"/>
      <c r="H510" s="57">
        <v>191</v>
      </c>
      <c r="I510" s="729" t="s">
        <v>663</v>
      </c>
      <c r="J510" s="57" t="s">
        <v>43</v>
      </c>
      <c r="K510" s="169">
        <v>1</v>
      </c>
      <c r="L510" s="169">
        <v>1</v>
      </c>
      <c r="M510" s="46">
        <v>201700360051</v>
      </c>
      <c r="N510" s="57" t="s">
        <v>621</v>
      </c>
      <c r="O510" s="57" t="s">
        <v>664</v>
      </c>
      <c r="P510" s="729" t="s">
        <v>665</v>
      </c>
      <c r="Q510" s="169" t="s">
        <v>52</v>
      </c>
      <c r="R510" s="401">
        <v>0</v>
      </c>
      <c r="S510" s="401"/>
      <c r="T510" s="401"/>
      <c r="U510" s="401">
        <v>0</v>
      </c>
      <c r="V510" s="401"/>
      <c r="W510" s="401"/>
      <c r="X510" s="401">
        <v>0</v>
      </c>
      <c r="Y510" s="401"/>
      <c r="Z510" s="401"/>
      <c r="AA510" s="401">
        <v>0</v>
      </c>
      <c r="AB510" s="401"/>
      <c r="AC510" s="401"/>
      <c r="AD510" s="401">
        <v>0</v>
      </c>
      <c r="AE510" s="401"/>
      <c r="AF510" s="401"/>
      <c r="AG510" s="401">
        <v>0</v>
      </c>
      <c r="AH510" s="401"/>
      <c r="AI510" s="401"/>
      <c r="AJ510" s="401">
        <v>0</v>
      </c>
      <c r="AK510" s="401"/>
      <c r="AL510" s="401"/>
      <c r="AM510" s="401"/>
      <c r="AN510" s="401"/>
      <c r="AO510" s="401"/>
      <c r="AP510" s="401"/>
      <c r="AQ510" s="401"/>
      <c r="AR510" s="401"/>
      <c r="AS510" s="401">
        <v>0</v>
      </c>
      <c r="AT510" s="401"/>
      <c r="AU510" s="401"/>
      <c r="AV510" s="401">
        <v>0</v>
      </c>
      <c r="AW510" s="401"/>
      <c r="AX510" s="401"/>
      <c r="AY510" s="401"/>
      <c r="AZ510" s="401"/>
      <c r="BA510" s="401"/>
      <c r="BB510" s="401"/>
      <c r="BC510" s="401"/>
      <c r="BD510" s="401"/>
      <c r="BE510" s="401">
        <v>0</v>
      </c>
      <c r="BF510" s="401"/>
      <c r="BG510" s="401"/>
      <c r="BH510" s="401">
        <v>0</v>
      </c>
      <c r="BI510" s="401"/>
      <c r="BJ510" s="401"/>
      <c r="BK510" s="402">
        <f>1015000000+170000000</f>
        <v>1185000000</v>
      </c>
      <c r="BL510" s="402">
        <v>657949999</v>
      </c>
      <c r="BM510" s="402">
        <v>218735600</v>
      </c>
      <c r="BN510" s="415"/>
      <c r="BO510" s="415"/>
      <c r="BP510" s="415"/>
      <c r="BQ510" s="401">
        <v>0</v>
      </c>
      <c r="BR510" s="403"/>
      <c r="BS510" s="403"/>
      <c r="BT510" s="403"/>
      <c r="BU510" s="403"/>
      <c r="BV510" s="403"/>
      <c r="BW510" s="403"/>
      <c r="BX510" s="403"/>
      <c r="BY510" s="403"/>
      <c r="BZ510" s="401">
        <f t="shared" ref="BZ510:CB511" si="225">R510+U510+X510+AA510+AD510+AG510+AJ510+AM510+AP510+AS510+AV510+AY510+BB510+BE510+BH510+BK510+BN510+BQ510+BT510+BW510</f>
        <v>1185000000</v>
      </c>
      <c r="CA510" s="401">
        <f t="shared" si="225"/>
        <v>657949999</v>
      </c>
      <c r="CB510" s="401">
        <f t="shared" si="225"/>
        <v>218735600</v>
      </c>
    </row>
    <row r="511" spans="1:80" ht="71.25" customHeight="1" x14ac:dyDescent="0.2">
      <c r="A511" s="42"/>
      <c r="B511" s="314"/>
      <c r="C511" s="713">
        <v>22</v>
      </c>
      <c r="D511" s="707" t="s">
        <v>644</v>
      </c>
      <c r="E511" s="713" t="s">
        <v>645</v>
      </c>
      <c r="F511" s="713" t="s">
        <v>646</v>
      </c>
      <c r="G511" s="49"/>
      <c r="H511" s="57">
        <v>192</v>
      </c>
      <c r="I511" s="729" t="s">
        <v>666</v>
      </c>
      <c r="J511" s="57">
        <v>1</v>
      </c>
      <c r="K511" s="169">
        <v>1</v>
      </c>
      <c r="L511" s="386">
        <v>0.8</v>
      </c>
      <c r="M511" s="46">
        <v>201700360085</v>
      </c>
      <c r="N511" s="57" t="s">
        <v>621</v>
      </c>
      <c r="O511" s="57" t="s">
        <v>667</v>
      </c>
      <c r="P511" s="729" t="s">
        <v>1001</v>
      </c>
      <c r="Q511" s="169" t="s">
        <v>52</v>
      </c>
      <c r="R511" s="401">
        <v>0</v>
      </c>
      <c r="S511" s="401"/>
      <c r="T511" s="401"/>
      <c r="U511" s="401">
        <v>0</v>
      </c>
      <c r="V511" s="401"/>
      <c r="W511" s="401"/>
      <c r="X511" s="401">
        <v>0</v>
      </c>
      <c r="Y511" s="401"/>
      <c r="Z511" s="401"/>
      <c r="AA511" s="401">
        <v>0</v>
      </c>
      <c r="AB511" s="401"/>
      <c r="AC511" s="401"/>
      <c r="AD511" s="401">
        <v>0</v>
      </c>
      <c r="AE511" s="401"/>
      <c r="AF511" s="401"/>
      <c r="AG511" s="401">
        <v>0</v>
      </c>
      <c r="AH511" s="401"/>
      <c r="AI511" s="401"/>
      <c r="AJ511" s="401">
        <v>0</v>
      </c>
      <c r="AK511" s="401"/>
      <c r="AL511" s="401"/>
      <c r="AM511" s="401"/>
      <c r="AN511" s="401"/>
      <c r="AO511" s="401"/>
      <c r="AP511" s="401"/>
      <c r="AQ511" s="401"/>
      <c r="AR511" s="401"/>
      <c r="AS511" s="401">
        <v>0</v>
      </c>
      <c r="AT511" s="401"/>
      <c r="AU511" s="401"/>
      <c r="AV511" s="401">
        <v>0</v>
      </c>
      <c r="AW511" s="401"/>
      <c r="AX511" s="401"/>
      <c r="AY511" s="401"/>
      <c r="AZ511" s="401"/>
      <c r="BA511" s="401"/>
      <c r="BB511" s="401"/>
      <c r="BC511" s="401"/>
      <c r="BD511" s="401"/>
      <c r="BE511" s="401">
        <v>0</v>
      </c>
      <c r="BF511" s="401"/>
      <c r="BG511" s="401"/>
      <c r="BH511" s="401">
        <v>0</v>
      </c>
      <c r="BI511" s="401"/>
      <c r="BJ511" s="401"/>
      <c r="BK511" s="402">
        <f>43000000+37000000</f>
        <v>80000000</v>
      </c>
      <c r="BL511" s="402">
        <v>42560000</v>
      </c>
      <c r="BM511" s="402">
        <v>27229000</v>
      </c>
      <c r="BN511" s="415"/>
      <c r="BO511" s="415"/>
      <c r="BP511" s="415"/>
      <c r="BQ511" s="401">
        <v>0</v>
      </c>
      <c r="BR511" s="403"/>
      <c r="BS511" s="403"/>
      <c r="BT511" s="403"/>
      <c r="BU511" s="403"/>
      <c r="BV511" s="403"/>
      <c r="BW511" s="403"/>
      <c r="BX511" s="403"/>
      <c r="BY511" s="403"/>
      <c r="BZ511" s="401">
        <f t="shared" si="225"/>
        <v>80000000</v>
      </c>
      <c r="CA511" s="401">
        <f t="shared" si="225"/>
        <v>42560000</v>
      </c>
      <c r="CB511" s="401">
        <f t="shared" si="225"/>
        <v>27229000</v>
      </c>
    </row>
    <row r="512" spans="1:80" ht="30" customHeight="1" x14ac:dyDescent="0.2">
      <c r="A512" s="42"/>
      <c r="B512" s="315"/>
      <c r="C512" s="548"/>
      <c r="D512" s="709"/>
      <c r="E512" s="714"/>
      <c r="F512" s="714"/>
      <c r="G512" s="58"/>
      <c r="H512" s="59"/>
      <c r="I512" s="58"/>
      <c r="J512" s="59"/>
      <c r="K512" s="191"/>
      <c r="L512" s="191"/>
      <c r="M512" s="191"/>
      <c r="N512" s="59"/>
      <c r="O512" s="59"/>
      <c r="P512" s="58"/>
      <c r="Q512" s="59"/>
      <c r="R512" s="410">
        <f t="shared" ref="R512:BY512" si="226">SUM(R510:R511)</f>
        <v>0</v>
      </c>
      <c r="S512" s="410">
        <f t="shared" si="226"/>
        <v>0</v>
      </c>
      <c r="T512" s="410">
        <f t="shared" si="226"/>
        <v>0</v>
      </c>
      <c r="U512" s="410">
        <f t="shared" si="226"/>
        <v>0</v>
      </c>
      <c r="V512" s="410">
        <f t="shared" si="226"/>
        <v>0</v>
      </c>
      <c r="W512" s="410">
        <f t="shared" si="226"/>
        <v>0</v>
      </c>
      <c r="X512" s="410">
        <f t="shared" si="226"/>
        <v>0</v>
      </c>
      <c r="Y512" s="410">
        <f t="shared" si="226"/>
        <v>0</v>
      </c>
      <c r="Z512" s="410">
        <f t="shared" si="226"/>
        <v>0</v>
      </c>
      <c r="AA512" s="410">
        <f t="shared" si="226"/>
        <v>0</v>
      </c>
      <c r="AB512" s="410">
        <f t="shared" si="226"/>
        <v>0</v>
      </c>
      <c r="AC512" s="410">
        <f t="shared" si="226"/>
        <v>0</v>
      </c>
      <c r="AD512" s="410">
        <f t="shared" si="226"/>
        <v>0</v>
      </c>
      <c r="AE512" s="410">
        <f t="shared" si="226"/>
        <v>0</v>
      </c>
      <c r="AF512" s="410">
        <f t="shared" si="226"/>
        <v>0</v>
      </c>
      <c r="AG512" s="410">
        <f t="shared" si="226"/>
        <v>0</v>
      </c>
      <c r="AH512" s="410">
        <f t="shared" si="226"/>
        <v>0</v>
      </c>
      <c r="AI512" s="410">
        <f t="shared" si="226"/>
        <v>0</v>
      </c>
      <c r="AJ512" s="410">
        <f t="shared" si="226"/>
        <v>0</v>
      </c>
      <c r="AK512" s="410">
        <f t="shared" si="226"/>
        <v>0</v>
      </c>
      <c r="AL512" s="410">
        <f t="shared" si="226"/>
        <v>0</v>
      </c>
      <c r="AM512" s="410">
        <f t="shared" si="226"/>
        <v>0</v>
      </c>
      <c r="AN512" s="410">
        <f t="shared" si="226"/>
        <v>0</v>
      </c>
      <c r="AO512" s="410">
        <f t="shared" si="226"/>
        <v>0</v>
      </c>
      <c r="AP512" s="410">
        <f t="shared" si="226"/>
        <v>0</v>
      </c>
      <c r="AQ512" s="410">
        <f t="shared" si="226"/>
        <v>0</v>
      </c>
      <c r="AR512" s="410">
        <f t="shared" si="226"/>
        <v>0</v>
      </c>
      <c r="AS512" s="410">
        <f t="shared" si="226"/>
        <v>0</v>
      </c>
      <c r="AT512" s="410">
        <f t="shared" si="226"/>
        <v>0</v>
      </c>
      <c r="AU512" s="410">
        <f t="shared" si="226"/>
        <v>0</v>
      </c>
      <c r="AV512" s="410">
        <f t="shared" si="226"/>
        <v>0</v>
      </c>
      <c r="AW512" s="410">
        <f t="shared" si="226"/>
        <v>0</v>
      </c>
      <c r="AX512" s="410">
        <f t="shared" si="226"/>
        <v>0</v>
      </c>
      <c r="AY512" s="410">
        <f t="shared" si="226"/>
        <v>0</v>
      </c>
      <c r="AZ512" s="410">
        <f t="shared" si="226"/>
        <v>0</v>
      </c>
      <c r="BA512" s="410">
        <f t="shared" si="226"/>
        <v>0</v>
      </c>
      <c r="BB512" s="410">
        <f t="shared" si="226"/>
        <v>0</v>
      </c>
      <c r="BC512" s="410">
        <f t="shared" si="226"/>
        <v>0</v>
      </c>
      <c r="BD512" s="410">
        <f t="shared" si="226"/>
        <v>0</v>
      </c>
      <c r="BE512" s="410">
        <f t="shared" si="226"/>
        <v>0</v>
      </c>
      <c r="BF512" s="410">
        <f t="shared" si="226"/>
        <v>0</v>
      </c>
      <c r="BG512" s="410">
        <f t="shared" si="226"/>
        <v>0</v>
      </c>
      <c r="BH512" s="410">
        <f t="shared" si="226"/>
        <v>0</v>
      </c>
      <c r="BI512" s="410">
        <f t="shared" si="226"/>
        <v>0</v>
      </c>
      <c r="BJ512" s="410">
        <f t="shared" si="226"/>
        <v>0</v>
      </c>
      <c r="BK512" s="410">
        <f t="shared" si="226"/>
        <v>1265000000</v>
      </c>
      <c r="BL512" s="410">
        <f t="shared" si="226"/>
        <v>700509999</v>
      </c>
      <c r="BM512" s="410">
        <f t="shared" si="226"/>
        <v>245964600</v>
      </c>
      <c r="BN512" s="410">
        <f t="shared" si="226"/>
        <v>0</v>
      </c>
      <c r="BO512" s="410">
        <f t="shared" si="226"/>
        <v>0</v>
      </c>
      <c r="BP512" s="410">
        <f t="shared" si="226"/>
        <v>0</v>
      </c>
      <c r="BQ512" s="410">
        <f t="shared" si="226"/>
        <v>0</v>
      </c>
      <c r="BR512" s="410">
        <f t="shared" si="226"/>
        <v>0</v>
      </c>
      <c r="BS512" s="410">
        <f t="shared" si="226"/>
        <v>0</v>
      </c>
      <c r="BT512" s="410">
        <f t="shared" si="226"/>
        <v>0</v>
      </c>
      <c r="BU512" s="410">
        <f t="shared" si="226"/>
        <v>0</v>
      </c>
      <c r="BV512" s="410">
        <f t="shared" si="226"/>
        <v>0</v>
      </c>
      <c r="BW512" s="410">
        <f t="shared" si="226"/>
        <v>0</v>
      </c>
      <c r="BX512" s="410">
        <f t="shared" si="226"/>
        <v>0</v>
      </c>
      <c r="BY512" s="410">
        <f t="shared" si="226"/>
        <v>0</v>
      </c>
      <c r="BZ512" s="410">
        <f>SUM(BZ510:BZ511)</f>
        <v>1265000000</v>
      </c>
      <c r="CA512" s="410">
        <f t="shared" ref="CA512:CB512" si="227">SUM(CA510:CA511)</f>
        <v>700509999</v>
      </c>
      <c r="CB512" s="410">
        <f t="shared" si="227"/>
        <v>245964600</v>
      </c>
    </row>
    <row r="513" spans="1:80" ht="30" customHeight="1" x14ac:dyDescent="0.2">
      <c r="A513" s="42"/>
      <c r="B513" s="315"/>
      <c r="C513" s="747"/>
      <c r="D513" s="748"/>
      <c r="E513" s="747"/>
      <c r="F513" s="747"/>
      <c r="G513" s="748"/>
      <c r="H513" s="747"/>
      <c r="I513" s="748"/>
      <c r="J513" s="749"/>
      <c r="K513" s="806"/>
      <c r="L513" s="806"/>
      <c r="M513" s="806"/>
      <c r="N513" s="749"/>
      <c r="O513" s="747"/>
      <c r="P513" s="748"/>
      <c r="Q513" s="747"/>
      <c r="R513" s="791"/>
      <c r="S513" s="791"/>
      <c r="T513" s="791"/>
      <c r="U513" s="792"/>
      <c r="V513" s="792"/>
      <c r="W513" s="792"/>
      <c r="X513" s="791"/>
      <c r="Y513" s="791"/>
      <c r="Z513" s="791"/>
      <c r="AA513" s="791"/>
      <c r="AB513" s="791"/>
      <c r="AC513" s="791"/>
      <c r="AD513" s="791"/>
      <c r="AE513" s="791"/>
      <c r="AF513" s="791"/>
      <c r="AG513" s="791"/>
      <c r="AH513" s="791"/>
      <c r="AI513" s="791"/>
      <c r="AJ513" s="791"/>
      <c r="AK513" s="791"/>
      <c r="AL513" s="791"/>
      <c r="AM513" s="791"/>
      <c r="AN513" s="791"/>
      <c r="AO513" s="791"/>
      <c r="AP513" s="791"/>
      <c r="AQ513" s="791"/>
      <c r="AR513" s="791"/>
      <c r="AS513" s="791"/>
      <c r="AT513" s="791"/>
      <c r="AU513" s="791"/>
      <c r="AV513" s="791"/>
      <c r="AW513" s="791"/>
      <c r="AX513" s="791"/>
      <c r="AY513" s="791"/>
      <c r="AZ513" s="791"/>
      <c r="BA513" s="791"/>
      <c r="BB513" s="791"/>
      <c r="BC513" s="791"/>
      <c r="BD513" s="791"/>
      <c r="BE513" s="791"/>
      <c r="BF513" s="791"/>
      <c r="BG513" s="791"/>
      <c r="BH513" s="791"/>
      <c r="BI513" s="791"/>
      <c r="BJ513" s="791"/>
      <c r="BK513" s="793"/>
      <c r="BL513" s="793"/>
      <c r="BM513" s="793"/>
      <c r="BN513" s="794"/>
      <c r="BO513" s="794"/>
      <c r="BP513" s="794"/>
      <c r="BQ513" s="791"/>
      <c r="BR513" s="791"/>
      <c r="BS513" s="791"/>
      <c r="BT513" s="791"/>
      <c r="BU513" s="791"/>
      <c r="BV513" s="791"/>
      <c r="BW513" s="791"/>
      <c r="BX513" s="791"/>
      <c r="BY513" s="791"/>
      <c r="BZ513" s="630"/>
      <c r="CA513" s="630"/>
      <c r="CB513" s="630"/>
    </row>
    <row r="514" spans="1:80" ht="30" customHeight="1" x14ac:dyDescent="0.2">
      <c r="A514" s="42"/>
      <c r="B514" s="315"/>
      <c r="C514" s="549"/>
      <c r="D514" s="707"/>
      <c r="E514" s="713"/>
      <c r="F514" s="713"/>
      <c r="G514" s="78">
        <v>63</v>
      </c>
      <c r="H514" s="80" t="s">
        <v>669</v>
      </c>
      <c r="I514" s="80"/>
      <c r="J514" s="80"/>
      <c r="K514" s="153"/>
      <c r="L514" s="153"/>
      <c r="M514" s="153"/>
      <c r="N514" s="173"/>
      <c r="O514" s="173"/>
      <c r="P514" s="80"/>
      <c r="Q514" s="80"/>
      <c r="R514" s="267"/>
      <c r="S514" s="267"/>
      <c r="T514" s="267"/>
      <c r="U514" s="267"/>
      <c r="V514" s="267"/>
      <c r="W514" s="267"/>
      <c r="X514" s="267"/>
      <c r="Y514" s="267"/>
      <c r="Z514" s="267"/>
      <c r="AA514" s="267"/>
      <c r="AB514" s="267"/>
      <c r="AC514" s="267"/>
      <c r="AD514" s="267"/>
      <c r="AE514" s="267"/>
      <c r="AF514" s="267"/>
      <c r="AG514" s="267"/>
      <c r="AH514" s="267"/>
      <c r="AI514" s="267"/>
      <c r="AJ514" s="267"/>
      <c r="AK514" s="267"/>
      <c r="AL514" s="267"/>
      <c r="AM514" s="267"/>
      <c r="AN514" s="267"/>
      <c r="AO514" s="267"/>
      <c r="AP514" s="267"/>
      <c r="AQ514" s="267"/>
      <c r="AR514" s="267"/>
      <c r="AS514" s="267"/>
      <c r="AT514" s="267"/>
      <c r="AU514" s="267"/>
      <c r="AV514" s="267"/>
      <c r="AW514" s="267"/>
      <c r="AX514" s="267"/>
      <c r="AY514" s="267"/>
      <c r="AZ514" s="267"/>
      <c r="BA514" s="267"/>
      <c r="BB514" s="267"/>
      <c r="BC514" s="267"/>
      <c r="BD514" s="267"/>
      <c r="BE514" s="267"/>
      <c r="BF514" s="267"/>
      <c r="BG514" s="267"/>
      <c r="BH514" s="267"/>
      <c r="BI514" s="267"/>
      <c r="BJ514" s="267"/>
      <c r="BK514" s="414"/>
      <c r="BL514" s="414"/>
      <c r="BM514" s="414"/>
      <c r="BN514" s="267"/>
      <c r="BO514" s="267"/>
      <c r="BP514" s="267"/>
      <c r="BQ514" s="267"/>
      <c r="BR514" s="267"/>
      <c r="BS514" s="267"/>
      <c r="BT514" s="267"/>
      <c r="BU514" s="267"/>
      <c r="BV514" s="267"/>
      <c r="BW514" s="267"/>
      <c r="BX514" s="267"/>
      <c r="BY514" s="267"/>
      <c r="BZ514" s="269"/>
      <c r="CA514" s="269"/>
      <c r="CB514" s="269"/>
    </row>
    <row r="515" spans="1:80" ht="54" customHeight="1" x14ac:dyDescent="0.2">
      <c r="A515" s="42"/>
      <c r="B515" s="314"/>
      <c r="C515" s="714">
        <v>38</v>
      </c>
      <c r="D515" s="709" t="s">
        <v>53</v>
      </c>
      <c r="E515" s="714">
        <v>0</v>
      </c>
      <c r="F515" s="714">
        <v>2</v>
      </c>
      <c r="G515" s="43"/>
      <c r="H515" s="57">
        <v>193</v>
      </c>
      <c r="I515" s="729" t="s">
        <v>670</v>
      </c>
      <c r="J515" s="57">
        <v>1</v>
      </c>
      <c r="K515" s="169">
        <v>1</v>
      </c>
      <c r="L515" s="169">
        <v>0</v>
      </c>
      <c r="M515" s="46">
        <v>201700360090</v>
      </c>
      <c r="N515" s="57" t="s">
        <v>621</v>
      </c>
      <c r="O515" s="57" t="s">
        <v>671</v>
      </c>
      <c r="P515" s="729" t="s">
        <v>1002</v>
      </c>
      <c r="Q515" s="57" t="s">
        <v>52</v>
      </c>
      <c r="R515" s="401">
        <v>0</v>
      </c>
      <c r="S515" s="401"/>
      <c r="T515" s="401"/>
      <c r="U515" s="401">
        <v>0</v>
      </c>
      <c r="V515" s="401"/>
      <c r="W515" s="401"/>
      <c r="X515" s="401">
        <v>0</v>
      </c>
      <c r="Y515" s="401"/>
      <c r="Z515" s="401"/>
      <c r="AA515" s="401">
        <v>0</v>
      </c>
      <c r="AB515" s="401"/>
      <c r="AC515" s="401"/>
      <c r="AD515" s="401">
        <v>0</v>
      </c>
      <c r="AE515" s="401"/>
      <c r="AF515" s="401"/>
      <c r="AG515" s="401">
        <v>0</v>
      </c>
      <c r="AH515" s="401"/>
      <c r="AI515" s="401"/>
      <c r="AJ515" s="401">
        <v>0</v>
      </c>
      <c r="AK515" s="401"/>
      <c r="AL515" s="401"/>
      <c r="AM515" s="401"/>
      <c r="AN515" s="401"/>
      <c r="AO515" s="401"/>
      <c r="AP515" s="401"/>
      <c r="AQ515" s="401"/>
      <c r="AR515" s="401"/>
      <c r="AS515" s="401">
        <v>0</v>
      </c>
      <c r="AT515" s="401"/>
      <c r="AU515" s="401"/>
      <c r="AV515" s="401">
        <v>0</v>
      </c>
      <c r="AW515" s="401"/>
      <c r="AX515" s="401"/>
      <c r="AY515" s="401"/>
      <c r="AZ515" s="401"/>
      <c r="BA515" s="401"/>
      <c r="BB515" s="401"/>
      <c r="BC515" s="401"/>
      <c r="BD515" s="401"/>
      <c r="BE515" s="401">
        <v>0</v>
      </c>
      <c r="BF515" s="401"/>
      <c r="BG515" s="401"/>
      <c r="BH515" s="401">
        <v>0</v>
      </c>
      <c r="BI515" s="403"/>
      <c r="BJ515" s="403"/>
      <c r="BK515" s="404">
        <f>40000000-10000000</f>
        <v>30000000</v>
      </c>
      <c r="BL515" s="404"/>
      <c r="BM515" s="404"/>
      <c r="BN515" s="404"/>
      <c r="BO515" s="404"/>
      <c r="BP515" s="404"/>
      <c r="BQ515" s="401">
        <v>0</v>
      </c>
      <c r="BR515" s="403"/>
      <c r="BS515" s="403"/>
      <c r="BT515" s="403"/>
      <c r="BU515" s="403"/>
      <c r="BV515" s="403"/>
      <c r="BW515" s="403"/>
      <c r="BX515" s="403"/>
      <c r="BY515" s="403"/>
      <c r="BZ515" s="401">
        <f t="shared" ref="BZ515:CB516" si="228">R515+U515+X515+AA515+AD515+AG515+AJ515+AM515+AP515+AS515+AV515+AY515+BB515+BE515+BH515+BK515+BN515+BQ515+BT515+BW515</f>
        <v>30000000</v>
      </c>
      <c r="CA515" s="401">
        <f t="shared" si="228"/>
        <v>0</v>
      </c>
      <c r="CB515" s="401">
        <f t="shared" si="228"/>
        <v>0</v>
      </c>
    </row>
    <row r="516" spans="1:80" ht="69" customHeight="1" x14ac:dyDescent="0.2">
      <c r="A516" s="42"/>
      <c r="B516" s="314"/>
      <c r="C516" s="713">
        <v>38</v>
      </c>
      <c r="D516" s="707" t="s">
        <v>53</v>
      </c>
      <c r="E516" s="713">
        <v>0</v>
      </c>
      <c r="F516" s="713">
        <v>2</v>
      </c>
      <c r="G516" s="92"/>
      <c r="H516" s="57">
        <v>194</v>
      </c>
      <c r="I516" s="729" t="s">
        <v>673</v>
      </c>
      <c r="J516" s="57">
        <v>1</v>
      </c>
      <c r="K516" s="169">
        <v>1</v>
      </c>
      <c r="L516" s="220">
        <v>0.95</v>
      </c>
      <c r="M516" s="46">
        <v>201700360091</v>
      </c>
      <c r="N516" s="57" t="s">
        <v>621</v>
      </c>
      <c r="O516" s="57" t="s">
        <v>674</v>
      </c>
      <c r="P516" s="729" t="s">
        <v>675</v>
      </c>
      <c r="Q516" s="57" t="s">
        <v>52</v>
      </c>
      <c r="R516" s="401">
        <v>0</v>
      </c>
      <c r="S516" s="401"/>
      <c r="T516" s="401"/>
      <c r="U516" s="401">
        <v>0</v>
      </c>
      <c r="V516" s="401"/>
      <c r="W516" s="401"/>
      <c r="X516" s="401">
        <v>0</v>
      </c>
      <c r="Y516" s="401"/>
      <c r="Z516" s="401"/>
      <c r="AA516" s="401">
        <v>0</v>
      </c>
      <c r="AB516" s="401"/>
      <c r="AC516" s="401"/>
      <c r="AD516" s="401">
        <v>0</v>
      </c>
      <c r="AE516" s="401"/>
      <c r="AF516" s="401"/>
      <c r="AG516" s="401">
        <v>0</v>
      </c>
      <c r="AH516" s="401"/>
      <c r="AI516" s="401"/>
      <c r="AJ516" s="401">
        <v>0</v>
      </c>
      <c r="AK516" s="401"/>
      <c r="AL516" s="401"/>
      <c r="AM516" s="401"/>
      <c r="AN516" s="401"/>
      <c r="AO516" s="401"/>
      <c r="AP516" s="401"/>
      <c r="AQ516" s="401"/>
      <c r="AR516" s="401"/>
      <c r="AS516" s="401">
        <v>0</v>
      </c>
      <c r="AT516" s="401"/>
      <c r="AU516" s="401"/>
      <c r="AV516" s="401">
        <v>0</v>
      </c>
      <c r="AW516" s="401"/>
      <c r="AX516" s="401"/>
      <c r="AY516" s="401"/>
      <c r="AZ516" s="401"/>
      <c r="BA516" s="401"/>
      <c r="BB516" s="401"/>
      <c r="BC516" s="401"/>
      <c r="BD516" s="401"/>
      <c r="BE516" s="401">
        <v>0</v>
      </c>
      <c r="BF516" s="401"/>
      <c r="BG516" s="401"/>
      <c r="BH516" s="401">
        <v>0</v>
      </c>
      <c r="BI516" s="403"/>
      <c r="BJ516" s="403"/>
      <c r="BK516" s="404">
        <f>35000000+35000000</f>
        <v>70000000</v>
      </c>
      <c r="BL516" s="404">
        <v>67420000</v>
      </c>
      <c r="BM516" s="404">
        <v>56680000</v>
      </c>
      <c r="BN516" s="404"/>
      <c r="BO516" s="404"/>
      <c r="BP516" s="404"/>
      <c r="BQ516" s="401">
        <v>0</v>
      </c>
      <c r="BR516" s="403"/>
      <c r="BS516" s="403"/>
      <c r="BT516" s="403"/>
      <c r="BU516" s="403"/>
      <c r="BV516" s="403"/>
      <c r="BW516" s="403"/>
      <c r="BX516" s="403"/>
      <c r="BY516" s="403"/>
      <c r="BZ516" s="401">
        <f t="shared" si="228"/>
        <v>70000000</v>
      </c>
      <c r="CA516" s="401">
        <f t="shared" si="228"/>
        <v>67420000</v>
      </c>
      <c r="CB516" s="401">
        <f t="shared" si="228"/>
        <v>56680000</v>
      </c>
    </row>
    <row r="517" spans="1:80" ht="30" customHeight="1" x14ac:dyDescent="0.2">
      <c r="A517" s="42"/>
      <c r="B517" s="315"/>
      <c r="C517" s="548"/>
      <c r="D517" s="709"/>
      <c r="E517" s="714"/>
      <c r="F517" s="714"/>
      <c r="G517" s="58"/>
      <c r="H517" s="59"/>
      <c r="I517" s="58"/>
      <c r="J517" s="59"/>
      <c r="K517" s="191"/>
      <c r="L517" s="191"/>
      <c r="M517" s="191"/>
      <c r="N517" s="59"/>
      <c r="O517" s="59"/>
      <c r="P517" s="58"/>
      <c r="Q517" s="59"/>
      <c r="R517" s="410">
        <f t="shared" ref="R517:BY517" si="229">SUM(R515:R516)</f>
        <v>0</v>
      </c>
      <c r="S517" s="410">
        <f t="shared" si="229"/>
        <v>0</v>
      </c>
      <c r="T517" s="410">
        <f t="shared" si="229"/>
        <v>0</v>
      </c>
      <c r="U517" s="410">
        <f t="shared" si="229"/>
        <v>0</v>
      </c>
      <c r="V517" s="410">
        <f t="shared" si="229"/>
        <v>0</v>
      </c>
      <c r="W517" s="410">
        <f t="shared" si="229"/>
        <v>0</v>
      </c>
      <c r="X517" s="410">
        <f t="shared" si="229"/>
        <v>0</v>
      </c>
      <c r="Y517" s="410">
        <f t="shared" si="229"/>
        <v>0</v>
      </c>
      <c r="Z517" s="410">
        <f t="shared" si="229"/>
        <v>0</v>
      </c>
      <c r="AA517" s="410">
        <f t="shared" si="229"/>
        <v>0</v>
      </c>
      <c r="AB517" s="410">
        <f t="shared" si="229"/>
        <v>0</v>
      </c>
      <c r="AC517" s="410">
        <f t="shared" si="229"/>
        <v>0</v>
      </c>
      <c r="AD517" s="410">
        <f t="shared" si="229"/>
        <v>0</v>
      </c>
      <c r="AE517" s="410">
        <f t="shared" si="229"/>
        <v>0</v>
      </c>
      <c r="AF517" s="410">
        <f t="shared" si="229"/>
        <v>0</v>
      </c>
      <c r="AG517" s="410">
        <f t="shared" si="229"/>
        <v>0</v>
      </c>
      <c r="AH517" s="410">
        <f t="shared" si="229"/>
        <v>0</v>
      </c>
      <c r="AI517" s="410">
        <f t="shared" si="229"/>
        <v>0</v>
      </c>
      <c r="AJ517" s="410">
        <f t="shared" si="229"/>
        <v>0</v>
      </c>
      <c r="AK517" s="410">
        <f t="shared" si="229"/>
        <v>0</v>
      </c>
      <c r="AL517" s="410">
        <f t="shared" si="229"/>
        <v>0</v>
      </c>
      <c r="AM517" s="410">
        <f t="shared" si="229"/>
        <v>0</v>
      </c>
      <c r="AN517" s="410">
        <f t="shared" si="229"/>
        <v>0</v>
      </c>
      <c r="AO517" s="410">
        <f t="shared" si="229"/>
        <v>0</v>
      </c>
      <c r="AP517" s="410">
        <f t="shared" si="229"/>
        <v>0</v>
      </c>
      <c r="AQ517" s="410">
        <f t="shared" si="229"/>
        <v>0</v>
      </c>
      <c r="AR517" s="410">
        <f t="shared" si="229"/>
        <v>0</v>
      </c>
      <c r="AS517" s="410">
        <f t="shared" si="229"/>
        <v>0</v>
      </c>
      <c r="AT517" s="410">
        <f t="shared" si="229"/>
        <v>0</v>
      </c>
      <c r="AU517" s="410">
        <f t="shared" si="229"/>
        <v>0</v>
      </c>
      <c r="AV517" s="410">
        <f t="shared" si="229"/>
        <v>0</v>
      </c>
      <c r="AW517" s="410">
        <f t="shared" si="229"/>
        <v>0</v>
      </c>
      <c r="AX517" s="410">
        <f t="shared" si="229"/>
        <v>0</v>
      </c>
      <c r="AY517" s="410">
        <f t="shared" si="229"/>
        <v>0</v>
      </c>
      <c r="AZ517" s="410">
        <f t="shared" si="229"/>
        <v>0</v>
      </c>
      <c r="BA517" s="410">
        <f t="shared" si="229"/>
        <v>0</v>
      </c>
      <c r="BB517" s="410">
        <f t="shared" si="229"/>
        <v>0</v>
      </c>
      <c r="BC517" s="410">
        <f t="shared" si="229"/>
        <v>0</v>
      </c>
      <c r="BD517" s="410">
        <f t="shared" si="229"/>
        <v>0</v>
      </c>
      <c r="BE517" s="410">
        <f t="shared" si="229"/>
        <v>0</v>
      </c>
      <c r="BF517" s="410">
        <f t="shared" si="229"/>
        <v>0</v>
      </c>
      <c r="BG517" s="410">
        <f t="shared" si="229"/>
        <v>0</v>
      </c>
      <c r="BH517" s="410">
        <f t="shared" si="229"/>
        <v>0</v>
      </c>
      <c r="BI517" s="410">
        <f t="shared" si="229"/>
        <v>0</v>
      </c>
      <c r="BJ517" s="410">
        <f t="shared" si="229"/>
        <v>0</v>
      </c>
      <c r="BK517" s="410">
        <f t="shared" si="229"/>
        <v>100000000</v>
      </c>
      <c r="BL517" s="410">
        <f t="shared" si="229"/>
        <v>67420000</v>
      </c>
      <c r="BM517" s="410">
        <f t="shared" si="229"/>
        <v>56680000</v>
      </c>
      <c r="BN517" s="410">
        <f t="shared" si="229"/>
        <v>0</v>
      </c>
      <c r="BO517" s="410">
        <f t="shared" si="229"/>
        <v>0</v>
      </c>
      <c r="BP517" s="410">
        <f t="shared" si="229"/>
        <v>0</v>
      </c>
      <c r="BQ517" s="410">
        <f t="shared" si="229"/>
        <v>0</v>
      </c>
      <c r="BR517" s="410">
        <f t="shared" si="229"/>
        <v>0</v>
      </c>
      <c r="BS517" s="410">
        <f t="shared" si="229"/>
        <v>0</v>
      </c>
      <c r="BT517" s="410">
        <f t="shared" si="229"/>
        <v>0</v>
      </c>
      <c r="BU517" s="410">
        <f t="shared" si="229"/>
        <v>0</v>
      </c>
      <c r="BV517" s="410">
        <f t="shared" si="229"/>
        <v>0</v>
      </c>
      <c r="BW517" s="410">
        <f t="shared" si="229"/>
        <v>0</v>
      </c>
      <c r="BX517" s="410">
        <f t="shared" si="229"/>
        <v>0</v>
      </c>
      <c r="BY517" s="410">
        <f t="shared" si="229"/>
        <v>0</v>
      </c>
      <c r="BZ517" s="410">
        <f>SUM(BZ515:BZ516)</f>
        <v>100000000</v>
      </c>
      <c r="CA517" s="410">
        <f t="shared" ref="CA517:CB517" si="230">SUM(CA515:CA516)</f>
        <v>67420000</v>
      </c>
      <c r="CB517" s="410">
        <f t="shared" si="230"/>
        <v>56680000</v>
      </c>
    </row>
    <row r="518" spans="1:80" ht="30" customHeight="1" x14ac:dyDescent="0.2">
      <c r="A518" s="42"/>
      <c r="B518" s="315"/>
      <c r="C518" s="747"/>
      <c r="D518" s="748"/>
      <c r="E518" s="747"/>
      <c r="F518" s="747"/>
      <c r="G518" s="748"/>
      <c r="H518" s="747"/>
      <c r="I518" s="748"/>
      <c r="J518" s="749"/>
      <c r="K518" s="806"/>
      <c r="L518" s="806"/>
      <c r="M518" s="806"/>
      <c r="N518" s="749"/>
      <c r="O518" s="747"/>
      <c r="P518" s="748"/>
      <c r="Q518" s="747"/>
      <c r="R518" s="791"/>
      <c r="S518" s="791"/>
      <c r="T518" s="791"/>
      <c r="U518" s="792"/>
      <c r="V518" s="792"/>
      <c r="W518" s="792"/>
      <c r="X518" s="791"/>
      <c r="Y518" s="791"/>
      <c r="Z518" s="791"/>
      <c r="AA518" s="791"/>
      <c r="AB518" s="791"/>
      <c r="AC518" s="791"/>
      <c r="AD518" s="791"/>
      <c r="AE518" s="791"/>
      <c r="AF518" s="791"/>
      <c r="AG518" s="791"/>
      <c r="AH518" s="791"/>
      <c r="AI518" s="791"/>
      <c r="AJ518" s="791"/>
      <c r="AK518" s="791"/>
      <c r="AL518" s="791"/>
      <c r="AM518" s="791"/>
      <c r="AN518" s="791"/>
      <c r="AO518" s="791"/>
      <c r="AP518" s="791"/>
      <c r="AQ518" s="791"/>
      <c r="AR518" s="791"/>
      <c r="AS518" s="791"/>
      <c r="AT518" s="791"/>
      <c r="AU518" s="791"/>
      <c r="AV518" s="791"/>
      <c r="AW518" s="791"/>
      <c r="AX518" s="791"/>
      <c r="AY518" s="791"/>
      <c r="AZ518" s="791"/>
      <c r="BA518" s="791"/>
      <c r="BB518" s="791"/>
      <c r="BC518" s="791"/>
      <c r="BD518" s="791"/>
      <c r="BE518" s="791"/>
      <c r="BF518" s="791"/>
      <c r="BG518" s="791"/>
      <c r="BH518" s="791"/>
      <c r="BI518" s="791"/>
      <c r="BJ518" s="791"/>
      <c r="BK518" s="793"/>
      <c r="BL518" s="793"/>
      <c r="BM518" s="793"/>
      <c r="BN518" s="794"/>
      <c r="BO518" s="794"/>
      <c r="BP518" s="794"/>
      <c r="BQ518" s="791"/>
      <c r="BR518" s="791"/>
      <c r="BS518" s="791"/>
      <c r="BT518" s="791"/>
      <c r="BU518" s="791"/>
      <c r="BV518" s="791"/>
      <c r="BW518" s="791"/>
      <c r="BX518" s="791"/>
      <c r="BY518" s="791"/>
      <c r="BZ518" s="630"/>
      <c r="CA518" s="630"/>
      <c r="CB518" s="630"/>
    </row>
    <row r="519" spans="1:80" ht="30" customHeight="1" x14ac:dyDescent="0.2">
      <c r="A519" s="42"/>
      <c r="B519" s="315"/>
      <c r="C519" s="549"/>
      <c r="D519" s="707"/>
      <c r="E519" s="713"/>
      <c r="F519" s="713"/>
      <c r="G519" s="78">
        <v>64</v>
      </c>
      <c r="H519" s="80" t="s">
        <v>676</v>
      </c>
      <c r="I519" s="80"/>
      <c r="J519" s="80"/>
      <c r="K519" s="153"/>
      <c r="L519" s="153"/>
      <c r="M519" s="153"/>
      <c r="N519" s="173"/>
      <c r="O519" s="173"/>
      <c r="P519" s="80"/>
      <c r="Q519" s="80"/>
      <c r="R519" s="267"/>
      <c r="S519" s="267"/>
      <c r="T519" s="267"/>
      <c r="U519" s="267"/>
      <c r="V519" s="267"/>
      <c r="W519" s="267"/>
      <c r="X519" s="267"/>
      <c r="Y519" s="267"/>
      <c r="Z519" s="267"/>
      <c r="AA519" s="267"/>
      <c r="AB519" s="267"/>
      <c r="AC519" s="267"/>
      <c r="AD519" s="267"/>
      <c r="AE519" s="267"/>
      <c r="AF519" s="267"/>
      <c r="AG519" s="267"/>
      <c r="AH519" s="267"/>
      <c r="AI519" s="267"/>
      <c r="AJ519" s="267"/>
      <c r="AK519" s="267"/>
      <c r="AL519" s="267"/>
      <c r="AM519" s="267"/>
      <c r="AN519" s="267"/>
      <c r="AO519" s="267"/>
      <c r="AP519" s="267"/>
      <c r="AQ519" s="267"/>
      <c r="AR519" s="267"/>
      <c r="AS519" s="267"/>
      <c r="AT519" s="267"/>
      <c r="AU519" s="267"/>
      <c r="AV519" s="267"/>
      <c r="AW519" s="267"/>
      <c r="AX519" s="267"/>
      <c r="AY519" s="267"/>
      <c r="AZ519" s="267"/>
      <c r="BA519" s="267"/>
      <c r="BB519" s="267"/>
      <c r="BC519" s="267"/>
      <c r="BD519" s="267"/>
      <c r="BE519" s="267"/>
      <c r="BF519" s="267"/>
      <c r="BG519" s="267"/>
      <c r="BH519" s="267"/>
      <c r="BI519" s="267"/>
      <c r="BJ519" s="267"/>
      <c r="BK519" s="414"/>
      <c r="BL519" s="414"/>
      <c r="BM519" s="414"/>
      <c r="BN519" s="267"/>
      <c r="BO519" s="267"/>
      <c r="BP519" s="267"/>
      <c r="BQ519" s="267"/>
      <c r="BR519" s="267"/>
      <c r="BS519" s="267"/>
      <c r="BT519" s="267"/>
      <c r="BU519" s="267"/>
      <c r="BV519" s="267"/>
      <c r="BW519" s="267"/>
      <c r="BX519" s="267"/>
      <c r="BY519" s="267"/>
      <c r="BZ519" s="269"/>
      <c r="CA519" s="269"/>
      <c r="CB519" s="269"/>
    </row>
    <row r="520" spans="1:80" ht="99" customHeight="1" x14ac:dyDescent="0.2">
      <c r="A520" s="42"/>
      <c r="B520" s="314"/>
      <c r="C520" s="702">
        <v>37</v>
      </c>
      <c r="D520" s="708" t="s">
        <v>677</v>
      </c>
      <c r="E520" s="705" t="s">
        <v>73</v>
      </c>
      <c r="F520" s="711">
        <v>0.6</v>
      </c>
      <c r="G520" s="92"/>
      <c r="H520" s="57">
        <v>195</v>
      </c>
      <c r="I520" s="729" t="s">
        <v>678</v>
      </c>
      <c r="J520" s="57">
        <v>0</v>
      </c>
      <c r="K520" s="169">
        <v>1</v>
      </c>
      <c r="L520" s="386">
        <v>0.9</v>
      </c>
      <c r="M520" s="46">
        <v>201700360092</v>
      </c>
      <c r="N520" s="57" t="s">
        <v>621</v>
      </c>
      <c r="O520" s="57" t="s">
        <v>679</v>
      </c>
      <c r="P520" s="729" t="s">
        <v>1003</v>
      </c>
      <c r="Q520" s="57" t="s">
        <v>52</v>
      </c>
      <c r="R520" s="401"/>
      <c r="S520" s="401"/>
      <c r="T520" s="401"/>
      <c r="U520" s="401"/>
      <c r="V520" s="401"/>
      <c r="W520" s="401"/>
      <c r="X520" s="401"/>
      <c r="Y520" s="401"/>
      <c r="Z520" s="401"/>
      <c r="AA520" s="401"/>
      <c r="AB520" s="401"/>
      <c r="AC520" s="401"/>
      <c r="AD520" s="401"/>
      <c r="AE520" s="401"/>
      <c r="AF520" s="401"/>
      <c r="AG520" s="401"/>
      <c r="AH520" s="401"/>
      <c r="AI520" s="401"/>
      <c r="AJ520" s="401"/>
      <c r="AK520" s="401"/>
      <c r="AL520" s="401"/>
      <c r="AM520" s="401"/>
      <c r="AN520" s="401"/>
      <c r="AO520" s="401"/>
      <c r="AP520" s="401"/>
      <c r="AQ520" s="401"/>
      <c r="AR520" s="401"/>
      <c r="AS520" s="401"/>
      <c r="AT520" s="401"/>
      <c r="AU520" s="401"/>
      <c r="AV520" s="401"/>
      <c r="AW520" s="401"/>
      <c r="AX520" s="401"/>
      <c r="AY520" s="401"/>
      <c r="AZ520" s="401"/>
      <c r="BA520" s="401"/>
      <c r="BB520" s="401"/>
      <c r="BC520" s="401"/>
      <c r="BD520" s="401"/>
      <c r="BE520" s="401"/>
      <c r="BF520" s="401"/>
      <c r="BG520" s="401"/>
      <c r="BH520" s="401"/>
      <c r="BI520" s="403"/>
      <c r="BJ520" s="403"/>
      <c r="BK520" s="404">
        <f>60000000+30000000</f>
        <v>90000000</v>
      </c>
      <c r="BL520" s="404">
        <v>55560000</v>
      </c>
      <c r="BM520" s="404">
        <v>39106000</v>
      </c>
      <c r="BN520" s="404"/>
      <c r="BO520" s="404"/>
      <c r="BP520" s="404"/>
      <c r="BQ520" s="401"/>
      <c r="BR520" s="403"/>
      <c r="BS520" s="403"/>
      <c r="BT520" s="403"/>
      <c r="BU520" s="403"/>
      <c r="BV520" s="403"/>
      <c r="BW520" s="403"/>
      <c r="BX520" s="403"/>
      <c r="BY520" s="403"/>
      <c r="BZ520" s="401">
        <f>R520+U520+X520+AA520+AD520+AG520+AJ520+AM520+AP520+AS520+AV520+AY520+BB520+BE520+BH520+BK520+BN520+BQ520+BT520+BW520</f>
        <v>90000000</v>
      </c>
      <c r="CA520" s="401">
        <f t="shared" ref="CA520:CB520" si="231">S520+V520+Y520+AB520+AE520+AH520+AK520+AN520+AQ520+AT520+AW520+AZ520+BC520+BF520+BI520+BL520+BO520+BR520+BU520+BX520</f>
        <v>55560000</v>
      </c>
      <c r="CB520" s="401">
        <f t="shared" si="231"/>
        <v>39106000</v>
      </c>
    </row>
    <row r="521" spans="1:80" ht="30" customHeight="1" x14ac:dyDescent="0.2">
      <c r="A521" s="42"/>
      <c r="B521" s="315"/>
      <c r="C521" s="548"/>
      <c r="D521" s="709"/>
      <c r="E521" s="714"/>
      <c r="F521" s="714"/>
      <c r="G521" s="58"/>
      <c r="H521" s="59"/>
      <c r="I521" s="58"/>
      <c r="J521" s="59"/>
      <c r="K521" s="191"/>
      <c r="L521" s="191"/>
      <c r="M521" s="191"/>
      <c r="N521" s="59"/>
      <c r="O521" s="59"/>
      <c r="P521" s="58"/>
      <c r="Q521" s="59"/>
      <c r="R521" s="410">
        <f t="shared" ref="R521:CB521" si="232">SUM(R520:R520)</f>
        <v>0</v>
      </c>
      <c r="S521" s="410">
        <f t="shared" si="232"/>
        <v>0</v>
      </c>
      <c r="T521" s="410">
        <f t="shared" si="232"/>
        <v>0</v>
      </c>
      <c r="U521" s="410">
        <f t="shared" si="232"/>
        <v>0</v>
      </c>
      <c r="V521" s="410">
        <f t="shared" si="232"/>
        <v>0</v>
      </c>
      <c r="W521" s="410">
        <f t="shared" si="232"/>
        <v>0</v>
      </c>
      <c r="X521" s="410">
        <f t="shared" si="232"/>
        <v>0</v>
      </c>
      <c r="Y521" s="410">
        <f t="shared" si="232"/>
        <v>0</v>
      </c>
      <c r="Z521" s="410">
        <f t="shared" si="232"/>
        <v>0</v>
      </c>
      <c r="AA521" s="410">
        <f t="shared" si="232"/>
        <v>0</v>
      </c>
      <c r="AB521" s="410">
        <f t="shared" si="232"/>
        <v>0</v>
      </c>
      <c r="AC521" s="410">
        <f t="shared" si="232"/>
        <v>0</v>
      </c>
      <c r="AD521" s="410">
        <f t="shared" si="232"/>
        <v>0</v>
      </c>
      <c r="AE521" s="410">
        <f t="shared" si="232"/>
        <v>0</v>
      </c>
      <c r="AF521" s="410">
        <f t="shared" si="232"/>
        <v>0</v>
      </c>
      <c r="AG521" s="410">
        <f t="shared" si="232"/>
        <v>0</v>
      </c>
      <c r="AH521" s="410">
        <f t="shared" si="232"/>
        <v>0</v>
      </c>
      <c r="AI521" s="410">
        <f t="shared" si="232"/>
        <v>0</v>
      </c>
      <c r="AJ521" s="410">
        <f t="shared" si="232"/>
        <v>0</v>
      </c>
      <c r="AK521" s="410">
        <f t="shared" si="232"/>
        <v>0</v>
      </c>
      <c r="AL521" s="410">
        <f t="shared" si="232"/>
        <v>0</v>
      </c>
      <c r="AM521" s="410">
        <f t="shared" si="232"/>
        <v>0</v>
      </c>
      <c r="AN521" s="410">
        <f t="shared" si="232"/>
        <v>0</v>
      </c>
      <c r="AO521" s="410">
        <f t="shared" si="232"/>
        <v>0</v>
      </c>
      <c r="AP521" s="410">
        <f t="shared" si="232"/>
        <v>0</v>
      </c>
      <c r="AQ521" s="410">
        <f t="shared" si="232"/>
        <v>0</v>
      </c>
      <c r="AR521" s="410">
        <f t="shared" si="232"/>
        <v>0</v>
      </c>
      <c r="AS521" s="410">
        <f t="shared" si="232"/>
        <v>0</v>
      </c>
      <c r="AT521" s="410">
        <f t="shared" si="232"/>
        <v>0</v>
      </c>
      <c r="AU521" s="410">
        <f t="shared" si="232"/>
        <v>0</v>
      </c>
      <c r="AV521" s="410">
        <f t="shared" si="232"/>
        <v>0</v>
      </c>
      <c r="AW521" s="410">
        <f t="shared" si="232"/>
        <v>0</v>
      </c>
      <c r="AX521" s="410">
        <f t="shared" si="232"/>
        <v>0</v>
      </c>
      <c r="AY521" s="410">
        <f t="shared" si="232"/>
        <v>0</v>
      </c>
      <c r="AZ521" s="410">
        <f t="shared" si="232"/>
        <v>0</v>
      </c>
      <c r="BA521" s="410">
        <f t="shared" si="232"/>
        <v>0</v>
      </c>
      <c r="BB521" s="410">
        <f t="shared" si="232"/>
        <v>0</v>
      </c>
      <c r="BC521" s="410">
        <f t="shared" si="232"/>
        <v>0</v>
      </c>
      <c r="BD521" s="410">
        <f t="shared" si="232"/>
        <v>0</v>
      </c>
      <c r="BE521" s="410">
        <f t="shared" si="232"/>
        <v>0</v>
      </c>
      <c r="BF521" s="410">
        <f t="shared" si="232"/>
        <v>0</v>
      </c>
      <c r="BG521" s="410">
        <f t="shared" si="232"/>
        <v>0</v>
      </c>
      <c r="BH521" s="410">
        <f t="shared" si="232"/>
        <v>0</v>
      </c>
      <c r="BI521" s="410">
        <f t="shared" si="232"/>
        <v>0</v>
      </c>
      <c r="BJ521" s="410">
        <f t="shared" si="232"/>
        <v>0</v>
      </c>
      <c r="BK521" s="410">
        <f t="shared" si="232"/>
        <v>90000000</v>
      </c>
      <c r="BL521" s="410">
        <f t="shared" si="232"/>
        <v>55560000</v>
      </c>
      <c r="BM521" s="410">
        <f t="shared" si="232"/>
        <v>39106000</v>
      </c>
      <c r="BN521" s="410">
        <f t="shared" si="232"/>
        <v>0</v>
      </c>
      <c r="BO521" s="410">
        <f t="shared" si="232"/>
        <v>0</v>
      </c>
      <c r="BP521" s="410">
        <f t="shared" si="232"/>
        <v>0</v>
      </c>
      <c r="BQ521" s="410">
        <f t="shared" si="232"/>
        <v>0</v>
      </c>
      <c r="BR521" s="410">
        <f t="shared" si="232"/>
        <v>0</v>
      </c>
      <c r="BS521" s="410">
        <f t="shared" si="232"/>
        <v>0</v>
      </c>
      <c r="BT521" s="410">
        <f t="shared" si="232"/>
        <v>0</v>
      </c>
      <c r="BU521" s="410">
        <f t="shared" si="232"/>
        <v>0</v>
      </c>
      <c r="BV521" s="410">
        <f t="shared" si="232"/>
        <v>0</v>
      </c>
      <c r="BW521" s="410">
        <f t="shared" si="232"/>
        <v>0</v>
      </c>
      <c r="BX521" s="410">
        <f t="shared" si="232"/>
        <v>0</v>
      </c>
      <c r="BY521" s="410">
        <f t="shared" si="232"/>
        <v>0</v>
      </c>
      <c r="BZ521" s="410">
        <f t="shared" si="232"/>
        <v>90000000</v>
      </c>
      <c r="CA521" s="410">
        <f t="shared" si="232"/>
        <v>55560000</v>
      </c>
      <c r="CB521" s="410">
        <f t="shared" si="232"/>
        <v>39106000</v>
      </c>
    </row>
    <row r="522" spans="1:80" ht="30" customHeight="1" x14ac:dyDescent="0.2">
      <c r="A522" s="42"/>
      <c r="B522" s="315"/>
      <c r="C522" s="747"/>
      <c r="D522" s="748"/>
      <c r="E522" s="747"/>
      <c r="F522" s="747"/>
      <c r="G522" s="748"/>
      <c r="H522" s="747"/>
      <c r="I522" s="748"/>
      <c r="J522" s="749"/>
      <c r="K522" s="806"/>
      <c r="L522" s="806"/>
      <c r="M522" s="806"/>
      <c r="N522" s="749"/>
      <c r="O522" s="747"/>
      <c r="P522" s="748"/>
      <c r="Q522" s="747"/>
      <c r="R522" s="791"/>
      <c r="S522" s="791"/>
      <c r="T522" s="791"/>
      <c r="U522" s="792"/>
      <c r="V522" s="792"/>
      <c r="W522" s="792"/>
      <c r="X522" s="791"/>
      <c r="Y522" s="791"/>
      <c r="Z522" s="791"/>
      <c r="AA522" s="791"/>
      <c r="AB522" s="791"/>
      <c r="AC522" s="791"/>
      <c r="AD522" s="791"/>
      <c r="AE522" s="791"/>
      <c r="AF522" s="791"/>
      <c r="AG522" s="791"/>
      <c r="AH522" s="791"/>
      <c r="AI522" s="791"/>
      <c r="AJ522" s="791"/>
      <c r="AK522" s="791"/>
      <c r="AL522" s="791"/>
      <c r="AM522" s="791"/>
      <c r="AN522" s="791"/>
      <c r="AO522" s="791"/>
      <c r="AP522" s="791"/>
      <c r="AQ522" s="791"/>
      <c r="AR522" s="791"/>
      <c r="AS522" s="791"/>
      <c r="AT522" s="791"/>
      <c r="AU522" s="791"/>
      <c r="AV522" s="791"/>
      <c r="AW522" s="791"/>
      <c r="AX522" s="791"/>
      <c r="AY522" s="791"/>
      <c r="AZ522" s="791"/>
      <c r="BA522" s="791"/>
      <c r="BB522" s="791"/>
      <c r="BC522" s="791"/>
      <c r="BD522" s="791"/>
      <c r="BE522" s="791"/>
      <c r="BF522" s="791"/>
      <c r="BG522" s="791"/>
      <c r="BH522" s="791"/>
      <c r="BI522" s="791"/>
      <c r="BJ522" s="791"/>
      <c r="BK522" s="793"/>
      <c r="BL522" s="793"/>
      <c r="BM522" s="793"/>
      <c r="BN522" s="794"/>
      <c r="BO522" s="794"/>
      <c r="BP522" s="794"/>
      <c r="BQ522" s="791"/>
      <c r="BR522" s="791"/>
      <c r="BS522" s="791"/>
      <c r="BT522" s="791"/>
      <c r="BU522" s="791"/>
      <c r="BV522" s="791"/>
      <c r="BW522" s="791"/>
      <c r="BX522" s="791"/>
      <c r="BY522" s="791"/>
      <c r="BZ522" s="630"/>
      <c r="CA522" s="630"/>
      <c r="CB522" s="630"/>
    </row>
    <row r="523" spans="1:80" ht="30" customHeight="1" x14ac:dyDescent="0.2">
      <c r="A523" s="42"/>
      <c r="B523" s="315"/>
      <c r="C523" s="549"/>
      <c r="D523" s="707"/>
      <c r="E523" s="713"/>
      <c r="F523" s="713"/>
      <c r="G523" s="219">
        <v>65</v>
      </c>
      <c r="H523" s="80" t="s">
        <v>681</v>
      </c>
      <c r="I523" s="80"/>
      <c r="J523" s="80"/>
      <c r="K523" s="153"/>
      <c r="L523" s="153"/>
      <c r="M523" s="153"/>
      <c r="N523" s="173"/>
      <c r="O523" s="173"/>
      <c r="P523" s="80"/>
      <c r="Q523" s="80"/>
      <c r="R523" s="267"/>
      <c r="S523" s="267"/>
      <c r="T523" s="267"/>
      <c r="U523" s="451"/>
      <c r="V523" s="451"/>
      <c r="W523" s="451"/>
      <c r="X523" s="267"/>
      <c r="Y523" s="267"/>
      <c r="Z523" s="267"/>
      <c r="AA523" s="267"/>
      <c r="AB523" s="267"/>
      <c r="AC523" s="267"/>
      <c r="AD523" s="267"/>
      <c r="AE523" s="267"/>
      <c r="AF523" s="267"/>
      <c r="AG523" s="267"/>
      <c r="AH523" s="267"/>
      <c r="AI523" s="267"/>
      <c r="AJ523" s="267"/>
      <c r="AK523" s="267"/>
      <c r="AL523" s="267"/>
      <c r="AM523" s="267"/>
      <c r="AN523" s="267"/>
      <c r="AO523" s="267"/>
      <c r="AP523" s="267"/>
      <c r="AQ523" s="267"/>
      <c r="AR523" s="267"/>
      <c r="AS523" s="267"/>
      <c r="AT523" s="267"/>
      <c r="AU523" s="267"/>
      <c r="AV523" s="267"/>
      <c r="AW523" s="267"/>
      <c r="AX523" s="267"/>
      <c r="AY523" s="267"/>
      <c r="AZ523" s="267"/>
      <c r="BA523" s="267"/>
      <c r="BB523" s="267"/>
      <c r="BC523" s="267"/>
      <c r="BD523" s="267"/>
      <c r="BE523" s="267"/>
      <c r="BF523" s="267"/>
      <c r="BG523" s="267"/>
      <c r="BH523" s="267"/>
      <c r="BI523" s="267"/>
      <c r="BJ523" s="267"/>
      <c r="BK523" s="414"/>
      <c r="BL523" s="414"/>
      <c r="BM523" s="414"/>
      <c r="BN523" s="267"/>
      <c r="BO523" s="267"/>
      <c r="BP523" s="267"/>
      <c r="BQ523" s="267"/>
      <c r="BR523" s="267"/>
      <c r="BS523" s="267"/>
      <c r="BT523" s="267"/>
      <c r="BU523" s="267"/>
      <c r="BV523" s="267"/>
      <c r="BW523" s="267"/>
      <c r="BX523" s="267"/>
      <c r="BY523" s="267"/>
      <c r="BZ523" s="269"/>
      <c r="CA523" s="269"/>
      <c r="CB523" s="269"/>
    </row>
    <row r="524" spans="1:80" ht="58.5" customHeight="1" x14ac:dyDescent="0.2">
      <c r="A524" s="42"/>
      <c r="B524" s="314"/>
      <c r="C524" s="702" t="s">
        <v>682</v>
      </c>
      <c r="D524" s="708" t="s">
        <v>683</v>
      </c>
      <c r="E524" s="702" t="s">
        <v>684</v>
      </c>
      <c r="F524" s="712" t="s">
        <v>685</v>
      </c>
      <c r="G524" s="82"/>
      <c r="H524" s="57">
        <v>196</v>
      </c>
      <c r="I524" s="729" t="s">
        <v>686</v>
      </c>
      <c r="J524" s="57">
        <v>0</v>
      </c>
      <c r="K524" s="169">
        <v>1</v>
      </c>
      <c r="L524" s="386">
        <v>0.8</v>
      </c>
      <c r="M524" s="46">
        <v>201700360093</v>
      </c>
      <c r="N524" s="57" t="s">
        <v>621</v>
      </c>
      <c r="O524" s="57" t="s">
        <v>687</v>
      </c>
      <c r="P524" s="729" t="s">
        <v>1004</v>
      </c>
      <c r="Q524" s="57" t="s">
        <v>52</v>
      </c>
      <c r="R524" s="401">
        <v>0</v>
      </c>
      <c r="S524" s="401"/>
      <c r="T524" s="401"/>
      <c r="U524" s="401">
        <v>0</v>
      </c>
      <c r="V524" s="401"/>
      <c r="W524" s="401"/>
      <c r="X524" s="401">
        <v>0</v>
      </c>
      <c r="Y524" s="401"/>
      <c r="Z524" s="401"/>
      <c r="AA524" s="401">
        <v>0</v>
      </c>
      <c r="AB524" s="401"/>
      <c r="AC524" s="401"/>
      <c r="AD524" s="401">
        <v>0</v>
      </c>
      <c r="AE524" s="401"/>
      <c r="AF524" s="401"/>
      <c r="AG524" s="401">
        <v>0</v>
      </c>
      <c r="AH524" s="401"/>
      <c r="AI524" s="401"/>
      <c r="AJ524" s="401">
        <v>0</v>
      </c>
      <c r="AK524" s="401"/>
      <c r="AL524" s="401"/>
      <c r="AM524" s="401"/>
      <c r="AN524" s="401"/>
      <c r="AO524" s="401"/>
      <c r="AP524" s="401"/>
      <c r="AQ524" s="401"/>
      <c r="AR524" s="401"/>
      <c r="AS524" s="401">
        <v>0</v>
      </c>
      <c r="AT524" s="401"/>
      <c r="AU524" s="401"/>
      <c r="AV524" s="401">
        <v>0</v>
      </c>
      <c r="AW524" s="401"/>
      <c r="AX524" s="401"/>
      <c r="AY524" s="401"/>
      <c r="AZ524" s="401"/>
      <c r="BA524" s="401"/>
      <c r="BB524" s="401"/>
      <c r="BC524" s="401"/>
      <c r="BD524" s="401"/>
      <c r="BE524" s="401">
        <v>0</v>
      </c>
      <c r="BF524" s="401"/>
      <c r="BG524" s="401"/>
      <c r="BH524" s="401">
        <v>0</v>
      </c>
      <c r="BI524" s="401"/>
      <c r="BJ524" s="401"/>
      <c r="BK524" s="402">
        <f>25000000+31400000</f>
        <v>56400000</v>
      </c>
      <c r="BL524" s="402">
        <v>56400000</v>
      </c>
      <c r="BM524" s="402">
        <v>56400000</v>
      </c>
      <c r="BN524" s="402"/>
      <c r="BO524" s="402"/>
      <c r="BP524" s="402"/>
      <c r="BQ524" s="401">
        <v>0</v>
      </c>
      <c r="BR524" s="403"/>
      <c r="BS524" s="403"/>
      <c r="BT524" s="403"/>
      <c r="BU524" s="403"/>
      <c r="BV524" s="403"/>
      <c r="BW524" s="403"/>
      <c r="BX524" s="403"/>
      <c r="BY524" s="403"/>
      <c r="BZ524" s="401">
        <f>R524+U524+X524+AA524+AD524+AG524+AJ524+AM524+AP524+AS524+AV524+AY524+BB524+BE524+BH524+BK524+BN524+BQ524+BT524+BW524</f>
        <v>56400000</v>
      </c>
      <c r="CA524" s="401">
        <f t="shared" ref="CA524:CB524" si="233">S524+V524+Y524+AB524+AE524+AH524+AK524+AN524+AQ524+AT524+AW524+AZ524+BC524+BF524+BI524+BL524+BO524+BR524+BU524+BX524</f>
        <v>56400000</v>
      </c>
      <c r="CB524" s="401">
        <f t="shared" si="233"/>
        <v>56400000</v>
      </c>
    </row>
    <row r="525" spans="1:80" ht="30" customHeight="1" x14ac:dyDescent="0.2">
      <c r="A525" s="42"/>
      <c r="B525" s="315"/>
      <c r="C525" s="548"/>
      <c r="D525" s="709"/>
      <c r="E525" s="714"/>
      <c r="F525" s="714"/>
      <c r="G525" s="275"/>
      <c r="H525" s="59"/>
      <c r="I525" s="58"/>
      <c r="J525" s="59"/>
      <c r="K525" s="191"/>
      <c r="L525" s="191"/>
      <c r="M525" s="191"/>
      <c r="N525" s="59"/>
      <c r="O525" s="59"/>
      <c r="P525" s="58"/>
      <c r="Q525" s="59"/>
      <c r="R525" s="410">
        <f t="shared" ref="R525:BY525" si="234">SUM(R524)</f>
        <v>0</v>
      </c>
      <c r="S525" s="410">
        <f t="shared" si="234"/>
        <v>0</v>
      </c>
      <c r="T525" s="410">
        <f t="shared" si="234"/>
        <v>0</v>
      </c>
      <c r="U525" s="410">
        <f t="shared" si="234"/>
        <v>0</v>
      </c>
      <c r="V525" s="410">
        <f t="shared" si="234"/>
        <v>0</v>
      </c>
      <c r="W525" s="410">
        <f t="shared" si="234"/>
        <v>0</v>
      </c>
      <c r="X525" s="410">
        <f t="shared" si="234"/>
        <v>0</v>
      </c>
      <c r="Y525" s="410">
        <f t="shared" si="234"/>
        <v>0</v>
      </c>
      <c r="Z525" s="410">
        <f t="shared" si="234"/>
        <v>0</v>
      </c>
      <c r="AA525" s="410">
        <f t="shared" si="234"/>
        <v>0</v>
      </c>
      <c r="AB525" s="410">
        <f t="shared" si="234"/>
        <v>0</v>
      </c>
      <c r="AC525" s="410">
        <f t="shared" si="234"/>
        <v>0</v>
      </c>
      <c r="AD525" s="410">
        <f t="shared" si="234"/>
        <v>0</v>
      </c>
      <c r="AE525" s="410">
        <f t="shared" si="234"/>
        <v>0</v>
      </c>
      <c r="AF525" s="410">
        <f t="shared" si="234"/>
        <v>0</v>
      </c>
      <c r="AG525" s="410">
        <f t="shared" si="234"/>
        <v>0</v>
      </c>
      <c r="AH525" s="410">
        <f t="shared" si="234"/>
        <v>0</v>
      </c>
      <c r="AI525" s="410">
        <f t="shared" si="234"/>
        <v>0</v>
      </c>
      <c r="AJ525" s="410">
        <f t="shared" si="234"/>
        <v>0</v>
      </c>
      <c r="AK525" s="410">
        <f t="shared" si="234"/>
        <v>0</v>
      </c>
      <c r="AL525" s="410">
        <f t="shared" si="234"/>
        <v>0</v>
      </c>
      <c r="AM525" s="410">
        <f t="shared" si="234"/>
        <v>0</v>
      </c>
      <c r="AN525" s="410">
        <f t="shared" si="234"/>
        <v>0</v>
      </c>
      <c r="AO525" s="410">
        <f t="shared" si="234"/>
        <v>0</v>
      </c>
      <c r="AP525" s="410">
        <f t="shared" si="234"/>
        <v>0</v>
      </c>
      <c r="AQ525" s="410">
        <f t="shared" si="234"/>
        <v>0</v>
      </c>
      <c r="AR525" s="410">
        <f t="shared" si="234"/>
        <v>0</v>
      </c>
      <c r="AS525" s="410">
        <f t="shared" si="234"/>
        <v>0</v>
      </c>
      <c r="AT525" s="410">
        <f t="shared" si="234"/>
        <v>0</v>
      </c>
      <c r="AU525" s="410">
        <f t="shared" si="234"/>
        <v>0</v>
      </c>
      <c r="AV525" s="410">
        <f t="shared" si="234"/>
        <v>0</v>
      </c>
      <c r="AW525" s="410">
        <f t="shared" si="234"/>
        <v>0</v>
      </c>
      <c r="AX525" s="410">
        <f t="shared" si="234"/>
        <v>0</v>
      </c>
      <c r="AY525" s="410">
        <f t="shared" si="234"/>
        <v>0</v>
      </c>
      <c r="AZ525" s="410">
        <f t="shared" si="234"/>
        <v>0</v>
      </c>
      <c r="BA525" s="410">
        <f t="shared" si="234"/>
        <v>0</v>
      </c>
      <c r="BB525" s="410">
        <f t="shared" si="234"/>
        <v>0</v>
      </c>
      <c r="BC525" s="410">
        <f t="shared" si="234"/>
        <v>0</v>
      </c>
      <c r="BD525" s="410">
        <f t="shared" si="234"/>
        <v>0</v>
      </c>
      <c r="BE525" s="410">
        <f t="shared" si="234"/>
        <v>0</v>
      </c>
      <c r="BF525" s="410">
        <f t="shared" si="234"/>
        <v>0</v>
      </c>
      <c r="BG525" s="410">
        <f t="shared" si="234"/>
        <v>0</v>
      </c>
      <c r="BH525" s="410">
        <f t="shared" si="234"/>
        <v>0</v>
      </c>
      <c r="BI525" s="410">
        <f t="shared" si="234"/>
        <v>0</v>
      </c>
      <c r="BJ525" s="410">
        <f t="shared" si="234"/>
        <v>0</v>
      </c>
      <c r="BK525" s="410">
        <f t="shared" si="234"/>
        <v>56400000</v>
      </c>
      <c r="BL525" s="410">
        <f t="shared" si="234"/>
        <v>56400000</v>
      </c>
      <c r="BM525" s="410">
        <f t="shared" si="234"/>
        <v>56400000</v>
      </c>
      <c r="BN525" s="410">
        <f t="shared" si="234"/>
        <v>0</v>
      </c>
      <c r="BO525" s="410">
        <f t="shared" si="234"/>
        <v>0</v>
      </c>
      <c r="BP525" s="410">
        <f t="shared" si="234"/>
        <v>0</v>
      </c>
      <c r="BQ525" s="410">
        <f t="shared" si="234"/>
        <v>0</v>
      </c>
      <c r="BR525" s="410">
        <f t="shared" si="234"/>
        <v>0</v>
      </c>
      <c r="BS525" s="410">
        <f t="shared" si="234"/>
        <v>0</v>
      </c>
      <c r="BT525" s="410">
        <f t="shared" si="234"/>
        <v>0</v>
      </c>
      <c r="BU525" s="410">
        <f t="shared" si="234"/>
        <v>0</v>
      </c>
      <c r="BV525" s="410">
        <f t="shared" si="234"/>
        <v>0</v>
      </c>
      <c r="BW525" s="410">
        <f t="shared" si="234"/>
        <v>0</v>
      </c>
      <c r="BX525" s="410">
        <f t="shared" si="234"/>
        <v>0</v>
      </c>
      <c r="BY525" s="410">
        <f t="shared" si="234"/>
        <v>0</v>
      </c>
      <c r="BZ525" s="410">
        <f>SUM(BZ524)</f>
        <v>56400000</v>
      </c>
      <c r="CA525" s="410">
        <f t="shared" ref="CA525:CB525" si="235">SUM(CA524)</f>
        <v>56400000</v>
      </c>
      <c r="CB525" s="410">
        <f t="shared" si="235"/>
        <v>56400000</v>
      </c>
    </row>
    <row r="526" spans="1:80" ht="30" customHeight="1" x14ac:dyDescent="0.2">
      <c r="A526" s="42"/>
      <c r="B526" s="315"/>
      <c r="C526" s="747"/>
      <c r="D526" s="748"/>
      <c r="E526" s="747"/>
      <c r="F526" s="747"/>
      <c r="G526" s="748"/>
      <c r="H526" s="747"/>
      <c r="I526" s="748"/>
      <c r="J526" s="749"/>
      <c r="K526" s="806"/>
      <c r="L526" s="806"/>
      <c r="M526" s="806"/>
      <c r="N526" s="749"/>
      <c r="O526" s="747"/>
      <c r="P526" s="748"/>
      <c r="Q526" s="747"/>
      <c r="R526" s="791"/>
      <c r="S526" s="791"/>
      <c r="T526" s="791"/>
      <c r="U526" s="791"/>
      <c r="V526" s="791"/>
      <c r="W526" s="791"/>
      <c r="X526" s="791"/>
      <c r="Y526" s="791"/>
      <c r="Z526" s="791"/>
      <c r="AA526" s="791"/>
      <c r="AB526" s="791"/>
      <c r="AC526" s="791"/>
      <c r="AD526" s="791"/>
      <c r="AE526" s="791"/>
      <c r="AF526" s="791"/>
      <c r="AG526" s="791"/>
      <c r="AH526" s="791"/>
      <c r="AI526" s="791"/>
      <c r="AJ526" s="791"/>
      <c r="AK526" s="791"/>
      <c r="AL526" s="791"/>
      <c r="AM526" s="791"/>
      <c r="AN526" s="791"/>
      <c r="AO526" s="791"/>
      <c r="AP526" s="791"/>
      <c r="AQ526" s="791"/>
      <c r="AR526" s="791"/>
      <c r="AS526" s="791"/>
      <c r="AT526" s="791"/>
      <c r="AU526" s="791"/>
      <c r="AV526" s="791"/>
      <c r="AW526" s="791"/>
      <c r="AX526" s="791"/>
      <c r="AY526" s="791"/>
      <c r="AZ526" s="791"/>
      <c r="BA526" s="791"/>
      <c r="BB526" s="791"/>
      <c r="BC526" s="791"/>
      <c r="BD526" s="791"/>
      <c r="BE526" s="791"/>
      <c r="BF526" s="791"/>
      <c r="BG526" s="791"/>
      <c r="BH526" s="791"/>
      <c r="BI526" s="791"/>
      <c r="BJ526" s="791"/>
      <c r="BK526" s="793"/>
      <c r="BL526" s="793"/>
      <c r="BM526" s="793"/>
      <c r="BN526" s="794"/>
      <c r="BO526" s="794"/>
      <c r="BP526" s="794"/>
      <c r="BQ526" s="791"/>
      <c r="BR526" s="791"/>
      <c r="BS526" s="791"/>
      <c r="BT526" s="791"/>
      <c r="BU526" s="791"/>
      <c r="BV526" s="791"/>
      <c r="BW526" s="791"/>
      <c r="BX526" s="791"/>
      <c r="BY526" s="791"/>
      <c r="BZ526" s="630"/>
      <c r="CA526" s="630"/>
      <c r="CB526" s="630"/>
    </row>
    <row r="527" spans="1:80" ht="30" customHeight="1" x14ac:dyDescent="0.2">
      <c r="A527" s="42"/>
      <c r="B527" s="315"/>
      <c r="C527" s="549"/>
      <c r="D527" s="707"/>
      <c r="E527" s="713"/>
      <c r="F527" s="713"/>
      <c r="G527" s="78">
        <v>66</v>
      </c>
      <c r="H527" s="80" t="s">
        <v>689</v>
      </c>
      <c r="I527" s="80"/>
      <c r="J527" s="80"/>
      <c r="K527" s="153"/>
      <c r="L527" s="153"/>
      <c r="M527" s="153"/>
      <c r="N527" s="173"/>
      <c r="O527" s="173"/>
      <c r="P527" s="80"/>
      <c r="Q527" s="80"/>
      <c r="R527" s="267"/>
      <c r="S527" s="267"/>
      <c r="T527" s="267"/>
      <c r="U527" s="267"/>
      <c r="V527" s="267"/>
      <c r="W527" s="267"/>
      <c r="X527" s="267"/>
      <c r="Y527" s="267"/>
      <c r="Z527" s="267"/>
      <c r="AA527" s="267"/>
      <c r="AB527" s="267"/>
      <c r="AC527" s="267"/>
      <c r="AD527" s="267"/>
      <c r="AE527" s="267"/>
      <c r="AF527" s="267"/>
      <c r="AG527" s="267"/>
      <c r="AH527" s="267"/>
      <c r="AI527" s="267"/>
      <c r="AJ527" s="267"/>
      <c r="AK527" s="267"/>
      <c r="AL527" s="267"/>
      <c r="AM527" s="267"/>
      <c r="AN527" s="267"/>
      <c r="AO527" s="267"/>
      <c r="AP527" s="267"/>
      <c r="AQ527" s="267"/>
      <c r="AR527" s="267"/>
      <c r="AS527" s="267"/>
      <c r="AT527" s="267"/>
      <c r="AU527" s="267"/>
      <c r="AV527" s="267"/>
      <c r="AW527" s="267"/>
      <c r="AX527" s="267"/>
      <c r="AY527" s="267"/>
      <c r="AZ527" s="267"/>
      <c r="BA527" s="267"/>
      <c r="BB527" s="267"/>
      <c r="BC527" s="267"/>
      <c r="BD527" s="267"/>
      <c r="BE527" s="267"/>
      <c r="BF527" s="267"/>
      <c r="BG527" s="267"/>
      <c r="BH527" s="267"/>
      <c r="BI527" s="267"/>
      <c r="BJ527" s="267"/>
      <c r="BK527" s="414"/>
      <c r="BL527" s="414"/>
      <c r="BM527" s="414"/>
      <c r="BN527" s="267"/>
      <c r="BO527" s="267"/>
      <c r="BP527" s="267"/>
      <c r="BQ527" s="267"/>
      <c r="BR527" s="267"/>
      <c r="BS527" s="267"/>
      <c r="BT527" s="267"/>
      <c r="BU527" s="267"/>
      <c r="BV527" s="267"/>
      <c r="BW527" s="267"/>
      <c r="BX527" s="267"/>
      <c r="BY527" s="267"/>
      <c r="BZ527" s="269"/>
      <c r="CA527" s="269"/>
      <c r="CB527" s="269"/>
    </row>
    <row r="528" spans="1:80" ht="68.25" customHeight="1" x14ac:dyDescent="0.2">
      <c r="A528" s="42"/>
      <c r="B528" s="314"/>
      <c r="C528" s="702">
        <v>21</v>
      </c>
      <c r="D528" s="708" t="s">
        <v>690</v>
      </c>
      <c r="E528" s="702" t="s">
        <v>691</v>
      </c>
      <c r="F528" s="712">
        <v>0.27</v>
      </c>
      <c r="G528" s="92"/>
      <c r="H528" s="727">
        <v>197</v>
      </c>
      <c r="I528" s="729" t="s">
        <v>692</v>
      </c>
      <c r="J528" s="57">
        <v>1</v>
      </c>
      <c r="K528" s="169">
        <v>1</v>
      </c>
      <c r="L528" s="169">
        <v>1</v>
      </c>
      <c r="M528" s="46">
        <v>201700360094</v>
      </c>
      <c r="N528" s="57" t="s">
        <v>621</v>
      </c>
      <c r="O528" s="57" t="s">
        <v>693</v>
      </c>
      <c r="P528" s="729" t="s">
        <v>694</v>
      </c>
      <c r="Q528" s="57" t="s">
        <v>52</v>
      </c>
      <c r="R528" s="401"/>
      <c r="S528" s="401"/>
      <c r="T528" s="401"/>
      <c r="U528" s="401"/>
      <c r="V528" s="401"/>
      <c r="W528" s="401"/>
      <c r="X528" s="401"/>
      <c r="Y528" s="401"/>
      <c r="Z528" s="401"/>
      <c r="AA528" s="401"/>
      <c r="AB528" s="401"/>
      <c r="AC528" s="401"/>
      <c r="AD528" s="401"/>
      <c r="AE528" s="401"/>
      <c r="AF528" s="401"/>
      <c r="AG528" s="401"/>
      <c r="AH528" s="401"/>
      <c r="AI528" s="401"/>
      <c r="AJ528" s="401"/>
      <c r="AK528" s="401"/>
      <c r="AL528" s="401"/>
      <c r="AM528" s="401"/>
      <c r="AN528" s="401"/>
      <c r="AO528" s="401"/>
      <c r="AP528" s="401"/>
      <c r="AQ528" s="401"/>
      <c r="AR528" s="401"/>
      <c r="AS528" s="401"/>
      <c r="AT528" s="401"/>
      <c r="AU528" s="401"/>
      <c r="AV528" s="401"/>
      <c r="AW528" s="401"/>
      <c r="AX528" s="401"/>
      <c r="AY528" s="401"/>
      <c r="AZ528" s="401"/>
      <c r="BA528" s="401"/>
      <c r="BB528" s="401"/>
      <c r="BC528" s="401"/>
      <c r="BD528" s="401"/>
      <c r="BE528" s="401"/>
      <c r="BF528" s="401"/>
      <c r="BG528" s="401"/>
      <c r="BH528" s="401"/>
      <c r="BI528" s="401"/>
      <c r="BJ528" s="401"/>
      <c r="BK528" s="672">
        <f>45000000+24300000+33520000</f>
        <v>102820000</v>
      </c>
      <c r="BL528" s="402">
        <v>67920000</v>
      </c>
      <c r="BM528" s="402">
        <v>63336500</v>
      </c>
      <c r="BN528" s="415"/>
      <c r="BO528" s="415"/>
      <c r="BP528" s="415"/>
      <c r="BQ528" s="401"/>
      <c r="BR528" s="403"/>
      <c r="BS528" s="403"/>
      <c r="BT528" s="403"/>
      <c r="BU528" s="403"/>
      <c r="BV528" s="403"/>
      <c r="BW528" s="403"/>
      <c r="BX528" s="403"/>
      <c r="BY528" s="403"/>
      <c r="BZ528" s="401">
        <f>R528+U528+X528+AA528+AD528+AG528+AJ528+AM528+AP528+AS528+AV528+AY528+BB528+BE528+BH528+BK528+BN528+BQ528+BT528+BW528</f>
        <v>102820000</v>
      </c>
      <c r="CA528" s="401">
        <f t="shared" ref="CA528:CB528" si="236">S528+V528+Y528+AB528+AE528+AH528+AK528+AN528+AQ528+AT528+AW528+AZ528+BC528+BF528+BI528+BL528+BO528+BR528+BU528+BX528</f>
        <v>67920000</v>
      </c>
      <c r="CB528" s="401">
        <f t="shared" si="236"/>
        <v>63336500</v>
      </c>
    </row>
    <row r="529" spans="1:80" ht="30" customHeight="1" x14ac:dyDescent="0.2">
      <c r="A529" s="42"/>
      <c r="B529" s="318"/>
      <c r="C529" s="548"/>
      <c r="D529" s="709"/>
      <c r="E529" s="714"/>
      <c r="F529" s="714"/>
      <c r="G529" s="58"/>
      <c r="H529" s="59"/>
      <c r="I529" s="58"/>
      <c r="J529" s="59"/>
      <c r="K529" s="191"/>
      <c r="L529" s="191"/>
      <c r="M529" s="191"/>
      <c r="N529" s="59"/>
      <c r="O529" s="59"/>
      <c r="P529" s="58"/>
      <c r="Q529" s="59"/>
      <c r="R529" s="410">
        <f t="shared" ref="R529:CB529" si="237">SUM(R528:R528)</f>
        <v>0</v>
      </c>
      <c r="S529" s="410">
        <f t="shared" si="237"/>
        <v>0</v>
      </c>
      <c r="T529" s="410">
        <f t="shared" si="237"/>
        <v>0</v>
      </c>
      <c r="U529" s="410">
        <f t="shared" si="237"/>
        <v>0</v>
      </c>
      <c r="V529" s="410">
        <f t="shared" si="237"/>
        <v>0</v>
      </c>
      <c r="W529" s="410">
        <f t="shared" si="237"/>
        <v>0</v>
      </c>
      <c r="X529" s="410">
        <f t="shared" si="237"/>
        <v>0</v>
      </c>
      <c r="Y529" s="410">
        <f t="shared" si="237"/>
        <v>0</v>
      </c>
      <c r="Z529" s="410">
        <f t="shared" si="237"/>
        <v>0</v>
      </c>
      <c r="AA529" s="410">
        <f t="shared" si="237"/>
        <v>0</v>
      </c>
      <c r="AB529" s="410">
        <f t="shared" si="237"/>
        <v>0</v>
      </c>
      <c r="AC529" s="410">
        <f t="shared" si="237"/>
        <v>0</v>
      </c>
      <c r="AD529" s="410">
        <f t="shared" si="237"/>
        <v>0</v>
      </c>
      <c r="AE529" s="410">
        <f t="shared" si="237"/>
        <v>0</v>
      </c>
      <c r="AF529" s="410">
        <f t="shared" si="237"/>
        <v>0</v>
      </c>
      <c r="AG529" s="410">
        <f t="shared" si="237"/>
        <v>0</v>
      </c>
      <c r="AH529" s="410">
        <f t="shared" si="237"/>
        <v>0</v>
      </c>
      <c r="AI529" s="410">
        <f t="shared" si="237"/>
        <v>0</v>
      </c>
      <c r="AJ529" s="410">
        <f t="shared" si="237"/>
        <v>0</v>
      </c>
      <c r="AK529" s="410">
        <f t="shared" si="237"/>
        <v>0</v>
      </c>
      <c r="AL529" s="410">
        <f t="shared" si="237"/>
        <v>0</v>
      </c>
      <c r="AM529" s="410">
        <f t="shared" si="237"/>
        <v>0</v>
      </c>
      <c r="AN529" s="410">
        <f t="shared" si="237"/>
        <v>0</v>
      </c>
      <c r="AO529" s="410">
        <f t="shared" si="237"/>
        <v>0</v>
      </c>
      <c r="AP529" s="410">
        <f t="shared" si="237"/>
        <v>0</v>
      </c>
      <c r="AQ529" s="410">
        <f t="shared" si="237"/>
        <v>0</v>
      </c>
      <c r="AR529" s="410">
        <f t="shared" si="237"/>
        <v>0</v>
      </c>
      <c r="AS529" s="410">
        <f t="shared" si="237"/>
        <v>0</v>
      </c>
      <c r="AT529" s="410">
        <f t="shared" si="237"/>
        <v>0</v>
      </c>
      <c r="AU529" s="410">
        <f t="shared" si="237"/>
        <v>0</v>
      </c>
      <c r="AV529" s="410">
        <f t="shared" si="237"/>
        <v>0</v>
      </c>
      <c r="AW529" s="410">
        <f t="shared" si="237"/>
        <v>0</v>
      </c>
      <c r="AX529" s="410">
        <f t="shared" si="237"/>
        <v>0</v>
      </c>
      <c r="AY529" s="410">
        <f t="shared" si="237"/>
        <v>0</v>
      </c>
      <c r="AZ529" s="410">
        <f t="shared" si="237"/>
        <v>0</v>
      </c>
      <c r="BA529" s="410">
        <f t="shared" si="237"/>
        <v>0</v>
      </c>
      <c r="BB529" s="410">
        <f t="shared" si="237"/>
        <v>0</v>
      </c>
      <c r="BC529" s="410">
        <f t="shared" si="237"/>
        <v>0</v>
      </c>
      <c r="BD529" s="410">
        <f t="shared" si="237"/>
        <v>0</v>
      </c>
      <c r="BE529" s="410">
        <f t="shared" si="237"/>
        <v>0</v>
      </c>
      <c r="BF529" s="410">
        <f t="shared" si="237"/>
        <v>0</v>
      </c>
      <c r="BG529" s="410">
        <f t="shared" si="237"/>
        <v>0</v>
      </c>
      <c r="BH529" s="410">
        <f t="shared" si="237"/>
        <v>0</v>
      </c>
      <c r="BI529" s="410">
        <f t="shared" si="237"/>
        <v>0</v>
      </c>
      <c r="BJ529" s="410">
        <f t="shared" si="237"/>
        <v>0</v>
      </c>
      <c r="BK529" s="410">
        <f t="shared" si="237"/>
        <v>102820000</v>
      </c>
      <c r="BL529" s="410">
        <f t="shared" si="237"/>
        <v>67920000</v>
      </c>
      <c r="BM529" s="410">
        <f t="shared" si="237"/>
        <v>63336500</v>
      </c>
      <c r="BN529" s="410">
        <f t="shared" si="237"/>
        <v>0</v>
      </c>
      <c r="BO529" s="410">
        <f t="shared" si="237"/>
        <v>0</v>
      </c>
      <c r="BP529" s="410">
        <f t="shared" si="237"/>
        <v>0</v>
      </c>
      <c r="BQ529" s="410">
        <f t="shared" si="237"/>
        <v>0</v>
      </c>
      <c r="BR529" s="410">
        <f t="shared" si="237"/>
        <v>0</v>
      </c>
      <c r="BS529" s="410">
        <f t="shared" si="237"/>
        <v>0</v>
      </c>
      <c r="BT529" s="410">
        <f t="shared" si="237"/>
        <v>0</v>
      </c>
      <c r="BU529" s="410">
        <f t="shared" si="237"/>
        <v>0</v>
      </c>
      <c r="BV529" s="410">
        <f t="shared" si="237"/>
        <v>0</v>
      </c>
      <c r="BW529" s="410">
        <f t="shared" si="237"/>
        <v>0</v>
      </c>
      <c r="BX529" s="410">
        <f t="shared" si="237"/>
        <v>0</v>
      </c>
      <c r="BY529" s="410">
        <f t="shared" si="237"/>
        <v>0</v>
      </c>
      <c r="BZ529" s="410">
        <f t="shared" si="237"/>
        <v>102820000</v>
      </c>
      <c r="CA529" s="410">
        <f t="shared" si="237"/>
        <v>67920000</v>
      </c>
      <c r="CB529" s="410">
        <f t="shared" si="237"/>
        <v>63336500</v>
      </c>
    </row>
    <row r="530" spans="1:80" ht="30" customHeight="1" x14ac:dyDescent="0.2">
      <c r="A530" s="42"/>
      <c r="B530" s="95"/>
      <c r="C530" s="63"/>
      <c r="D530" s="62"/>
      <c r="E530" s="63"/>
      <c r="F530" s="63"/>
      <c r="G530" s="62"/>
      <c r="H530" s="63"/>
      <c r="I530" s="62"/>
      <c r="J530" s="63"/>
      <c r="K530" s="208"/>
      <c r="L530" s="208"/>
      <c r="M530" s="208"/>
      <c r="N530" s="63"/>
      <c r="O530" s="63"/>
      <c r="P530" s="62"/>
      <c r="Q530" s="63"/>
      <c r="R530" s="416">
        <f t="shared" ref="R530:CB530" si="238">R529+R525+R521+R517+R512</f>
        <v>0</v>
      </c>
      <c r="S530" s="416">
        <f t="shared" si="238"/>
        <v>0</v>
      </c>
      <c r="T530" s="416">
        <f t="shared" si="238"/>
        <v>0</v>
      </c>
      <c r="U530" s="416">
        <f t="shared" si="238"/>
        <v>0</v>
      </c>
      <c r="V530" s="416">
        <f t="shared" si="238"/>
        <v>0</v>
      </c>
      <c r="W530" s="416">
        <f t="shared" si="238"/>
        <v>0</v>
      </c>
      <c r="X530" s="416">
        <f t="shared" si="238"/>
        <v>0</v>
      </c>
      <c r="Y530" s="416">
        <f t="shared" si="238"/>
        <v>0</v>
      </c>
      <c r="Z530" s="416">
        <f t="shared" si="238"/>
        <v>0</v>
      </c>
      <c r="AA530" s="416">
        <f t="shared" si="238"/>
        <v>0</v>
      </c>
      <c r="AB530" s="416">
        <f t="shared" si="238"/>
        <v>0</v>
      </c>
      <c r="AC530" s="416">
        <f t="shared" si="238"/>
        <v>0</v>
      </c>
      <c r="AD530" s="416">
        <f t="shared" si="238"/>
        <v>0</v>
      </c>
      <c r="AE530" s="416">
        <f t="shared" si="238"/>
        <v>0</v>
      </c>
      <c r="AF530" s="416">
        <f t="shared" si="238"/>
        <v>0</v>
      </c>
      <c r="AG530" s="416">
        <f t="shared" si="238"/>
        <v>0</v>
      </c>
      <c r="AH530" s="416">
        <f t="shared" si="238"/>
        <v>0</v>
      </c>
      <c r="AI530" s="416">
        <f t="shared" si="238"/>
        <v>0</v>
      </c>
      <c r="AJ530" s="416">
        <f t="shared" si="238"/>
        <v>0</v>
      </c>
      <c r="AK530" s="416">
        <f t="shared" si="238"/>
        <v>0</v>
      </c>
      <c r="AL530" s="416">
        <f t="shared" si="238"/>
        <v>0</v>
      </c>
      <c r="AM530" s="416">
        <f t="shared" si="238"/>
        <v>0</v>
      </c>
      <c r="AN530" s="416">
        <f t="shared" si="238"/>
        <v>0</v>
      </c>
      <c r="AO530" s="416">
        <f t="shared" si="238"/>
        <v>0</v>
      </c>
      <c r="AP530" s="416">
        <f t="shared" si="238"/>
        <v>0</v>
      </c>
      <c r="AQ530" s="416">
        <f t="shared" si="238"/>
        <v>0</v>
      </c>
      <c r="AR530" s="416">
        <f t="shared" si="238"/>
        <v>0</v>
      </c>
      <c r="AS530" s="416">
        <f t="shared" si="238"/>
        <v>0</v>
      </c>
      <c r="AT530" s="416">
        <f t="shared" si="238"/>
        <v>0</v>
      </c>
      <c r="AU530" s="416">
        <f t="shared" si="238"/>
        <v>0</v>
      </c>
      <c r="AV530" s="416">
        <f t="shared" si="238"/>
        <v>0</v>
      </c>
      <c r="AW530" s="416">
        <f t="shared" si="238"/>
        <v>0</v>
      </c>
      <c r="AX530" s="416">
        <f t="shared" si="238"/>
        <v>0</v>
      </c>
      <c r="AY530" s="416">
        <f t="shared" si="238"/>
        <v>0</v>
      </c>
      <c r="AZ530" s="416">
        <f t="shared" si="238"/>
        <v>0</v>
      </c>
      <c r="BA530" s="416">
        <f t="shared" si="238"/>
        <v>0</v>
      </c>
      <c r="BB530" s="416">
        <f t="shared" si="238"/>
        <v>0</v>
      </c>
      <c r="BC530" s="416">
        <f t="shared" si="238"/>
        <v>0</v>
      </c>
      <c r="BD530" s="416">
        <f t="shared" si="238"/>
        <v>0</v>
      </c>
      <c r="BE530" s="416">
        <f t="shared" si="238"/>
        <v>0</v>
      </c>
      <c r="BF530" s="416">
        <f t="shared" si="238"/>
        <v>0</v>
      </c>
      <c r="BG530" s="416">
        <f t="shared" si="238"/>
        <v>0</v>
      </c>
      <c r="BH530" s="416">
        <f t="shared" si="238"/>
        <v>0</v>
      </c>
      <c r="BI530" s="416">
        <f t="shared" si="238"/>
        <v>0</v>
      </c>
      <c r="BJ530" s="416">
        <f t="shared" si="238"/>
        <v>0</v>
      </c>
      <c r="BK530" s="416">
        <f t="shared" si="238"/>
        <v>1614220000</v>
      </c>
      <c r="BL530" s="416">
        <f t="shared" si="238"/>
        <v>947809999</v>
      </c>
      <c r="BM530" s="416">
        <f t="shared" si="238"/>
        <v>461487100</v>
      </c>
      <c r="BN530" s="416">
        <f t="shared" si="238"/>
        <v>0</v>
      </c>
      <c r="BO530" s="416">
        <f t="shared" si="238"/>
        <v>0</v>
      </c>
      <c r="BP530" s="416">
        <f t="shared" si="238"/>
        <v>0</v>
      </c>
      <c r="BQ530" s="416">
        <f t="shared" si="238"/>
        <v>0</v>
      </c>
      <c r="BR530" s="416">
        <f t="shared" si="238"/>
        <v>0</v>
      </c>
      <c r="BS530" s="416">
        <f t="shared" si="238"/>
        <v>0</v>
      </c>
      <c r="BT530" s="416">
        <f t="shared" si="238"/>
        <v>0</v>
      </c>
      <c r="BU530" s="416">
        <f t="shared" si="238"/>
        <v>0</v>
      </c>
      <c r="BV530" s="416">
        <f t="shared" si="238"/>
        <v>0</v>
      </c>
      <c r="BW530" s="416">
        <f t="shared" si="238"/>
        <v>0</v>
      </c>
      <c r="BX530" s="416">
        <f t="shared" si="238"/>
        <v>0</v>
      </c>
      <c r="BY530" s="416">
        <f t="shared" si="238"/>
        <v>0</v>
      </c>
      <c r="BZ530" s="416">
        <f t="shared" si="238"/>
        <v>1614220000</v>
      </c>
      <c r="CA530" s="416">
        <f t="shared" si="238"/>
        <v>947809999</v>
      </c>
      <c r="CB530" s="416">
        <f t="shared" si="238"/>
        <v>461487100</v>
      </c>
    </row>
    <row r="531" spans="1:80" ht="30" customHeight="1" x14ac:dyDescent="0.2">
      <c r="A531" s="42"/>
      <c r="B531" s="311"/>
      <c r="C531" s="312"/>
      <c r="D531" s="72"/>
      <c r="E531" s="150"/>
      <c r="F531" s="150"/>
      <c r="G531" s="72"/>
      <c r="H531" s="150"/>
      <c r="I531" s="72"/>
      <c r="J531" s="150"/>
      <c r="K531" s="195"/>
      <c r="L531" s="195"/>
      <c r="M531" s="195"/>
      <c r="N531" s="150"/>
      <c r="O531" s="150"/>
      <c r="P531" s="72"/>
      <c r="Q531" s="150"/>
      <c r="R531" s="405"/>
      <c r="S531" s="405"/>
      <c r="T531" s="405"/>
      <c r="U531" s="405"/>
      <c r="V531" s="405"/>
      <c r="W531" s="405"/>
      <c r="X531" s="405"/>
      <c r="Y531" s="405"/>
      <c r="Z531" s="405"/>
      <c r="AA531" s="405"/>
      <c r="AB531" s="405"/>
      <c r="AC531" s="405"/>
      <c r="AD531" s="405"/>
      <c r="AE531" s="405"/>
      <c r="AF531" s="405"/>
      <c r="AG531" s="405"/>
      <c r="AH531" s="405"/>
      <c r="AI531" s="405"/>
      <c r="AJ531" s="405"/>
      <c r="AK531" s="405"/>
      <c r="AL531" s="405"/>
      <c r="AM531" s="405"/>
      <c r="AN531" s="405"/>
      <c r="AO531" s="405"/>
      <c r="AP531" s="405"/>
      <c r="AQ531" s="405"/>
      <c r="AR531" s="405"/>
      <c r="AS531" s="405"/>
      <c r="AT531" s="405"/>
      <c r="AU531" s="405"/>
      <c r="AV531" s="405"/>
      <c r="AW531" s="405"/>
      <c r="AX531" s="405"/>
      <c r="AY531" s="405"/>
      <c r="AZ531" s="405"/>
      <c r="BA531" s="405"/>
      <c r="BB531" s="405"/>
      <c r="BC531" s="405"/>
      <c r="BD531" s="405"/>
      <c r="BE531" s="405"/>
      <c r="BF531" s="405"/>
      <c r="BG531" s="405"/>
      <c r="BH531" s="405"/>
      <c r="BI531" s="405"/>
      <c r="BJ531" s="405"/>
      <c r="BK531" s="407"/>
      <c r="BL531" s="407"/>
      <c r="BM531" s="407"/>
      <c r="BN531" s="408"/>
      <c r="BO531" s="408"/>
      <c r="BP531" s="408"/>
      <c r="BQ531" s="405"/>
      <c r="BR531" s="405"/>
      <c r="BS531" s="405"/>
      <c r="BT531" s="405"/>
      <c r="BU531" s="405"/>
      <c r="BV531" s="405"/>
      <c r="BW531" s="405"/>
      <c r="BX531" s="405"/>
      <c r="BY531" s="405"/>
      <c r="BZ531" s="409"/>
      <c r="CA531" s="409"/>
      <c r="CB531" s="409"/>
    </row>
    <row r="532" spans="1:80" ht="30" customHeight="1" x14ac:dyDescent="0.2">
      <c r="A532" s="42"/>
      <c r="B532" s="125">
        <v>19</v>
      </c>
      <c r="C532" s="38" t="s">
        <v>695</v>
      </c>
      <c r="D532" s="39"/>
      <c r="E532" s="39"/>
      <c r="F532" s="39"/>
      <c r="G532" s="39"/>
      <c r="H532" s="40"/>
      <c r="I532" s="39"/>
      <c r="J532" s="39"/>
      <c r="K532" s="201"/>
      <c r="L532" s="201"/>
      <c r="M532" s="201"/>
      <c r="N532" s="40"/>
      <c r="O532" s="40"/>
      <c r="P532" s="39"/>
      <c r="Q532" s="39"/>
      <c r="R532" s="412"/>
      <c r="S532" s="412"/>
      <c r="T532" s="412"/>
      <c r="U532" s="412"/>
      <c r="V532" s="412"/>
      <c r="W532" s="412"/>
      <c r="X532" s="412"/>
      <c r="Y532" s="412"/>
      <c r="Z532" s="412"/>
      <c r="AA532" s="412"/>
      <c r="AB532" s="412"/>
      <c r="AC532" s="412"/>
      <c r="AD532" s="412"/>
      <c r="AE532" s="412"/>
      <c r="AF532" s="412"/>
      <c r="AG532" s="412"/>
      <c r="AH532" s="412"/>
      <c r="AI532" s="412"/>
      <c r="AJ532" s="412"/>
      <c r="AK532" s="412"/>
      <c r="AL532" s="412"/>
      <c r="AM532" s="412"/>
      <c r="AN532" s="412"/>
      <c r="AO532" s="412"/>
      <c r="AP532" s="412"/>
      <c r="AQ532" s="412"/>
      <c r="AR532" s="412"/>
      <c r="AS532" s="412"/>
      <c r="AT532" s="412"/>
      <c r="AU532" s="412"/>
      <c r="AV532" s="412"/>
      <c r="AW532" s="412"/>
      <c r="AX532" s="412"/>
      <c r="AY532" s="412"/>
      <c r="AZ532" s="412"/>
      <c r="BA532" s="412"/>
      <c r="BB532" s="412"/>
      <c r="BC532" s="412"/>
      <c r="BD532" s="412"/>
      <c r="BE532" s="412"/>
      <c r="BF532" s="412"/>
      <c r="BG532" s="412"/>
      <c r="BH532" s="412"/>
      <c r="BI532" s="412"/>
      <c r="BJ532" s="412"/>
      <c r="BK532" s="413"/>
      <c r="BL532" s="413"/>
      <c r="BM532" s="413"/>
      <c r="BN532" s="412"/>
      <c r="BO532" s="412"/>
      <c r="BP532" s="412"/>
      <c r="BQ532" s="412"/>
      <c r="BR532" s="412"/>
      <c r="BS532" s="412"/>
      <c r="BT532" s="412"/>
      <c r="BU532" s="412"/>
      <c r="BV532" s="412"/>
      <c r="BW532" s="412"/>
      <c r="BX532" s="412"/>
      <c r="BY532" s="412"/>
      <c r="BZ532" s="417"/>
      <c r="CA532" s="417"/>
      <c r="CB532" s="417"/>
    </row>
    <row r="533" spans="1:80" ht="32.25" customHeight="1" x14ac:dyDescent="0.2">
      <c r="A533" s="42"/>
      <c r="B533" s="313"/>
      <c r="C533" s="320"/>
      <c r="D533" s="729"/>
      <c r="E533" s="57"/>
      <c r="F533" s="57"/>
      <c r="G533" s="219">
        <v>67</v>
      </c>
      <c r="H533" s="80" t="s">
        <v>696</v>
      </c>
      <c r="I533" s="80"/>
      <c r="J533" s="80"/>
      <c r="K533" s="153"/>
      <c r="L533" s="153"/>
      <c r="M533" s="153"/>
      <c r="N533" s="173"/>
      <c r="O533" s="173"/>
      <c r="P533" s="80"/>
      <c r="Q533" s="80"/>
      <c r="R533" s="267"/>
      <c r="S533" s="267"/>
      <c r="T533" s="267"/>
      <c r="U533" s="267"/>
      <c r="V533" s="267"/>
      <c r="W533" s="267"/>
      <c r="X533" s="267"/>
      <c r="Y533" s="267"/>
      <c r="Z533" s="267"/>
      <c r="AA533" s="267"/>
      <c r="AB533" s="267"/>
      <c r="AC533" s="267"/>
      <c r="AD533" s="267"/>
      <c r="AE533" s="267"/>
      <c r="AF533" s="267"/>
      <c r="AG533" s="267"/>
      <c r="AH533" s="267"/>
      <c r="AI533" s="267"/>
      <c r="AJ533" s="267"/>
      <c r="AK533" s="267"/>
      <c r="AL533" s="267"/>
      <c r="AM533" s="267"/>
      <c r="AN533" s="267"/>
      <c r="AO533" s="267"/>
      <c r="AP533" s="267"/>
      <c r="AQ533" s="267"/>
      <c r="AR533" s="267"/>
      <c r="AS533" s="267"/>
      <c r="AT533" s="267"/>
      <c r="AU533" s="267"/>
      <c r="AV533" s="267"/>
      <c r="AW533" s="267"/>
      <c r="AX533" s="267"/>
      <c r="AY533" s="267"/>
      <c r="AZ533" s="267"/>
      <c r="BA533" s="267"/>
      <c r="BB533" s="267"/>
      <c r="BC533" s="267"/>
      <c r="BD533" s="267"/>
      <c r="BE533" s="267"/>
      <c r="BF533" s="267"/>
      <c r="BG533" s="267"/>
      <c r="BH533" s="267"/>
      <c r="BI533" s="267"/>
      <c r="BJ533" s="267"/>
      <c r="BK533" s="414"/>
      <c r="BL533" s="414"/>
      <c r="BM533" s="414"/>
      <c r="BN533" s="267"/>
      <c r="BO533" s="267"/>
      <c r="BP533" s="267"/>
      <c r="BQ533" s="267"/>
      <c r="BR533" s="267"/>
      <c r="BS533" s="267"/>
      <c r="BT533" s="267"/>
      <c r="BU533" s="267"/>
      <c r="BV533" s="267"/>
      <c r="BW533" s="267"/>
      <c r="BX533" s="267"/>
      <c r="BY533" s="267"/>
      <c r="BZ533" s="269"/>
      <c r="CA533" s="269"/>
      <c r="CB533" s="269"/>
    </row>
    <row r="534" spans="1:80" s="2" customFormat="1" ht="65.25" customHeight="1" x14ac:dyDescent="0.25">
      <c r="A534" s="42"/>
      <c r="B534" s="314"/>
      <c r="C534" s="895">
        <v>35</v>
      </c>
      <c r="D534" s="895" t="s">
        <v>697</v>
      </c>
      <c r="E534" s="895" t="s">
        <v>698</v>
      </c>
      <c r="F534" s="895" t="s">
        <v>699</v>
      </c>
      <c r="G534" s="43"/>
      <c r="H534" s="150">
        <v>198</v>
      </c>
      <c r="I534" s="729" t="s">
        <v>700</v>
      </c>
      <c r="J534" s="57">
        <v>1</v>
      </c>
      <c r="K534" s="169">
        <v>1</v>
      </c>
      <c r="L534" s="386">
        <v>0.8</v>
      </c>
      <c r="M534" s="884">
        <v>201700360095</v>
      </c>
      <c r="N534" s="895" t="s">
        <v>621</v>
      </c>
      <c r="O534" s="895" t="s">
        <v>701</v>
      </c>
      <c r="P534" s="890" t="s">
        <v>1005</v>
      </c>
      <c r="Q534" s="57" t="s">
        <v>52</v>
      </c>
      <c r="R534" s="401">
        <v>0</v>
      </c>
      <c r="S534" s="401"/>
      <c r="T534" s="401"/>
      <c r="U534" s="401">
        <v>0</v>
      </c>
      <c r="V534" s="401"/>
      <c r="W534" s="401"/>
      <c r="X534" s="401"/>
      <c r="Y534" s="401"/>
      <c r="Z534" s="401"/>
      <c r="AA534" s="401">
        <v>0</v>
      </c>
      <c r="AB534" s="401"/>
      <c r="AC534" s="401"/>
      <c r="AD534" s="401">
        <v>0</v>
      </c>
      <c r="AE534" s="401"/>
      <c r="AF534" s="401"/>
      <c r="AG534" s="401">
        <v>0</v>
      </c>
      <c r="AH534" s="401"/>
      <c r="AI534" s="401"/>
      <c r="AJ534" s="401">
        <v>0</v>
      </c>
      <c r="AK534" s="401"/>
      <c r="AL534" s="401"/>
      <c r="AM534" s="401"/>
      <c r="AN534" s="401"/>
      <c r="AO534" s="401"/>
      <c r="AP534" s="401"/>
      <c r="AQ534" s="401"/>
      <c r="AR534" s="401"/>
      <c r="AS534" s="401">
        <v>0</v>
      </c>
      <c r="AT534" s="401"/>
      <c r="AU534" s="401"/>
      <c r="AV534" s="401">
        <v>0</v>
      </c>
      <c r="AW534" s="401"/>
      <c r="AX534" s="401"/>
      <c r="AY534" s="401"/>
      <c r="AZ534" s="401"/>
      <c r="BA534" s="401"/>
      <c r="BB534" s="401"/>
      <c r="BC534" s="401"/>
      <c r="BD534" s="401"/>
      <c r="BE534" s="401">
        <v>0</v>
      </c>
      <c r="BF534" s="401"/>
      <c r="BG534" s="401"/>
      <c r="BH534" s="401">
        <v>0</v>
      </c>
      <c r="BI534" s="403"/>
      <c r="BJ534" s="403"/>
      <c r="BK534" s="674">
        <f>44000000+40480000</f>
        <v>84480000</v>
      </c>
      <c r="BL534" s="404">
        <v>43500000</v>
      </c>
      <c r="BM534" s="404">
        <v>31657000</v>
      </c>
      <c r="BN534" s="404"/>
      <c r="BO534" s="404"/>
      <c r="BP534" s="404"/>
      <c r="BQ534" s="401">
        <v>0</v>
      </c>
      <c r="BR534" s="403"/>
      <c r="BS534" s="403"/>
      <c r="BT534" s="403"/>
      <c r="BU534" s="403"/>
      <c r="BV534" s="403"/>
      <c r="BW534" s="403"/>
      <c r="BX534" s="403"/>
      <c r="BY534" s="403"/>
      <c r="BZ534" s="401">
        <f t="shared" ref="BZ534:CB537" si="239">R534+U534+X534+AA534+AD534+AG534+AJ534+AM534+AP534+AS534+AV534+AY534+BB534+BE534+BH534+BK534+BN534+BQ534+BT534+BW534</f>
        <v>84480000</v>
      </c>
      <c r="CA534" s="401">
        <f t="shared" si="239"/>
        <v>43500000</v>
      </c>
      <c r="CB534" s="401">
        <f t="shared" si="239"/>
        <v>31657000</v>
      </c>
    </row>
    <row r="535" spans="1:80" s="2" customFormat="1" ht="65.25" customHeight="1" x14ac:dyDescent="0.25">
      <c r="A535" s="42"/>
      <c r="B535" s="314"/>
      <c r="C535" s="883"/>
      <c r="D535" s="883"/>
      <c r="E535" s="883"/>
      <c r="F535" s="883"/>
      <c r="G535" s="49"/>
      <c r="H535" s="57">
        <v>199</v>
      </c>
      <c r="I535" s="729" t="s">
        <v>703</v>
      </c>
      <c r="J535" s="57">
        <v>0</v>
      </c>
      <c r="K535" s="169">
        <v>4</v>
      </c>
      <c r="L535" s="169">
        <v>4</v>
      </c>
      <c r="M535" s="885"/>
      <c r="N535" s="883"/>
      <c r="O535" s="883"/>
      <c r="P535" s="891"/>
      <c r="Q535" s="57" t="s">
        <v>52</v>
      </c>
      <c r="R535" s="401"/>
      <c r="S535" s="401"/>
      <c r="T535" s="401"/>
      <c r="U535" s="401"/>
      <c r="V535" s="401"/>
      <c r="W535" s="401"/>
      <c r="X535" s="401"/>
      <c r="Y535" s="401"/>
      <c r="Z535" s="401"/>
      <c r="AA535" s="401"/>
      <c r="AB535" s="401"/>
      <c r="AC535" s="401"/>
      <c r="AD535" s="401"/>
      <c r="AE535" s="401"/>
      <c r="AF535" s="401"/>
      <c r="AG535" s="401"/>
      <c r="AH535" s="401"/>
      <c r="AI535" s="401"/>
      <c r="AJ535" s="401"/>
      <c r="AK535" s="401"/>
      <c r="AL535" s="401"/>
      <c r="AM535" s="401"/>
      <c r="AN535" s="401"/>
      <c r="AO535" s="401"/>
      <c r="AP535" s="401"/>
      <c r="AQ535" s="401"/>
      <c r="AR535" s="401"/>
      <c r="AS535" s="401"/>
      <c r="AT535" s="401"/>
      <c r="AU535" s="401"/>
      <c r="AV535" s="401"/>
      <c r="AW535" s="401"/>
      <c r="AX535" s="401"/>
      <c r="AY535" s="401"/>
      <c r="AZ535" s="401"/>
      <c r="BA535" s="401"/>
      <c r="BB535" s="401"/>
      <c r="BC535" s="401"/>
      <c r="BD535" s="401"/>
      <c r="BE535" s="401"/>
      <c r="BF535" s="401"/>
      <c r="BG535" s="401"/>
      <c r="BH535" s="401"/>
      <c r="BI535" s="403"/>
      <c r="BJ535" s="403"/>
      <c r="BK535" s="404">
        <f>37000000+24300000</f>
        <v>61300000</v>
      </c>
      <c r="BL535" s="404">
        <v>61300000</v>
      </c>
      <c r="BM535" s="404">
        <v>50267000</v>
      </c>
      <c r="BN535" s="404"/>
      <c r="BO535" s="404"/>
      <c r="BP535" s="404"/>
      <c r="BQ535" s="401"/>
      <c r="BR535" s="403"/>
      <c r="BS535" s="403"/>
      <c r="BT535" s="403"/>
      <c r="BU535" s="403"/>
      <c r="BV535" s="403"/>
      <c r="BW535" s="403"/>
      <c r="BX535" s="403"/>
      <c r="BY535" s="403"/>
      <c r="BZ535" s="401">
        <f t="shared" si="239"/>
        <v>61300000</v>
      </c>
      <c r="CA535" s="401">
        <f t="shared" si="239"/>
        <v>61300000</v>
      </c>
      <c r="CB535" s="401">
        <f t="shared" si="239"/>
        <v>50267000</v>
      </c>
    </row>
    <row r="536" spans="1:80" ht="65.25" customHeight="1" x14ac:dyDescent="0.2">
      <c r="A536" s="42"/>
      <c r="B536" s="314"/>
      <c r="C536" s="883"/>
      <c r="D536" s="883"/>
      <c r="E536" s="883"/>
      <c r="F536" s="883"/>
      <c r="G536" s="49"/>
      <c r="H536" s="150">
        <v>200</v>
      </c>
      <c r="I536" s="729" t="s">
        <v>704</v>
      </c>
      <c r="J536" s="57">
        <v>12</v>
      </c>
      <c r="K536" s="169">
        <v>12</v>
      </c>
      <c r="L536" s="169">
        <v>12</v>
      </c>
      <c r="M536" s="885"/>
      <c r="N536" s="883"/>
      <c r="O536" s="883"/>
      <c r="P536" s="891"/>
      <c r="Q536" s="57" t="s">
        <v>52</v>
      </c>
      <c r="R536" s="401">
        <v>0</v>
      </c>
      <c r="S536" s="403"/>
      <c r="T536" s="403"/>
      <c r="U536" s="404">
        <f>1059360000+186430364.4</f>
        <v>1245790364.4000001</v>
      </c>
      <c r="V536" s="404">
        <v>320531344.39999998</v>
      </c>
      <c r="W536" s="404">
        <v>320531344.39999998</v>
      </c>
      <c r="X536" s="401"/>
      <c r="Y536" s="401"/>
      <c r="Z536" s="401"/>
      <c r="AA536" s="401">
        <v>0</v>
      </c>
      <c r="AB536" s="401"/>
      <c r="AC536" s="401"/>
      <c r="AD536" s="401">
        <v>0</v>
      </c>
      <c r="AE536" s="401"/>
      <c r="AF536" s="401"/>
      <c r="AG536" s="401">
        <v>0</v>
      </c>
      <c r="AH536" s="401"/>
      <c r="AI536" s="401"/>
      <c r="AJ536" s="401">
        <v>0</v>
      </c>
      <c r="AK536" s="401"/>
      <c r="AL536" s="401"/>
      <c r="AM536" s="401"/>
      <c r="AN536" s="401"/>
      <c r="AO536" s="401"/>
      <c r="AP536" s="401"/>
      <c r="AQ536" s="401"/>
      <c r="AR536" s="401"/>
      <c r="AS536" s="401">
        <v>0</v>
      </c>
      <c r="AT536" s="401"/>
      <c r="AU536" s="401"/>
      <c r="AV536" s="401">
        <v>0</v>
      </c>
      <c r="AW536" s="401"/>
      <c r="AX536" s="401"/>
      <c r="AY536" s="401"/>
      <c r="AZ536" s="401"/>
      <c r="BA536" s="401"/>
      <c r="BB536" s="401"/>
      <c r="BC536" s="401"/>
      <c r="BD536" s="401"/>
      <c r="BE536" s="401">
        <v>0</v>
      </c>
      <c r="BF536" s="401"/>
      <c r="BG536" s="401"/>
      <c r="BH536" s="401">
        <v>0</v>
      </c>
      <c r="BI536" s="401"/>
      <c r="BJ536" s="401"/>
      <c r="BK536" s="402"/>
      <c r="BL536" s="402"/>
      <c r="BM536" s="402"/>
      <c r="BN536" s="415"/>
      <c r="BO536" s="415"/>
      <c r="BP536" s="415"/>
      <c r="BQ536" s="401">
        <v>0</v>
      </c>
      <c r="BR536" s="403"/>
      <c r="BS536" s="403"/>
      <c r="BT536" s="403"/>
      <c r="BU536" s="403"/>
      <c r="BV536" s="403"/>
      <c r="BW536" s="403"/>
      <c r="BX536" s="403"/>
      <c r="BY536" s="403"/>
      <c r="BZ536" s="401">
        <f t="shared" si="239"/>
        <v>1245790364.4000001</v>
      </c>
      <c r="CA536" s="401">
        <f t="shared" si="239"/>
        <v>320531344.39999998</v>
      </c>
      <c r="CB536" s="401">
        <f t="shared" si="239"/>
        <v>320531344.39999998</v>
      </c>
    </row>
    <row r="537" spans="1:80" ht="75" customHeight="1" x14ac:dyDescent="0.2">
      <c r="A537" s="42"/>
      <c r="B537" s="314"/>
      <c r="C537" s="898"/>
      <c r="D537" s="898"/>
      <c r="E537" s="898"/>
      <c r="F537" s="898"/>
      <c r="G537" s="92"/>
      <c r="H537" s="150">
        <v>201</v>
      </c>
      <c r="I537" s="729" t="s">
        <v>705</v>
      </c>
      <c r="J537" s="57">
        <v>14</v>
      </c>
      <c r="K537" s="169">
        <v>14</v>
      </c>
      <c r="L537" s="169">
        <v>14</v>
      </c>
      <c r="M537" s="886"/>
      <c r="N537" s="898"/>
      <c r="O537" s="898"/>
      <c r="P537" s="892"/>
      <c r="Q537" s="57" t="s">
        <v>52</v>
      </c>
      <c r="R537" s="401">
        <v>0</v>
      </c>
      <c r="S537" s="403"/>
      <c r="T537" s="403"/>
      <c r="U537" s="674">
        <f>2471840000+79898727.6+87901586</f>
        <v>2639640313.5999999</v>
      </c>
      <c r="V537" s="404">
        <v>779362547.60000002</v>
      </c>
      <c r="W537" s="404">
        <v>779362547.60000002</v>
      </c>
      <c r="X537" s="401">
        <v>0</v>
      </c>
      <c r="Y537" s="401"/>
      <c r="Z537" s="401"/>
      <c r="AA537" s="401">
        <v>0</v>
      </c>
      <c r="AB537" s="401"/>
      <c r="AC537" s="401"/>
      <c r="AD537" s="401">
        <v>0</v>
      </c>
      <c r="AE537" s="401"/>
      <c r="AF537" s="401"/>
      <c r="AG537" s="401">
        <v>0</v>
      </c>
      <c r="AH537" s="401"/>
      <c r="AI537" s="401"/>
      <c r="AJ537" s="401">
        <v>0</v>
      </c>
      <c r="AK537" s="401"/>
      <c r="AL537" s="401"/>
      <c r="AM537" s="401"/>
      <c r="AN537" s="401"/>
      <c r="AO537" s="401"/>
      <c r="AP537" s="401"/>
      <c r="AQ537" s="401"/>
      <c r="AR537" s="401"/>
      <c r="AS537" s="401">
        <v>0</v>
      </c>
      <c r="AT537" s="401"/>
      <c r="AU537" s="401"/>
      <c r="AV537" s="401">
        <v>0</v>
      </c>
      <c r="AW537" s="401"/>
      <c r="AX537" s="401"/>
      <c r="AY537" s="401"/>
      <c r="AZ537" s="401"/>
      <c r="BA537" s="401"/>
      <c r="BB537" s="401"/>
      <c r="BC537" s="401"/>
      <c r="BD537" s="401"/>
      <c r="BE537" s="401">
        <v>0</v>
      </c>
      <c r="BF537" s="401"/>
      <c r="BG537" s="401"/>
      <c r="BH537" s="401">
        <v>0</v>
      </c>
      <c r="BI537" s="401"/>
      <c r="BJ537" s="401"/>
      <c r="BK537" s="402">
        <v>0</v>
      </c>
      <c r="BL537" s="402"/>
      <c r="BM537" s="402"/>
      <c r="BN537" s="415"/>
      <c r="BO537" s="415"/>
      <c r="BP537" s="415"/>
      <c r="BQ537" s="401">
        <v>0</v>
      </c>
      <c r="BR537" s="403"/>
      <c r="BS537" s="403"/>
      <c r="BT537" s="403"/>
      <c r="BU537" s="403"/>
      <c r="BV537" s="403"/>
      <c r="BW537" s="403"/>
      <c r="BX537" s="403"/>
      <c r="BY537" s="403"/>
      <c r="BZ537" s="401">
        <f t="shared" si="239"/>
        <v>2639640313.5999999</v>
      </c>
      <c r="CA537" s="401">
        <f t="shared" si="239"/>
        <v>779362547.60000002</v>
      </c>
      <c r="CB537" s="401">
        <f t="shared" si="239"/>
        <v>779362547.60000002</v>
      </c>
    </row>
    <row r="538" spans="1:80" ht="30" customHeight="1" x14ac:dyDescent="0.2">
      <c r="A538" s="42"/>
      <c r="B538" s="318"/>
      <c r="C538" s="321"/>
      <c r="D538" s="729"/>
      <c r="E538" s="57"/>
      <c r="F538" s="57"/>
      <c r="G538" s="58"/>
      <c r="H538" s="59"/>
      <c r="I538" s="58"/>
      <c r="J538" s="59"/>
      <c r="K538" s="191"/>
      <c r="L538" s="191"/>
      <c r="M538" s="191"/>
      <c r="N538" s="59"/>
      <c r="O538" s="59"/>
      <c r="P538" s="322"/>
      <c r="Q538" s="59"/>
      <c r="R538" s="410">
        <f t="shared" ref="R538:BY538" si="240">SUM(R534:R537)</f>
        <v>0</v>
      </c>
      <c r="S538" s="410">
        <f t="shared" si="240"/>
        <v>0</v>
      </c>
      <c r="T538" s="410">
        <f t="shared" si="240"/>
        <v>0</v>
      </c>
      <c r="U538" s="410">
        <f t="shared" si="240"/>
        <v>3885430678</v>
      </c>
      <c r="V538" s="410">
        <f t="shared" si="240"/>
        <v>1099893892</v>
      </c>
      <c r="W538" s="410">
        <f t="shared" si="240"/>
        <v>1099893892</v>
      </c>
      <c r="X538" s="410">
        <f t="shared" si="240"/>
        <v>0</v>
      </c>
      <c r="Y538" s="410">
        <f t="shared" si="240"/>
        <v>0</v>
      </c>
      <c r="Z538" s="410">
        <f t="shared" si="240"/>
        <v>0</v>
      </c>
      <c r="AA538" s="410">
        <f t="shared" si="240"/>
        <v>0</v>
      </c>
      <c r="AB538" s="410">
        <f t="shared" si="240"/>
        <v>0</v>
      </c>
      <c r="AC538" s="410">
        <f t="shared" si="240"/>
        <v>0</v>
      </c>
      <c r="AD538" s="410">
        <f t="shared" si="240"/>
        <v>0</v>
      </c>
      <c r="AE538" s="410">
        <f t="shared" si="240"/>
        <v>0</v>
      </c>
      <c r="AF538" s="410">
        <f t="shared" si="240"/>
        <v>0</v>
      </c>
      <c r="AG538" s="410">
        <f t="shared" si="240"/>
        <v>0</v>
      </c>
      <c r="AH538" s="410">
        <f t="shared" si="240"/>
        <v>0</v>
      </c>
      <c r="AI538" s="410">
        <f t="shared" si="240"/>
        <v>0</v>
      </c>
      <c r="AJ538" s="410">
        <f t="shared" si="240"/>
        <v>0</v>
      </c>
      <c r="AK538" s="410">
        <f t="shared" si="240"/>
        <v>0</v>
      </c>
      <c r="AL538" s="410">
        <f t="shared" si="240"/>
        <v>0</v>
      </c>
      <c r="AM538" s="410">
        <f t="shared" si="240"/>
        <v>0</v>
      </c>
      <c r="AN538" s="410">
        <f t="shared" si="240"/>
        <v>0</v>
      </c>
      <c r="AO538" s="410">
        <f t="shared" si="240"/>
        <v>0</v>
      </c>
      <c r="AP538" s="410">
        <f t="shared" si="240"/>
        <v>0</v>
      </c>
      <c r="AQ538" s="410">
        <f t="shared" si="240"/>
        <v>0</v>
      </c>
      <c r="AR538" s="410">
        <f t="shared" si="240"/>
        <v>0</v>
      </c>
      <c r="AS538" s="410">
        <f t="shared" si="240"/>
        <v>0</v>
      </c>
      <c r="AT538" s="410">
        <f t="shared" si="240"/>
        <v>0</v>
      </c>
      <c r="AU538" s="410">
        <f t="shared" si="240"/>
        <v>0</v>
      </c>
      <c r="AV538" s="410">
        <f t="shared" si="240"/>
        <v>0</v>
      </c>
      <c r="AW538" s="410">
        <f t="shared" si="240"/>
        <v>0</v>
      </c>
      <c r="AX538" s="410">
        <f t="shared" si="240"/>
        <v>0</v>
      </c>
      <c r="AY538" s="410">
        <f t="shared" si="240"/>
        <v>0</v>
      </c>
      <c r="AZ538" s="410">
        <f t="shared" si="240"/>
        <v>0</v>
      </c>
      <c r="BA538" s="410">
        <f t="shared" si="240"/>
        <v>0</v>
      </c>
      <c r="BB538" s="410">
        <f t="shared" si="240"/>
        <v>0</v>
      </c>
      <c r="BC538" s="410">
        <f t="shared" si="240"/>
        <v>0</v>
      </c>
      <c r="BD538" s="410">
        <f t="shared" si="240"/>
        <v>0</v>
      </c>
      <c r="BE538" s="410">
        <f t="shared" si="240"/>
        <v>0</v>
      </c>
      <c r="BF538" s="410">
        <f t="shared" si="240"/>
        <v>0</v>
      </c>
      <c r="BG538" s="410">
        <f t="shared" si="240"/>
        <v>0</v>
      </c>
      <c r="BH538" s="410">
        <f t="shared" si="240"/>
        <v>0</v>
      </c>
      <c r="BI538" s="410">
        <f t="shared" si="240"/>
        <v>0</v>
      </c>
      <c r="BJ538" s="410">
        <f t="shared" si="240"/>
        <v>0</v>
      </c>
      <c r="BK538" s="410">
        <f t="shared" si="240"/>
        <v>145780000</v>
      </c>
      <c r="BL538" s="410">
        <f t="shared" si="240"/>
        <v>104800000</v>
      </c>
      <c r="BM538" s="410">
        <f t="shared" si="240"/>
        <v>81924000</v>
      </c>
      <c r="BN538" s="410">
        <f t="shared" si="240"/>
        <v>0</v>
      </c>
      <c r="BO538" s="410">
        <f t="shared" si="240"/>
        <v>0</v>
      </c>
      <c r="BP538" s="410">
        <f t="shared" si="240"/>
        <v>0</v>
      </c>
      <c r="BQ538" s="410">
        <f t="shared" si="240"/>
        <v>0</v>
      </c>
      <c r="BR538" s="410">
        <f t="shared" si="240"/>
        <v>0</v>
      </c>
      <c r="BS538" s="410">
        <f t="shared" si="240"/>
        <v>0</v>
      </c>
      <c r="BT538" s="410">
        <f t="shared" si="240"/>
        <v>0</v>
      </c>
      <c r="BU538" s="410">
        <f t="shared" si="240"/>
        <v>0</v>
      </c>
      <c r="BV538" s="410">
        <f t="shared" si="240"/>
        <v>0</v>
      </c>
      <c r="BW538" s="410">
        <f t="shared" si="240"/>
        <v>0</v>
      </c>
      <c r="BX538" s="410">
        <f t="shared" si="240"/>
        <v>0</v>
      </c>
      <c r="BY538" s="410">
        <f t="shared" si="240"/>
        <v>0</v>
      </c>
      <c r="BZ538" s="410">
        <f>SUM(BZ534:BZ537)</f>
        <v>4031210678</v>
      </c>
      <c r="CA538" s="410">
        <f t="shared" ref="CA538:CB538" si="241">SUM(CA534:CA537)</f>
        <v>1204693892</v>
      </c>
      <c r="CB538" s="410">
        <f t="shared" si="241"/>
        <v>1181817892</v>
      </c>
    </row>
    <row r="539" spans="1:80" ht="30" customHeight="1" x14ac:dyDescent="0.2">
      <c r="A539" s="55"/>
      <c r="B539" s="95"/>
      <c r="C539" s="63"/>
      <c r="D539" s="62"/>
      <c r="E539" s="63"/>
      <c r="F539" s="63"/>
      <c r="G539" s="62"/>
      <c r="H539" s="63"/>
      <c r="I539" s="62"/>
      <c r="J539" s="63"/>
      <c r="K539" s="208"/>
      <c r="L539" s="208"/>
      <c r="M539" s="208"/>
      <c r="N539" s="63"/>
      <c r="O539" s="63"/>
      <c r="P539" s="323"/>
      <c r="Q539" s="63"/>
      <c r="R539" s="416">
        <f t="shared" ref="R539:CB539" si="242">R538</f>
        <v>0</v>
      </c>
      <c r="S539" s="416">
        <f t="shared" si="242"/>
        <v>0</v>
      </c>
      <c r="T539" s="416">
        <f t="shared" si="242"/>
        <v>0</v>
      </c>
      <c r="U539" s="416">
        <f t="shared" si="242"/>
        <v>3885430678</v>
      </c>
      <c r="V539" s="416">
        <f t="shared" si="242"/>
        <v>1099893892</v>
      </c>
      <c r="W539" s="416">
        <f t="shared" si="242"/>
        <v>1099893892</v>
      </c>
      <c r="X539" s="416">
        <f t="shared" si="242"/>
        <v>0</v>
      </c>
      <c r="Y539" s="416">
        <f t="shared" si="242"/>
        <v>0</v>
      </c>
      <c r="Z539" s="416">
        <f t="shared" si="242"/>
        <v>0</v>
      </c>
      <c r="AA539" s="416">
        <f t="shared" si="242"/>
        <v>0</v>
      </c>
      <c r="AB539" s="416">
        <f t="shared" si="242"/>
        <v>0</v>
      </c>
      <c r="AC539" s="416">
        <f t="shared" si="242"/>
        <v>0</v>
      </c>
      <c r="AD539" s="416">
        <f t="shared" si="242"/>
        <v>0</v>
      </c>
      <c r="AE539" s="416">
        <f t="shared" si="242"/>
        <v>0</v>
      </c>
      <c r="AF539" s="416">
        <f t="shared" si="242"/>
        <v>0</v>
      </c>
      <c r="AG539" s="416">
        <f t="shared" si="242"/>
        <v>0</v>
      </c>
      <c r="AH539" s="416">
        <f t="shared" si="242"/>
        <v>0</v>
      </c>
      <c r="AI539" s="416">
        <f t="shared" si="242"/>
        <v>0</v>
      </c>
      <c r="AJ539" s="416">
        <f t="shared" si="242"/>
        <v>0</v>
      </c>
      <c r="AK539" s="416">
        <f t="shared" si="242"/>
        <v>0</v>
      </c>
      <c r="AL539" s="416">
        <f t="shared" si="242"/>
        <v>0</v>
      </c>
      <c r="AM539" s="416">
        <f t="shared" si="242"/>
        <v>0</v>
      </c>
      <c r="AN539" s="416">
        <f t="shared" si="242"/>
        <v>0</v>
      </c>
      <c r="AO539" s="416">
        <f t="shared" si="242"/>
        <v>0</v>
      </c>
      <c r="AP539" s="416">
        <f t="shared" si="242"/>
        <v>0</v>
      </c>
      <c r="AQ539" s="416">
        <f t="shared" si="242"/>
        <v>0</v>
      </c>
      <c r="AR539" s="416">
        <f t="shared" si="242"/>
        <v>0</v>
      </c>
      <c r="AS539" s="416">
        <f t="shared" si="242"/>
        <v>0</v>
      </c>
      <c r="AT539" s="416">
        <f t="shared" si="242"/>
        <v>0</v>
      </c>
      <c r="AU539" s="416">
        <f t="shared" si="242"/>
        <v>0</v>
      </c>
      <c r="AV539" s="416">
        <f t="shared" si="242"/>
        <v>0</v>
      </c>
      <c r="AW539" s="416">
        <f t="shared" si="242"/>
        <v>0</v>
      </c>
      <c r="AX539" s="416">
        <f t="shared" si="242"/>
        <v>0</v>
      </c>
      <c r="AY539" s="416">
        <f t="shared" si="242"/>
        <v>0</v>
      </c>
      <c r="AZ539" s="416">
        <f t="shared" si="242"/>
        <v>0</v>
      </c>
      <c r="BA539" s="416">
        <f t="shared" si="242"/>
        <v>0</v>
      </c>
      <c r="BB539" s="416">
        <f t="shared" si="242"/>
        <v>0</v>
      </c>
      <c r="BC539" s="416">
        <f t="shared" si="242"/>
        <v>0</v>
      </c>
      <c r="BD539" s="416">
        <f t="shared" si="242"/>
        <v>0</v>
      </c>
      <c r="BE539" s="416">
        <f t="shared" si="242"/>
        <v>0</v>
      </c>
      <c r="BF539" s="416">
        <f t="shared" si="242"/>
        <v>0</v>
      </c>
      <c r="BG539" s="416">
        <f t="shared" si="242"/>
        <v>0</v>
      </c>
      <c r="BH539" s="416">
        <f t="shared" si="242"/>
        <v>0</v>
      </c>
      <c r="BI539" s="416">
        <f t="shared" si="242"/>
        <v>0</v>
      </c>
      <c r="BJ539" s="416">
        <f t="shared" si="242"/>
        <v>0</v>
      </c>
      <c r="BK539" s="416">
        <f t="shared" si="242"/>
        <v>145780000</v>
      </c>
      <c r="BL539" s="416">
        <f t="shared" si="242"/>
        <v>104800000</v>
      </c>
      <c r="BM539" s="416">
        <f t="shared" si="242"/>
        <v>81924000</v>
      </c>
      <c r="BN539" s="416">
        <f t="shared" si="242"/>
        <v>0</v>
      </c>
      <c r="BO539" s="416">
        <f t="shared" si="242"/>
        <v>0</v>
      </c>
      <c r="BP539" s="416">
        <f t="shared" si="242"/>
        <v>0</v>
      </c>
      <c r="BQ539" s="416">
        <f t="shared" si="242"/>
        <v>0</v>
      </c>
      <c r="BR539" s="416">
        <f t="shared" si="242"/>
        <v>0</v>
      </c>
      <c r="BS539" s="416">
        <f t="shared" si="242"/>
        <v>0</v>
      </c>
      <c r="BT539" s="416">
        <f t="shared" si="242"/>
        <v>0</v>
      </c>
      <c r="BU539" s="416">
        <f t="shared" si="242"/>
        <v>0</v>
      </c>
      <c r="BV539" s="416">
        <f t="shared" si="242"/>
        <v>0</v>
      </c>
      <c r="BW539" s="416">
        <f t="shared" si="242"/>
        <v>0</v>
      </c>
      <c r="BX539" s="416">
        <f t="shared" si="242"/>
        <v>0</v>
      </c>
      <c r="BY539" s="416">
        <f t="shared" si="242"/>
        <v>0</v>
      </c>
      <c r="BZ539" s="416">
        <f t="shared" si="242"/>
        <v>4031210678</v>
      </c>
      <c r="CA539" s="416">
        <f t="shared" si="242"/>
        <v>1204693892</v>
      </c>
      <c r="CB539" s="416">
        <f t="shared" si="242"/>
        <v>1181817892</v>
      </c>
    </row>
    <row r="540" spans="1:80" ht="30" customHeight="1" x14ac:dyDescent="0.2">
      <c r="A540" s="65"/>
      <c r="B540" s="65"/>
      <c r="C540" s="66"/>
      <c r="D540" s="65"/>
      <c r="E540" s="66"/>
      <c r="F540" s="66"/>
      <c r="G540" s="65"/>
      <c r="H540" s="66"/>
      <c r="I540" s="65"/>
      <c r="J540" s="66"/>
      <c r="K540" s="211"/>
      <c r="L540" s="211"/>
      <c r="M540" s="211"/>
      <c r="N540" s="66"/>
      <c r="O540" s="66"/>
      <c r="P540" s="324"/>
      <c r="Q540" s="66"/>
      <c r="R540" s="422">
        <f t="shared" ref="R540:BY540" si="243">R539+R530+R506+R484</f>
        <v>0</v>
      </c>
      <c r="S540" s="422">
        <f t="shared" si="243"/>
        <v>0</v>
      </c>
      <c r="T540" s="422">
        <f t="shared" si="243"/>
        <v>0</v>
      </c>
      <c r="U540" s="422">
        <f t="shared" si="243"/>
        <v>3885430678</v>
      </c>
      <c r="V540" s="422">
        <f t="shared" si="243"/>
        <v>1099893892</v>
      </c>
      <c r="W540" s="422">
        <f t="shared" si="243"/>
        <v>1099893892</v>
      </c>
      <c r="X540" s="422">
        <f t="shared" si="243"/>
        <v>0</v>
      </c>
      <c r="Y540" s="422">
        <f t="shared" si="243"/>
        <v>0</v>
      </c>
      <c r="Z540" s="422">
        <f t="shared" si="243"/>
        <v>0</v>
      </c>
      <c r="AA540" s="422">
        <f t="shared" si="243"/>
        <v>0</v>
      </c>
      <c r="AB540" s="422">
        <f t="shared" si="243"/>
        <v>0</v>
      </c>
      <c r="AC540" s="422">
        <f t="shared" si="243"/>
        <v>0</v>
      </c>
      <c r="AD540" s="422">
        <f t="shared" si="243"/>
        <v>0</v>
      </c>
      <c r="AE540" s="422">
        <f t="shared" si="243"/>
        <v>0</v>
      </c>
      <c r="AF540" s="422">
        <f t="shared" si="243"/>
        <v>0</v>
      </c>
      <c r="AG540" s="422">
        <f t="shared" si="243"/>
        <v>0</v>
      </c>
      <c r="AH540" s="422">
        <f t="shared" si="243"/>
        <v>0</v>
      </c>
      <c r="AI540" s="422">
        <f t="shared" si="243"/>
        <v>0</v>
      </c>
      <c r="AJ540" s="422">
        <f t="shared" si="243"/>
        <v>0</v>
      </c>
      <c r="AK540" s="422">
        <f t="shared" si="243"/>
        <v>0</v>
      </c>
      <c r="AL540" s="422">
        <f t="shared" si="243"/>
        <v>0</v>
      </c>
      <c r="AM540" s="422">
        <f t="shared" si="243"/>
        <v>0</v>
      </c>
      <c r="AN540" s="422">
        <f t="shared" si="243"/>
        <v>0</v>
      </c>
      <c r="AO540" s="422">
        <f t="shared" si="243"/>
        <v>0</v>
      </c>
      <c r="AP540" s="422">
        <f t="shared" si="243"/>
        <v>0</v>
      </c>
      <c r="AQ540" s="422">
        <f t="shared" si="243"/>
        <v>0</v>
      </c>
      <c r="AR540" s="422">
        <f t="shared" si="243"/>
        <v>0</v>
      </c>
      <c r="AS540" s="422">
        <f t="shared" si="243"/>
        <v>0</v>
      </c>
      <c r="AT540" s="422">
        <f t="shared" si="243"/>
        <v>0</v>
      </c>
      <c r="AU540" s="422">
        <f t="shared" si="243"/>
        <v>0</v>
      </c>
      <c r="AV540" s="422">
        <f t="shared" si="243"/>
        <v>0</v>
      </c>
      <c r="AW540" s="422">
        <f t="shared" si="243"/>
        <v>0</v>
      </c>
      <c r="AX540" s="422">
        <f t="shared" si="243"/>
        <v>0</v>
      </c>
      <c r="AY540" s="422">
        <f t="shared" si="243"/>
        <v>0</v>
      </c>
      <c r="AZ540" s="422">
        <f t="shared" si="243"/>
        <v>0</v>
      </c>
      <c r="BA540" s="422">
        <f t="shared" si="243"/>
        <v>0</v>
      </c>
      <c r="BB540" s="422">
        <f t="shared" si="243"/>
        <v>0</v>
      </c>
      <c r="BC540" s="422">
        <f t="shared" si="243"/>
        <v>0</v>
      </c>
      <c r="BD540" s="422">
        <f t="shared" si="243"/>
        <v>0</v>
      </c>
      <c r="BE540" s="422">
        <f t="shared" si="243"/>
        <v>0</v>
      </c>
      <c r="BF540" s="422">
        <f t="shared" si="243"/>
        <v>0</v>
      </c>
      <c r="BG540" s="422">
        <f t="shared" si="243"/>
        <v>0</v>
      </c>
      <c r="BH540" s="422">
        <f t="shared" si="243"/>
        <v>0</v>
      </c>
      <c r="BI540" s="422">
        <f t="shared" si="243"/>
        <v>0</v>
      </c>
      <c r="BJ540" s="422">
        <f t="shared" si="243"/>
        <v>0</v>
      </c>
      <c r="BK540" s="422">
        <f t="shared" si="243"/>
        <v>2811000000</v>
      </c>
      <c r="BL540" s="422">
        <f t="shared" si="243"/>
        <v>1512578665</v>
      </c>
      <c r="BM540" s="422">
        <f t="shared" si="243"/>
        <v>800462300</v>
      </c>
      <c r="BN540" s="422">
        <f t="shared" si="243"/>
        <v>0</v>
      </c>
      <c r="BO540" s="422">
        <f t="shared" si="243"/>
        <v>0</v>
      </c>
      <c r="BP540" s="422">
        <f t="shared" si="243"/>
        <v>0</v>
      </c>
      <c r="BQ540" s="422">
        <f t="shared" si="243"/>
        <v>0</v>
      </c>
      <c r="BR540" s="422">
        <f t="shared" si="243"/>
        <v>0</v>
      </c>
      <c r="BS540" s="422">
        <f t="shared" si="243"/>
        <v>0</v>
      </c>
      <c r="BT540" s="422">
        <f t="shared" si="243"/>
        <v>0</v>
      </c>
      <c r="BU540" s="422">
        <f t="shared" si="243"/>
        <v>0</v>
      </c>
      <c r="BV540" s="422">
        <f t="shared" si="243"/>
        <v>0</v>
      </c>
      <c r="BW540" s="422">
        <f t="shared" si="243"/>
        <v>0</v>
      </c>
      <c r="BX540" s="422">
        <f t="shared" si="243"/>
        <v>0</v>
      </c>
      <c r="BY540" s="422">
        <f t="shared" si="243"/>
        <v>0</v>
      </c>
      <c r="BZ540" s="422">
        <f>BZ539+BZ530+BZ506+BZ484</f>
        <v>6696430678</v>
      </c>
      <c r="CA540" s="422">
        <f t="shared" ref="CA540:CB540" si="244">CA539+CA530+CA506+CA484</f>
        <v>2612472557</v>
      </c>
      <c r="CB540" s="422">
        <f t="shared" si="244"/>
        <v>1900356192</v>
      </c>
    </row>
    <row r="541" spans="1:80" ht="30" customHeight="1" x14ac:dyDescent="0.2">
      <c r="A541" s="68"/>
      <c r="B541" s="68"/>
      <c r="C541" s="69"/>
      <c r="D541" s="68"/>
      <c r="E541" s="69"/>
      <c r="F541" s="69"/>
      <c r="G541" s="68"/>
      <c r="H541" s="69"/>
      <c r="I541" s="325"/>
      <c r="J541" s="70"/>
      <c r="K541" s="310"/>
      <c r="L541" s="310"/>
      <c r="M541" s="310"/>
      <c r="N541" s="70"/>
      <c r="O541" s="69"/>
      <c r="P541" s="68"/>
      <c r="Q541" s="69"/>
      <c r="R541" s="423">
        <f t="shared" ref="R541:CB541" si="245">+R540</f>
        <v>0</v>
      </c>
      <c r="S541" s="423">
        <f t="shared" si="245"/>
        <v>0</v>
      </c>
      <c r="T541" s="423">
        <f t="shared" si="245"/>
        <v>0</v>
      </c>
      <c r="U541" s="423">
        <f t="shared" si="245"/>
        <v>3885430678</v>
      </c>
      <c r="V541" s="423">
        <f t="shared" si="245"/>
        <v>1099893892</v>
      </c>
      <c r="W541" s="423">
        <f t="shared" si="245"/>
        <v>1099893892</v>
      </c>
      <c r="X541" s="423">
        <f t="shared" si="245"/>
        <v>0</v>
      </c>
      <c r="Y541" s="423">
        <f t="shared" si="245"/>
        <v>0</v>
      </c>
      <c r="Z541" s="423">
        <f t="shared" si="245"/>
        <v>0</v>
      </c>
      <c r="AA541" s="423">
        <f t="shared" si="245"/>
        <v>0</v>
      </c>
      <c r="AB541" s="423">
        <f t="shared" si="245"/>
        <v>0</v>
      </c>
      <c r="AC541" s="423">
        <f t="shared" si="245"/>
        <v>0</v>
      </c>
      <c r="AD541" s="423">
        <f t="shared" si="245"/>
        <v>0</v>
      </c>
      <c r="AE541" s="423">
        <f t="shared" si="245"/>
        <v>0</v>
      </c>
      <c r="AF541" s="423">
        <f t="shared" si="245"/>
        <v>0</v>
      </c>
      <c r="AG541" s="423">
        <f t="shared" si="245"/>
        <v>0</v>
      </c>
      <c r="AH541" s="423">
        <f t="shared" si="245"/>
        <v>0</v>
      </c>
      <c r="AI541" s="423">
        <f t="shared" si="245"/>
        <v>0</v>
      </c>
      <c r="AJ541" s="423">
        <f t="shared" si="245"/>
        <v>0</v>
      </c>
      <c r="AK541" s="423">
        <f t="shared" si="245"/>
        <v>0</v>
      </c>
      <c r="AL541" s="423">
        <f t="shared" si="245"/>
        <v>0</v>
      </c>
      <c r="AM541" s="423">
        <f t="shared" si="245"/>
        <v>0</v>
      </c>
      <c r="AN541" s="423">
        <f t="shared" si="245"/>
        <v>0</v>
      </c>
      <c r="AO541" s="423">
        <f t="shared" si="245"/>
        <v>0</v>
      </c>
      <c r="AP541" s="423">
        <f t="shared" si="245"/>
        <v>0</v>
      </c>
      <c r="AQ541" s="423">
        <f t="shared" si="245"/>
        <v>0</v>
      </c>
      <c r="AR541" s="423">
        <f t="shared" si="245"/>
        <v>0</v>
      </c>
      <c r="AS541" s="423">
        <f t="shared" si="245"/>
        <v>0</v>
      </c>
      <c r="AT541" s="423">
        <f t="shared" si="245"/>
        <v>0</v>
      </c>
      <c r="AU541" s="423">
        <f t="shared" si="245"/>
        <v>0</v>
      </c>
      <c r="AV541" s="423">
        <f t="shared" si="245"/>
        <v>0</v>
      </c>
      <c r="AW541" s="423">
        <f t="shared" si="245"/>
        <v>0</v>
      </c>
      <c r="AX541" s="423">
        <f t="shared" si="245"/>
        <v>0</v>
      </c>
      <c r="AY541" s="423">
        <f t="shared" si="245"/>
        <v>0</v>
      </c>
      <c r="AZ541" s="423">
        <f t="shared" si="245"/>
        <v>0</v>
      </c>
      <c r="BA541" s="423">
        <f t="shared" si="245"/>
        <v>0</v>
      </c>
      <c r="BB541" s="423">
        <f t="shared" si="245"/>
        <v>0</v>
      </c>
      <c r="BC541" s="423">
        <f t="shared" si="245"/>
        <v>0</v>
      </c>
      <c r="BD541" s="423">
        <f t="shared" si="245"/>
        <v>0</v>
      </c>
      <c r="BE541" s="423">
        <f t="shared" si="245"/>
        <v>0</v>
      </c>
      <c r="BF541" s="423">
        <f t="shared" si="245"/>
        <v>0</v>
      </c>
      <c r="BG541" s="423">
        <f t="shared" si="245"/>
        <v>0</v>
      </c>
      <c r="BH541" s="423">
        <f t="shared" si="245"/>
        <v>0</v>
      </c>
      <c r="BI541" s="423">
        <f t="shared" si="245"/>
        <v>0</v>
      </c>
      <c r="BJ541" s="423">
        <f t="shared" si="245"/>
        <v>0</v>
      </c>
      <c r="BK541" s="423">
        <f t="shared" si="245"/>
        <v>2811000000</v>
      </c>
      <c r="BL541" s="423">
        <f t="shared" si="245"/>
        <v>1512578665</v>
      </c>
      <c r="BM541" s="423">
        <f t="shared" si="245"/>
        <v>800462300</v>
      </c>
      <c r="BN541" s="423">
        <f t="shared" si="245"/>
        <v>0</v>
      </c>
      <c r="BO541" s="423">
        <f t="shared" si="245"/>
        <v>0</v>
      </c>
      <c r="BP541" s="423">
        <f t="shared" si="245"/>
        <v>0</v>
      </c>
      <c r="BQ541" s="423">
        <f t="shared" si="245"/>
        <v>0</v>
      </c>
      <c r="BR541" s="423">
        <f t="shared" si="245"/>
        <v>0</v>
      </c>
      <c r="BS541" s="423">
        <f t="shared" si="245"/>
        <v>0</v>
      </c>
      <c r="BT541" s="423">
        <f t="shared" si="245"/>
        <v>0</v>
      </c>
      <c r="BU541" s="423">
        <f t="shared" si="245"/>
        <v>0</v>
      </c>
      <c r="BV541" s="423">
        <f t="shared" si="245"/>
        <v>0</v>
      </c>
      <c r="BW541" s="423">
        <f t="shared" si="245"/>
        <v>0</v>
      </c>
      <c r="BX541" s="423">
        <f t="shared" si="245"/>
        <v>0</v>
      </c>
      <c r="BY541" s="423">
        <f t="shared" si="245"/>
        <v>0</v>
      </c>
      <c r="BZ541" s="423">
        <f t="shared" si="245"/>
        <v>6696430678</v>
      </c>
      <c r="CA541" s="423">
        <f t="shared" si="245"/>
        <v>2612472557</v>
      </c>
      <c r="CB541" s="423">
        <f t="shared" si="245"/>
        <v>1900356192</v>
      </c>
    </row>
    <row r="542" spans="1:80" ht="30" customHeight="1" x14ac:dyDescent="0.2">
      <c r="A542" s="71"/>
      <c r="B542" s="72"/>
      <c r="C542" s="150"/>
      <c r="D542" s="72"/>
      <c r="E542" s="150"/>
      <c r="F542" s="150"/>
      <c r="G542" s="72"/>
      <c r="H542" s="150"/>
      <c r="I542" s="89"/>
      <c r="J542" s="73"/>
      <c r="K542" s="197"/>
      <c r="L542" s="197"/>
      <c r="M542" s="197"/>
      <c r="N542" s="73"/>
      <c r="O542" s="150"/>
      <c r="P542" s="72"/>
      <c r="Q542" s="150"/>
      <c r="R542" s="405"/>
      <c r="S542" s="405"/>
      <c r="T542" s="405"/>
      <c r="U542" s="406"/>
      <c r="V542" s="406"/>
      <c r="W542" s="406"/>
      <c r="X542" s="405"/>
      <c r="Y542" s="405"/>
      <c r="Z542" s="405"/>
      <c r="AA542" s="405"/>
      <c r="AB542" s="405"/>
      <c r="AC542" s="405"/>
      <c r="AD542" s="405"/>
      <c r="AE542" s="405"/>
      <c r="AF542" s="405"/>
      <c r="AG542" s="405"/>
      <c r="AH542" s="405"/>
      <c r="AI542" s="405"/>
      <c r="AJ542" s="405"/>
      <c r="AK542" s="405"/>
      <c r="AL542" s="405"/>
      <c r="AM542" s="405"/>
      <c r="AN542" s="405"/>
      <c r="AO542" s="405"/>
      <c r="AP542" s="405"/>
      <c r="AQ542" s="405"/>
      <c r="AR542" s="405"/>
      <c r="AS542" s="405"/>
      <c r="AT542" s="405"/>
      <c r="AU542" s="405"/>
      <c r="AV542" s="405"/>
      <c r="AW542" s="405"/>
      <c r="AX542" s="405"/>
      <c r="AY542" s="406"/>
      <c r="AZ542" s="406"/>
      <c r="BA542" s="406"/>
      <c r="BB542" s="406"/>
      <c r="BC542" s="406"/>
      <c r="BD542" s="406"/>
      <c r="BE542" s="405"/>
      <c r="BF542" s="405"/>
      <c r="BG542" s="405"/>
      <c r="BH542" s="405"/>
      <c r="BI542" s="405"/>
      <c r="BJ542" s="405"/>
      <c r="BK542" s="407" t="s">
        <v>69</v>
      </c>
      <c r="BL542" s="407"/>
      <c r="BM542" s="407"/>
      <c r="BN542" s="408"/>
      <c r="BO542" s="408"/>
      <c r="BP542" s="408"/>
      <c r="BQ542" s="405"/>
      <c r="BR542" s="405"/>
      <c r="BS542" s="405"/>
      <c r="BT542" s="405"/>
      <c r="BU542" s="405"/>
      <c r="BV542" s="405"/>
      <c r="BW542" s="405"/>
      <c r="BX542" s="405"/>
      <c r="BY542" s="405"/>
      <c r="BZ542" s="409" t="s">
        <v>69</v>
      </c>
      <c r="CA542" s="409" t="s">
        <v>69</v>
      </c>
      <c r="CB542" s="409" t="s">
        <v>69</v>
      </c>
    </row>
    <row r="543" spans="1:80" s="2" customFormat="1" ht="30" customHeight="1" x14ac:dyDescent="0.25">
      <c r="A543" s="31" t="s">
        <v>706</v>
      </c>
      <c r="B543" s="32"/>
      <c r="C543" s="33"/>
      <c r="D543" s="32"/>
      <c r="E543" s="32"/>
      <c r="F543" s="32"/>
      <c r="G543" s="32"/>
      <c r="H543" s="33"/>
      <c r="I543" s="32"/>
      <c r="J543" s="32"/>
      <c r="K543" s="217"/>
      <c r="L543" s="217"/>
      <c r="M543" s="217"/>
      <c r="N543" s="33"/>
      <c r="O543" s="33"/>
      <c r="P543" s="32"/>
      <c r="Q543" s="33"/>
      <c r="R543" s="472"/>
      <c r="S543" s="472"/>
      <c r="T543" s="472"/>
      <c r="U543" s="472"/>
      <c r="V543" s="472"/>
      <c r="W543" s="472"/>
      <c r="X543" s="472"/>
      <c r="Y543" s="472"/>
      <c r="Z543" s="472"/>
      <c r="AA543" s="472"/>
      <c r="AB543" s="472"/>
      <c r="AC543" s="472"/>
      <c r="AD543" s="472"/>
      <c r="AE543" s="472"/>
      <c r="AF543" s="472"/>
      <c r="AG543" s="472"/>
      <c r="AH543" s="472"/>
      <c r="AI543" s="472"/>
      <c r="AJ543" s="472"/>
      <c r="AK543" s="472"/>
      <c r="AL543" s="472"/>
      <c r="AM543" s="472"/>
      <c r="AN543" s="472"/>
      <c r="AO543" s="472"/>
      <c r="AP543" s="472"/>
      <c r="AQ543" s="472"/>
      <c r="AR543" s="472"/>
      <c r="AS543" s="472"/>
      <c r="AT543" s="472"/>
      <c r="AU543" s="472"/>
      <c r="AV543" s="472"/>
      <c r="AW543" s="472"/>
      <c r="AX543" s="472"/>
      <c r="AY543" s="472"/>
      <c r="AZ543" s="472"/>
      <c r="BA543" s="472"/>
      <c r="BB543" s="472"/>
      <c r="BC543" s="472"/>
      <c r="BD543" s="472"/>
      <c r="BE543" s="472"/>
      <c r="BF543" s="472"/>
      <c r="BG543" s="472"/>
      <c r="BH543" s="472"/>
      <c r="BI543" s="472"/>
      <c r="BJ543" s="472"/>
      <c r="BK543" s="473"/>
      <c r="BL543" s="473"/>
      <c r="BM543" s="473"/>
      <c r="BN543" s="474"/>
      <c r="BO543" s="474"/>
      <c r="BP543" s="474"/>
      <c r="BQ543" s="472"/>
      <c r="BR543" s="472"/>
      <c r="BS543" s="472"/>
      <c r="BT543" s="472"/>
      <c r="BU543" s="472"/>
      <c r="BV543" s="472"/>
      <c r="BW543" s="472"/>
      <c r="BX543" s="472"/>
      <c r="BY543" s="472"/>
      <c r="BZ543" s="475"/>
      <c r="CA543" s="475"/>
      <c r="CB543" s="475"/>
    </row>
    <row r="544" spans="1:80" s="2" customFormat="1" ht="30" customHeight="1" x14ac:dyDescent="0.25">
      <c r="A544" s="787">
        <v>5</v>
      </c>
      <c r="B544" s="34" t="s">
        <v>37</v>
      </c>
      <c r="C544" s="35"/>
      <c r="D544" s="34"/>
      <c r="E544" s="34"/>
      <c r="F544" s="34"/>
      <c r="G544" s="34"/>
      <c r="H544" s="35"/>
      <c r="I544" s="34"/>
      <c r="J544" s="34"/>
      <c r="K544" s="218"/>
      <c r="L544" s="218"/>
      <c r="M544" s="218"/>
      <c r="N544" s="35"/>
      <c r="O544" s="35"/>
      <c r="P544" s="34"/>
      <c r="Q544" s="34"/>
      <c r="R544" s="432"/>
      <c r="S544" s="432"/>
      <c r="T544" s="432"/>
      <c r="U544" s="432"/>
      <c r="V544" s="432"/>
      <c r="W544" s="432"/>
      <c r="X544" s="432"/>
      <c r="Y544" s="432"/>
      <c r="Z544" s="432"/>
      <c r="AA544" s="432"/>
      <c r="AB544" s="432"/>
      <c r="AC544" s="432"/>
      <c r="AD544" s="432"/>
      <c r="AE544" s="432"/>
      <c r="AF544" s="432"/>
      <c r="AG544" s="432"/>
      <c r="AH544" s="432"/>
      <c r="AI544" s="432"/>
      <c r="AJ544" s="432"/>
      <c r="AK544" s="432"/>
      <c r="AL544" s="432"/>
      <c r="AM544" s="432"/>
      <c r="AN544" s="432"/>
      <c r="AO544" s="432"/>
      <c r="AP544" s="432"/>
      <c r="AQ544" s="432"/>
      <c r="AR544" s="432"/>
      <c r="AS544" s="432"/>
      <c r="AT544" s="432"/>
      <c r="AU544" s="432"/>
      <c r="AV544" s="432"/>
      <c r="AW544" s="432"/>
      <c r="AX544" s="432"/>
      <c r="AY544" s="432"/>
      <c r="AZ544" s="432"/>
      <c r="BA544" s="432"/>
      <c r="BB544" s="432"/>
      <c r="BC544" s="432"/>
      <c r="BD544" s="432"/>
      <c r="BE544" s="432"/>
      <c r="BF544" s="432"/>
      <c r="BG544" s="432"/>
      <c r="BH544" s="432"/>
      <c r="BI544" s="432"/>
      <c r="BJ544" s="432"/>
      <c r="BK544" s="433"/>
      <c r="BL544" s="433"/>
      <c r="BM544" s="433"/>
      <c r="BN544" s="432"/>
      <c r="BO544" s="432"/>
      <c r="BP544" s="432"/>
      <c r="BQ544" s="432"/>
      <c r="BR544" s="432"/>
      <c r="BS544" s="432"/>
      <c r="BT544" s="432"/>
      <c r="BU544" s="432"/>
      <c r="BV544" s="432"/>
      <c r="BW544" s="432"/>
      <c r="BX544" s="432"/>
      <c r="BY544" s="432"/>
      <c r="BZ544" s="434"/>
      <c r="CA544" s="434"/>
      <c r="CB544" s="434"/>
    </row>
    <row r="545" spans="1:80" s="2" customFormat="1" ht="30" customHeight="1" x14ac:dyDescent="0.25">
      <c r="A545" s="76"/>
      <c r="B545" s="125">
        <v>26</v>
      </c>
      <c r="C545" s="40" t="s">
        <v>70</v>
      </c>
      <c r="D545" s="39"/>
      <c r="E545" s="39"/>
      <c r="F545" s="39"/>
      <c r="G545" s="39"/>
      <c r="H545" s="40"/>
      <c r="I545" s="39"/>
      <c r="J545" s="39"/>
      <c r="K545" s="201"/>
      <c r="L545" s="201"/>
      <c r="M545" s="201"/>
      <c r="N545" s="40"/>
      <c r="O545" s="40"/>
      <c r="P545" s="39"/>
      <c r="Q545" s="39"/>
      <c r="R545" s="412"/>
      <c r="S545" s="412"/>
      <c r="T545" s="412"/>
      <c r="U545" s="412"/>
      <c r="V545" s="412"/>
      <c r="W545" s="412"/>
      <c r="X545" s="412"/>
      <c r="Y545" s="412"/>
      <c r="Z545" s="412"/>
      <c r="AA545" s="412"/>
      <c r="AB545" s="412"/>
      <c r="AC545" s="412"/>
      <c r="AD545" s="412"/>
      <c r="AE545" s="412"/>
      <c r="AF545" s="412"/>
      <c r="AG545" s="412"/>
      <c r="AH545" s="412"/>
      <c r="AI545" s="412"/>
      <c r="AJ545" s="412"/>
      <c r="AK545" s="412"/>
      <c r="AL545" s="412"/>
      <c r="AM545" s="412"/>
      <c r="AN545" s="412"/>
      <c r="AO545" s="412"/>
      <c r="AP545" s="412"/>
      <c r="AQ545" s="412"/>
      <c r="AR545" s="412"/>
      <c r="AS545" s="412"/>
      <c r="AT545" s="412"/>
      <c r="AU545" s="412"/>
      <c r="AV545" s="412"/>
      <c r="AW545" s="412"/>
      <c r="AX545" s="412"/>
      <c r="AY545" s="412"/>
      <c r="AZ545" s="412"/>
      <c r="BA545" s="412"/>
      <c r="BB545" s="412"/>
      <c r="BC545" s="412"/>
      <c r="BD545" s="412"/>
      <c r="BE545" s="412"/>
      <c r="BF545" s="412"/>
      <c r="BG545" s="412"/>
      <c r="BH545" s="412"/>
      <c r="BI545" s="412"/>
      <c r="BJ545" s="412"/>
      <c r="BK545" s="413"/>
      <c r="BL545" s="413"/>
      <c r="BM545" s="413"/>
      <c r="BN545" s="412"/>
      <c r="BO545" s="412"/>
      <c r="BP545" s="412"/>
      <c r="BQ545" s="412"/>
      <c r="BR545" s="412"/>
      <c r="BS545" s="412"/>
      <c r="BT545" s="412"/>
      <c r="BU545" s="412"/>
      <c r="BV545" s="412"/>
      <c r="BW545" s="412"/>
      <c r="BX545" s="412"/>
      <c r="BY545" s="412"/>
      <c r="BZ545" s="417"/>
      <c r="CA545" s="417"/>
      <c r="CB545" s="417"/>
    </row>
    <row r="546" spans="1:80" s="2" customFormat="1" ht="30" customHeight="1" x14ac:dyDescent="0.25">
      <c r="A546" s="42"/>
      <c r="B546" s="76"/>
      <c r="C546" s="713"/>
      <c r="D546" s="707"/>
      <c r="E546" s="713"/>
      <c r="F546" s="713"/>
      <c r="G546" s="219">
        <v>83</v>
      </c>
      <c r="H546" s="80" t="s">
        <v>71</v>
      </c>
      <c r="I546" s="80"/>
      <c r="J546" s="80"/>
      <c r="K546" s="153"/>
      <c r="L546" s="153"/>
      <c r="M546" s="153"/>
      <c r="N546" s="173"/>
      <c r="O546" s="173"/>
      <c r="P546" s="80"/>
      <c r="Q546" s="80"/>
      <c r="R546" s="267"/>
      <c r="S546" s="267"/>
      <c r="T546" s="267"/>
      <c r="U546" s="267"/>
      <c r="V546" s="267"/>
      <c r="W546" s="267"/>
      <c r="X546" s="267"/>
      <c r="Y546" s="267"/>
      <c r="Z546" s="267"/>
      <c r="AA546" s="267"/>
      <c r="AB546" s="267"/>
      <c r="AC546" s="267"/>
      <c r="AD546" s="267"/>
      <c r="AE546" s="267"/>
      <c r="AF546" s="267"/>
      <c r="AG546" s="267"/>
      <c r="AH546" s="267"/>
      <c r="AI546" s="267"/>
      <c r="AJ546" s="267"/>
      <c r="AK546" s="267"/>
      <c r="AL546" s="267"/>
      <c r="AM546" s="267"/>
      <c r="AN546" s="267"/>
      <c r="AO546" s="267"/>
      <c r="AP546" s="267"/>
      <c r="AQ546" s="267"/>
      <c r="AR546" s="267"/>
      <c r="AS546" s="267"/>
      <c r="AT546" s="267"/>
      <c r="AU546" s="267"/>
      <c r="AV546" s="267"/>
      <c r="AW546" s="267"/>
      <c r="AX546" s="267"/>
      <c r="AY546" s="267"/>
      <c r="AZ546" s="267"/>
      <c r="BA546" s="267"/>
      <c r="BB546" s="267"/>
      <c r="BC546" s="267"/>
      <c r="BD546" s="267"/>
      <c r="BE546" s="267"/>
      <c r="BF546" s="267"/>
      <c r="BG546" s="267"/>
      <c r="BH546" s="267"/>
      <c r="BI546" s="267"/>
      <c r="BJ546" s="267"/>
      <c r="BK546" s="414"/>
      <c r="BL546" s="414"/>
      <c r="BM546" s="414"/>
      <c r="BN546" s="267"/>
      <c r="BO546" s="267"/>
      <c r="BP546" s="267"/>
      <c r="BQ546" s="267"/>
      <c r="BR546" s="267"/>
      <c r="BS546" s="267"/>
      <c r="BT546" s="267"/>
      <c r="BU546" s="267"/>
      <c r="BV546" s="267"/>
      <c r="BW546" s="267"/>
      <c r="BX546" s="267"/>
      <c r="BY546" s="267"/>
      <c r="BZ546" s="269"/>
      <c r="CA546" s="269"/>
      <c r="CB546" s="269"/>
    </row>
    <row r="547" spans="1:80" ht="112.5" customHeight="1" x14ac:dyDescent="0.2">
      <c r="A547" s="42"/>
      <c r="B547" s="42"/>
      <c r="C547" s="702">
        <v>37</v>
      </c>
      <c r="D547" s="708" t="s">
        <v>707</v>
      </c>
      <c r="E547" s="716">
        <v>0.54610000000000003</v>
      </c>
      <c r="F547" s="712">
        <v>0.6</v>
      </c>
      <c r="G547" s="92"/>
      <c r="H547" s="57">
        <v>243</v>
      </c>
      <c r="I547" s="729" t="s">
        <v>708</v>
      </c>
      <c r="J547" s="44" t="s">
        <v>43</v>
      </c>
      <c r="K547" s="190">
        <v>6</v>
      </c>
      <c r="L547" s="190">
        <v>6</v>
      </c>
      <c r="M547" s="46">
        <v>2017003630017</v>
      </c>
      <c r="N547" s="57" t="s">
        <v>470</v>
      </c>
      <c r="O547" s="57" t="s">
        <v>709</v>
      </c>
      <c r="P547" s="729" t="s">
        <v>710</v>
      </c>
      <c r="Q547" s="57" t="s">
        <v>67</v>
      </c>
      <c r="R547" s="401"/>
      <c r="S547" s="401"/>
      <c r="T547" s="401"/>
      <c r="U547" s="401"/>
      <c r="V547" s="401"/>
      <c r="W547" s="401"/>
      <c r="X547" s="401"/>
      <c r="Y547" s="401"/>
      <c r="Z547" s="401"/>
      <c r="AA547" s="401"/>
      <c r="AB547" s="401"/>
      <c r="AC547" s="401"/>
      <c r="AD547" s="401"/>
      <c r="AE547" s="401"/>
      <c r="AF547" s="401"/>
      <c r="AG547" s="401"/>
      <c r="AH547" s="401"/>
      <c r="AI547" s="401"/>
      <c r="AJ547" s="401"/>
      <c r="AK547" s="401"/>
      <c r="AL547" s="401"/>
      <c r="AM547" s="401"/>
      <c r="AN547" s="401"/>
      <c r="AO547" s="401"/>
      <c r="AP547" s="401"/>
      <c r="AQ547" s="401"/>
      <c r="AR547" s="401"/>
      <c r="AS547" s="401"/>
      <c r="AT547" s="401"/>
      <c r="AU547" s="401"/>
      <c r="AV547" s="401"/>
      <c r="AW547" s="401"/>
      <c r="AX547" s="401"/>
      <c r="AY547" s="401"/>
      <c r="AZ547" s="401"/>
      <c r="BA547" s="401"/>
      <c r="BB547" s="401"/>
      <c r="BC547" s="401"/>
      <c r="BD547" s="401"/>
      <c r="BE547" s="401"/>
      <c r="BF547" s="401"/>
      <c r="BG547" s="401"/>
      <c r="BH547" s="401"/>
      <c r="BI547" s="403"/>
      <c r="BJ547" s="403"/>
      <c r="BK547" s="404">
        <v>72000000</v>
      </c>
      <c r="BL547" s="404">
        <v>68400000</v>
      </c>
      <c r="BM547" s="404">
        <v>68400000</v>
      </c>
      <c r="BN547" s="404"/>
      <c r="BO547" s="404"/>
      <c r="BP547" s="404"/>
      <c r="BQ547" s="401"/>
      <c r="BR547" s="403"/>
      <c r="BS547" s="403"/>
      <c r="BT547" s="403"/>
      <c r="BU547" s="403"/>
      <c r="BV547" s="403"/>
      <c r="BW547" s="403"/>
      <c r="BX547" s="403"/>
      <c r="BY547" s="403"/>
      <c r="BZ547" s="401">
        <f>R547+U547+X547+AA547+AD547+AG547+AJ547+AM547+AP547+AS547+AV547+AY547+BB547+BE547+BH547+BK547+BN547+BQ547+BT547+BW547</f>
        <v>72000000</v>
      </c>
      <c r="CA547" s="401">
        <f t="shared" ref="CA547:CB547" si="246">S547+V547+Y547+AB547+AE547+AH547+AK547+AN547+AQ547+AT547+AW547+AZ547+BC547+BF547+BI547+BL547+BO547+BR547+BU547+BX547</f>
        <v>68400000</v>
      </c>
      <c r="CB547" s="401">
        <f t="shared" si="246"/>
        <v>68400000</v>
      </c>
    </row>
    <row r="548" spans="1:80" ht="30" customHeight="1" x14ac:dyDescent="0.2">
      <c r="A548" s="42"/>
      <c r="B548" s="55"/>
      <c r="C548" s="714"/>
      <c r="D548" s="709"/>
      <c r="E548" s="714"/>
      <c r="F548" s="714"/>
      <c r="G548" s="288"/>
      <c r="H548" s="289"/>
      <c r="I548" s="58"/>
      <c r="J548" s="60"/>
      <c r="K548" s="196"/>
      <c r="L548" s="196"/>
      <c r="M548" s="196"/>
      <c r="N548" s="60"/>
      <c r="O548" s="59"/>
      <c r="P548" s="58"/>
      <c r="Q548" s="59"/>
      <c r="R548" s="410">
        <f t="shared" ref="R548:BY548" si="247">SUM(R547:R547)</f>
        <v>0</v>
      </c>
      <c r="S548" s="410">
        <f t="shared" si="247"/>
        <v>0</v>
      </c>
      <c r="T548" s="410">
        <f t="shared" si="247"/>
        <v>0</v>
      </c>
      <c r="U548" s="410">
        <f t="shared" si="247"/>
        <v>0</v>
      </c>
      <c r="V548" s="410">
        <f t="shared" si="247"/>
        <v>0</v>
      </c>
      <c r="W548" s="410">
        <f t="shared" si="247"/>
        <v>0</v>
      </c>
      <c r="X548" s="410">
        <f t="shared" si="247"/>
        <v>0</v>
      </c>
      <c r="Y548" s="410">
        <f t="shared" si="247"/>
        <v>0</v>
      </c>
      <c r="Z548" s="410">
        <f t="shared" si="247"/>
        <v>0</v>
      </c>
      <c r="AA548" s="410">
        <f t="shared" si="247"/>
        <v>0</v>
      </c>
      <c r="AB548" s="410">
        <f t="shared" si="247"/>
        <v>0</v>
      </c>
      <c r="AC548" s="410">
        <f t="shared" si="247"/>
        <v>0</v>
      </c>
      <c r="AD548" s="410">
        <f t="shared" si="247"/>
        <v>0</v>
      </c>
      <c r="AE548" s="410">
        <f t="shared" si="247"/>
        <v>0</v>
      </c>
      <c r="AF548" s="410">
        <f t="shared" si="247"/>
        <v>0</v>
      </c>
      <c r="AG548" s="410">
        <f t="shared" si="247"/>
        <v>0</v>
      </c>
      <c r="AH548" s="410">
        <f t="shared" si="247"/>
        <v>0</v>
      </c>
      <c r="AI548" s="410">
        <f t="shared" si="247"/>
        <v>0</v>
      </c>
      <c r="AJ548" s="410">
        <f t="shared" si="247"/>
        <v>0</v>
      </c>
      <c r="AK548" s="410">
        <f t="shared" si="247"/>
        <v>0</v>
      </c>
      <c r="AL548" s="410">
        <f t="shared" si="247"/>
        <v>0</v>
      </c>
      <c r="AM548" s="410">
        <f t="shared" si="247"/>
        <v>0</v>
      </c>
      <c r="AN548" s="410">
        <f t="shared" si="247"/>
        <v>0</v>
      </c>
      <c r="AO548" s="410">
        <f t="shared" si="247"/>
        <v>0</v>
      </c>
      <c r="AP548" s="410">
        <f t="shared" si="247"/>
        <v>0</v>
      </c>
      <c r="AQ548" s="410">
        <f t="shared" si="247"/>
        <v>0</v>
      </c>
      <c r="AR548" s="410">
        <f t="shared" si="247"/>
        <v>0</v>
      </c>
      <c r="AS548" s="410">
        <f t="shared" si="247"/>
        <v>0</v>
      </c>
      <c r="AT548" s="410">
        <f t="shared" si="247"/>
        <v>0</v>
      </c>
      <c r="AU548" s="410">
        <f t="shared" si="247"/>
        <v>0</v>
      </c>
      <c r="AV548" s="410">
        <f t="shared" si="247"/>
        <v>0</v>
      </c>
      <c r="AW548" s="410">
        <f t="shared" si="247"/>
        <v>0</v>
      </c>
      <c r="AX548" s="410">
        <f t="shared" si="247"/>
        <v>0</v>
      </c>
      <c r="AY548" s="410">
        <f t="shared" si="247"/>
        <v>0</v>
      </c>
      <c r="AZ548" s="410">
        <f t="shared" si="247"/>
        <v>0</v>
      </c>
      <c r="BA548" s="410">
        <f t="shared" si="247"/>
        <v>0</v>
      </c>
      <c r="BB548" s="410">
        <f t="shared" si="247"/>
        <v>0</v>
      </c>
      <c r="BC548" s="410">
        <f t="shared" si="247"/>
        <v>0</v>
      </c>
      <c r="BD548" s="410">
        <f t="shared" si="247"/>
        <v>0</v>
      </c>
      <c r="BE548" s="410">
        <f t="shared" si="247"/>
        <v>0</v>
      </c>
      <c r="BF548" s="410">
        <f t="shared" si="247"/>
        <v>0</v>
      </c>
      <c r="BG548" s="410">
        <f t="shared" si="247"/>
        <v>0</v>
      </c>
      <c r="BH548" s="410">
        <f t="shared" si="247"/>
        <v>0</v>
      </c>
      <c r="BI548" s="410">
        <f t="shared" si="247"/>
        <v>0</v>
      </c>
      <c r="BJ548" s="410">
        <f t="shared" si="247"/>
        <v>0</v>
      </c>
      <c r="BK548" s="410">
        <f t="shared" si="247"/>
        <v>72000000</v>
      </c>
      <c r="BL548" s="410">
        <f t="shared" si="247"/>
        <v>68400000</v>
      </c>
      <c r="BM548" s="410">
        <f t="shared" si="247"/>
        <v>68400000</v>
      </c>
      <c r="BN548" s="410">
        <f t="shared" si="247"/>
        <v>0</v>
      </c>
      <c r="BO548" s="410">
        <f t="shared" si="247"/>
        <v>0</v>
      </c>
      <c r="BP548" s="410">
        <f t="shared" si="247"/>
        <v>0</v>
      </c>
      <c r="BQ548" s="410">
        <f t="shared" si="247"/>
        <v>0</v>
      </c>
      <c r="BR548" s="410">
        <f t="shared" si="247"/>
        <v>0</v>
      </c>
      <c r="BS548" s="410">
        <f t="shared" si="247"/>
        <v>0</v>
      </c>
      <c r="BT548" s="410">
        <f t="shared" si="247"/>
        <v>0</v>
      </c>
      <c r="BU548" s="410">
        <f t="shared" si="247"/>
        <v>0</v>
      </c>
      <c r="BV548" s="410">
        <f t="shared" si="247"/>
        <v>0</v>
      </c>
      <c r="BW548" s="410">
        <f t="shared" si="247"/>
        <v>0</v>
      </c>
      <c r="BX548" s="410">
        <f t="shared" si="247"/>
        <v>0</v>
      </c>
      <c r="BY548" s="410">
        <f t="shared" si="247"/>
        <v>0</v>
      </c>
      <c r="BZ548" s="410">
        <f>SUM(BZ547:BZ547)</f>
        <v>72000000</v>
      </c>
      <c r="CA548" s="410">
        <f t="shared" ref="CA548:CB548" si="248">SUM(CA547:CA547)</f>
        <v>68400000</v>
      </c>
      <c r="CB548" s="410">
        <f t="shared" si="248"/>
        <v>68400000</v>
      </c>
    </row>
    <row r="549" spans="1:80" ht="30" customHeight="1" x14ac:dyDescent="0.2">
      <c r="A549" s="55"/>
      <c r="B549" s="95"/>
      <c r="C549" s="63"/>
      <c r="D549" s="62"/>
      <c r="E549" s="63"/>
      <c r="F549" s="63"/>
      <c r="G549" s="62"/>
      <c r="H549" s="63"/>
      <c r="I549" s="62"/>
      <c r="J549" s="64"/>
      <c r="K549" s="200"/>
      <c r="L549" s="200"/>
      <c r="M549" s="200"/>
      <c r="N549" s="64"/>
      <c r="O549" s="63"/>
      <c r="P549" s="62"/>
      <c r="Q549" s="63"/>
      <c r="R549" s="416">
        <f t="shared" ref="R549:CB551" si="249">R548</f>
        <v>0</v>
      </c>
      <c r="S549" s="416">
        <f t="shared" si="249"/>
        <v>0</v>
      </c>
      <c r="T549" s="416">
        <f t="shared" si="249"/>
        <v>0</v>
      </c>
      <c r="U549" s="416">
        <f t="shared" si="249"/>
        <v>0</v>
      </c>
      <c r="V549" s="416">
        <f t="shared" si="249"/>
        <v>0</v>
      </c>
      <c r="W549" s="416">
        <f t="shared" si="249"/>
        <v>0</v>
      </c>
      <c r="X549" s="416">
        <f t="shared" si="249"/>
        <v>0</v>
      </c>
      <c r="Y549" s="416">
        <f t="shared" si="249"/>
        <v>0</v>
      </c>
      <c r="Z549" s="416">
        <f t="shared" si="249"/>
        <v>0</v>
      </c>
      <c r="AA549" s="416">
        <f t="shared" si="249"/>
        <v>0</v>
      </c>
      <c r="AB549" s="416">
        <f t="shared" si="249"/>
        <v>0</v>
      </c>
      <c r="AC549" s="416">
        <f t="shared" si="249"/>
        <v>0</v>
      </c>
      <c r="AD549" s="416">
        <f t="shared" si="249"/>
        <v>0</v>
      </c>
      <c r="AE549" s="416">
        <f t="shared" si="249"/>
        <v>0</v>
      </c>
      <c r="AF549" s="416">
        <f t="shared" si="249"/>
        <v>0</v>
      </c>
      <c r="AG549" s="416">
        <f t="shared" si="249"/>
        <v>0</v>
      </c>
      <c r="AH549" s="416">
        <f t="shared" si="249"/>
        <v>0</v>
      </c>
      <c r="AI549" s="416">
        <f t="shared" si="249"/>
        <v>0</v>
      </c>
      <c r="AJ549" s="416">
        <f t="shared" si="249"/>
        <v>0</v>
      </c>
      <c r="AK549" s="416">
        <f t="shared" si="249"/>
        <v>0</v>
      </c>
      <c r="AL549" s="416">
        <f t="shared" si="249"/>
        <v>0</v>
      </c>
      <c r="AM549" s="416">
        <f t="shared" si="249"/>
        <v>0</v>
      </c>
      <c r="AN549" s="416">
        <f t="shared" si="249"/>
        <v>0</v>
      </c>
      <c r="AO549" s="416">
        <f t="shared" si="249"/>
        <v>0</v>
      </c>
      <c r="AP549" s="416">
        <f t="shared" si="249"/>
        <v>0</v>
      </c>
      <c r="AQ549" s="416">
        <f t="shared" si="249"/>
        <v>0</v>
      </c>
      <c r="AR549" s="416">
        <f t="shared" si="249"/>
        <v>0</v>
      </c>
      <c r="AS549" s="416">
        <f t="shared" si="249"/>
        <v>0</v>
      </c>
      <c r="AT549" s="416">
        <f t="shared" si="249"/>
        <v>0</v>
      </c>
      <c r="AU549" s="416">
        <f t="shared" si="249"/>
        <v>0</v>
      </c>
      <c r="AV549" s="416">
        <f t="shared" si="249"/>
        <v>0</v>
      </c>
      <c r="AW549" s="416">
        <f t="shared" si="249"/>
        <v>0</v>
      </c>
      <c r="AX549" s="416">
        <f t="shared" si="249"/>
        <v>0</v>
      </c>
      <c r="AY549" s="416">
        <f t="shared" si="249"/>
        <v>0</v>
      </c>
      <c r="AZ549" s="416">
        <f t="shared" si="249"/>
        <v>0</v>
      </c>
      <c r="BA549" s="416">
        <f t="shared" si="249"/>
        <v>0</v>
      </c>
      <c r="BB549" s="416">
        <f t="shared" si="249"/>
        <v>0</v>
      </c>
      <c r="BC549" s="416">
        <f t="shared" si="249"/>
        <v>0</v>
      </c>
      <c r="BD549" s="416">
        <f t="shared" si="249"/>
        <v>0</v>
      </c>
      <c r="BE549" s="416">
        <f t="shared" si="249"/>
        <v>0</v>
      </c>
      <c r="BF549" s="416">
        <f t="shared" si="249"/>
        <v>0</v>
      </c>
      <c r="BG549" s="416">
        <f t="shared" si="249"/>
        <v>0</v>
      </c>
      <c r="BH549" s="416">
        <f t="shared" si="249"/>
        <v>0</v>
      </c>
      <c r="BI549" s="416">
        <f t="shared" si="249"/>
        <v>0</v>
      </c>
      <c r="BJ549" s="416">
        <f t="shared" si="249"/>
        <v>0</v>
      </c>
      <c r="BK549" s="416">
        <f t="shared" si="249"/>
        <v>72000000</v>
      </c>
      <c r="BL549" s="416">
        <f t="shared" si="249"/>
        <v>68400000</v>
      </c>
      <c r="BM549" s="416">
        <f t="shared" si="249"/>
        <v>68400000</v>
      </c>
      <c r="BN549" s="416">
        <f t="shared" si="249"/>
        <v>0</v>
      </c>
      <c r="BO549" s="416">
        <f t="shared" si="249"/>
        <v>0</v>
      </c>
      <c r="BP549" s="416">
        <f t="shared" si="249"/>
        <v>0</v>
      </c>
      <c r="BQ549" s="416">
        <f t="shared" si="249"/>
        <v>0</v>
      </c>
      <c r="BR549" s="416">
        <f t="shared" si="249"/>
        <v>0</v>
      </c>
      <c r="BS549" s="416">
        <f t="shared" si="249"/>
        <v>0</v>
      </c>
      <c r="BT549" s="416">
        <f t="shared" si="249"/>
        <v>0</v>
      </c>
      <c r="BU549" s="416">
        <f t="shared" si="249"/>
        <v>0</v>
      </c>
      <c r="BV549" s="416">
        <f t="shared" si="249"/>
        <v>0</v>
      </c>
      <c r="BW549" s="416">
        <f t="shared" si="249"/>
        <v>0</v>
      </c>
      <c r="BX549" s="416">
        <f t="shared" si="249"/>
        <v>0</v>
      </c>
      <c r="BY549" s="416">
        <f t="shared" si="249"/>
        <v>0</v>
      </c>
      <c r="BZ549" s="416">
        <f t="shared" si="249"/>
        <v>72000000</v>
      </c>
      <c r="CA549" s="416">
        <f t="shared" si="249"/>
        <v>68400000</v>
      </c>
      <c r="CB549" s="416">
        <f t="shared" si="249"/>
        <v>68400000</v>
      </c>
    </row>
    <row r="550" spans="1:80" ht="30" customHeight="1" x14ac:dyDescent="0.2">
      <c r="A550" s="65"/>
      <c r="B550" s="65"/>
      <c r="C550" s="66"/>
      <c r="D550" s="65"/>
      <c r="E550" s="66"/>
      <c r="F550" s="66"/>
      <c r="G550" s="65"/>
      <c r="H550" s="66"/>
      <c r="I550" s="65"/>
      <c r="J550" s="67"/>
      <c r="K550" s="326"/>
      <c r="L550" s="326"/>
      <c r="M550" s="326"/>
      <c r="N550" s="67"/>
      <c r="O550" s="66"/>
      <c r="P550" s="65"/>
      <c r="Q550" s="66"/>
      <c r="R550" s="422">
        <f t="shared" si="249"/>
        <v>0</v>
      </c>
      <c r="S550" s="422">
        <f t="shared" si="249"/>
        <v>0</v>
      </c>
      <c r="T550" s="422">
        <f t="shared" si="249"/>
        <v>0</v>
      </c>
      <c r="U550" s="422">
        <f t="shared" si="249"/>
        <v>0</v>
      </c>
      <c r="V550" s="422">
        <f t="shared" si="249"/>
        <v>0</v>
      </c>
      <c r="W550" s="422">
        <f t="shared" si="249"/>
        <v>0</v>
      </c>
      <c r="X550" s="422">
        <f t="shared" si="249"/>
        <v>0</v>
      </c>
      <c r="Y550" s="422">
        <f t="shared" si="249"/>
        <v>0</v>
      </c>
      <c r="Z550" s="422">
        <f t="shared" si="249"/>
        <v>0</v>
      </c>
      <c r="AA550" s="422">
        <f t="shared" si="249"/>
        <v>0</v>
      </c>
      <c r="AB550" s="422">
        <f t="shared" si="249"/>
        <v>0</v>
      </c>
      <c r="AC550" s="422">
        <f t="shared" si="249"/>
        <v>0</v>
      </c>
      <c r="AD550" s="422">
        <f t="shared" si="249"/>
        <v>0</v>
      </c>
      <c r="AE550" s="422">
        <f t="shared" si="249"/>
        <v>0</v>
      </c>
      <c r="AF550" s="422">
        <f t="shared" si="249"/>
        <v>0</v>
      </c>
      <c r="AG550" s="422">
        <f t="shared" si="249"/>
        <v>0</v>
      </c>
      <c r="AH550" s="422">
        <f t="shared" si="249"/>
        <v>0</v>
      </c>
      <c r="AI550" s="422">
        <f t="shared" si="249"/>
        <v>0</v>
      </c>
      <c r="AJ550" s="422">
        <f t="shared" si="249"/>
        <v>0</v>
      </c>
      <c r="AK550" s="422">
        <f t="shared" si="249"/>
        <v>0</v>
      </c>
      <c r="AL550" s="422">
        <f t="shared" si="249"/>
        <v>0</v>
      </c>
      <c r="AM550" s="422">
        <f t="shared" si="249"/>
        <v>0</v>
      </c>
      <c r="AN550" s="422">
        <f t="shared" si="249"/>
        <v>0</v>
      </c>
      <c r="AO550" s="422">
        <f t="shared" si="249"/>
        <v>0</v>
      </c>
      <c r="AP550" s="422">
        <f t="shared" si="249"/>
        <v>0</v>
      </c>
      <c r="AQ550" s="422">
        <f t="shared" si="249"/>
        <v>0</v>
      </c>
      <c r="AR550" s="422">
        <f t="shared" si="249"/>
        <v>0</v>
      </c>
      <c r="AS550" s="422">
        <f t="shared" si="249"/>
        <v>0</v>
      </c>
      <c r="AT550" s="422">
        <f t="shared" si="249"/>
        <v>0</v>
      </c>
      <c r="AU550" s="422">
        <f t="shared" si="249"/>
        <v>0</v>
      </c>
      <c r="AV550" s="422">
        <f t="shared" si="249"/>
        <v>0</v>
      </c>
      <c r="AW550" s="422">
        <f t="shared" si="249"/>
        <v>0</v>
      </c>
      <c r="AX550" s="422">
        <f t="shared" si="249"/>
        <v>0</v>
      </c>
      <c r="AY550" s="422">
        <f t="shared" si="249"/>
        <v>0</v>
      </c>
      <c r="AZ550" s="422">
        <f t="shared" si="249"/>
        <v>0</v>
      </c>
      <c r="BA550" s="422">
        <f t="shared" si="249"/>
        <v>0</v>
      </c>
      <c r="BB550" s="422">
        <f t="shared" si="249"/>
        <v>0</v>
      </c>
      <c r="BC550" s="422">
        <f t="shared" si="249"/>
        <v>0</v>
      </c>
      <c r="BD550" s="422">
        <f t="shared" si="249"/>
        <v>0</v>
      </c>
      <c r="BE550" s="422">
        <f t="shared" si="249"/>
        <v>0</v>
      </c>
      <c r="BF550" s="422">
        <f t="shared" si="249"/>
        <v>0</v>
      </c>
      <c r="BG550" s="422">
        <f t="shared" si="249"/>
        <v>0</v>
      </c>
      <c r="BH550" s="422">
        <f t="shared" si="249"/>
        <v>0</v>
      </c>
      <c r="BI550" s="422">
        <f t="shared" si="249"/>
        <v>0</v>
      </c>
      <c r="BJ550" s="422">
        <f t="shared" si="249"/>
        <v>0</v>
      </c>
      <c r="BK550" s="422">
        <f t="shared" si="249"/>
        <v>72000000</v>
      </c>
      <c r="BL550" s="422">
        <f t="shared" si="249"/>
        <v>68400000</v>
      </c>
      <c r="BM550" s="422">
        <f t="shared" si="249"/>
        <v>68400000</v>
      </c>
      <c r="BN550" s="422">
        <f t="shared" si="249"/>
        <v>0</v>
      </c>
      <c r="BO550" s="422">
        <f t="shared" si="249"/>
        <v>0</v>
      </c>
      <c r="BP550" s="422">
        <f t="shared" si="249"/>
        <v>0</v>
      </c>
      <c r="BQ550" s="422">
        <f t="shared" si="249"/>
        <v>0</v>
      </c>
      <c r="BR550" s="422">
        <f t="shared" si="249"/>
        <v>0</v>
      </c>
      <c r="BS550" s="422">
        <f t="shared" si="249"/>
        <v>0</v>
      </c>
      <c r="BT550" s="422">
        <f t="shared" si="249"/>
        <v>0</v>
      </c>
      <c r="BU550" s="422">
        <f t="shared" si="249"/>
        <v>0</v>
      </c>
      <c r="BV550" s="422">
        <f t="shared" si="249"/>
        <v>0</v>
      </c>
      <c r="BW550" s="422">
        <f t="shared" si="249"/>
        <v>0</v>
      </c>
      <c r="BX550" s="422">
        <f t="shared" si="249"/>
        <v>0</v>
      </c>
      <c r="BY550" s="422">
        <f t="shared" si="249"/>
        <v>0</v>
      </c>
      <c r="BZ550" s="422">
        <f t="shared" si="249"/>
        <v>72000000</v>
      </c>
      <c r="CA550" s="422">
        <f t="shared" si="249"/>
        <v>68400000</v>
      </c>
      <c r="CB550" s="422">
        <f t="shared" si="249"/>
        <v>68400000</v>
      </c>
    </row>
    <row r="551" spans="1:80" ht="30" customHeight="1" x14ac:dyDescent="0.2">
      <c r="A551" s="68"/>
      <c r="B551" s="68"/>
      <c r="C551" s="69"/>
      <c r="D551" s="68"/>
      <c r="E551" s="69"/>
      <c r="F551" s="69"/>
      <c r="G551" s="68"/>
      <c r="H551" s="69"/>
      <c r="I551" s="68"/>
      <c r="J551" s="70"/>
      <c r="K551" s="310"/>
      <c r="L551" s="310"/>
      <c r="M551" s="310"/>
      <c r="N551" s="70"/>
      <c r="O551" s="69"/>
      <c r="P551" s="68"/>
      <c r="Q551" s="69"/>
      <c r="R551" s="423">
        <f t="shared" si="249"/>
        <v>0</v>
      </c>
      <c r="S551" s="423">
        <f t="shared" si="249"/>
        <v>0</v>
      </c>
      <c r="T551" s="423">
        <f t="shared" si="249"/>
        <v>0</v>
      </c>
      <c r="U551" s="423">
        <f t="shared" si="249"/>
        <v>0</v>
      </c>
      <c r="V551" s="423">
        <f t="shared" si="249"/>
        <v>0</v>
      </c>
      <c r="W551" s="423">
        <f t="shared" si="249"/>
        <v>0</v>
      </c>
      <c r="X551" s="423">
        <f t="shared" si="249"/>
        <v>0</v>
      </c>
      <c r="Y551" s="423">
        <f t="shared" si="249"/>
        <v>0</v>
      </c>
      <c r="Z551" s="423">
        <f t="shared" si="249"/>
        <v>0</v>
      </c>
      <c r="AA551" s="423">
        <f t="shared" si="249"/>
        <v>0</v>
      </c>
      <c r="AB551" s="423">
        <f t="shared" si="249"/>
        <v>0</v>
      </c>
      <c r="AC551" s="423">
        <f t="shared" si="249"/>
        <v>0</v>
      </c>
      <c r="AD551" s="423">
        <f t="shared" si="249"/>
        <v>0</v>
      </c>
      <c r="AE551" s="423">
        <f t="shared" si="249"/>
        <v>0</v>
      </c>
      <c r="AF551" s="423">
        <f t="shared" si="249"/>
        <v>0</v>
      </c>
      <c r="AG551" s="423">
        <f t="shared" si="249"/>
        <v>0</v>
      </c>
      <c r="AH551" s="423">
        <f t="shared" si="249"/>
        <v>0</v>
      </c>
      <c r="AI551" s="423">
        <f t="shared" si="249"/>
        <v>0</v>
      </c>
      <c r="AJ551" s="423">
        <f t="shared" si="249"/>
        <v>0</v>
      </c>
      <c r="AK551" s="423">
        <f t="shared" si="249"/>
        <v>0</v>
      </c>
      <c r="AL551" s="423">
        <f t="shared" si="249"/>
        <v>0</v>
      </c>
      <c r="AM551" s="423">
        <f t="shared" si="249"/>
        <v>0</v>
      </c>
      <c r="AN551" s="423">
        <f t="shared" si="249"/>
        <v>0</v>
      </c>
      <c r="AO551" s="423">
        <f t="shared" si="249"/>
        <v>0</v>
      </c>
      <c r="AP551" s="423">
        <f t="shared" si="249"/>
        <v>0</v>
      </c>
      <c r="AQ551" s="423">
        <f t="shared" si="249"/>
        <v>0</v>
      </c>
      <c r="AR551" s="423">
        <f t="shared" si="249"/>
        <v>0</v>
      </c>
      <c r="AS551" s="423">
        <f t="shared" si="249"/>
        <v>0</v>
      </c>
      <c r="AT551" s="423">
        <f t="shared" si="249"/>
        <v>0</v>
      </c>
      <c r="AU551" s="423">
        <f t="shared" si="249"/>
        <v>0</v>
      </c>
      <c r="AV551" s="423">
        <f t="shared" si="249"/>
        <v>0</v>
      </c>
      <c r="AW551" s="423">
        <f t="shared" si="249"/>
        <v>0</v>
      </c>
      <c r="AX551" s="423">
        <f t="shared" si="249"/>
        <v>0</v>
      </c>
      <c r="AY551" s="423">
        <f t="shared" si="249"/>
        <v>0</v>
      </c>
      <c r="AZ551" s="423">
        <f t="shared" si="249"/>
        <v>0</v>
      </c>
      <c r="BA551" s="423">
        <f t="shared" si="249"/>
        <v>0</v>
      </c>
      <c r="BB551" s="423">
        <f t="shared" si="249"/>
        <v>0</v>
      </c>
      <c r="BC551" s="423">
        <f t="shared" si="249"/>
        <v>0</v>
      </c>
      <c r="BD551" s="423">
        <f t="shared" si="249"/>
        <v>0</v>
      </c>
      <c r="BE551" s="423">
        <f t="shared" si="249"/>
        <v>0</v>
      </c>
      <c r="BF551" s="423">
        <f t="shared" si="249"/>
        <v>0</v>
      </c>
      <c r="BG551" s="423">
        <f t="shared" si="249"/>
        <v>0</v>
      </c>
      <c r="BH551" s="423">
        <f t="shared" si="249"/>
        <v>0</v>
      </c>
      <c r="BI551" s="423">
        <f t="shared" si="249"/>
        <v>0</v>
      </c>
      <c r="BJ551" s="423">
        <f t="shared" si="249"/>
        <v>0</v>
      </c>
      <c r="BK551" s="423">
        <f t="shared" si="249"/>
        <v>72000000</v>
      </c>
      <c r="BL551" s="423">
        <f t="shared" si="249"/>
        <v>68400000</v>
      </c>
      <c r="BM551" s="423">
        <f t="shared" si="249"/>
        <v>68400000</v>
      </c>
      <c r="BN551" s="423">
        <f t="shared" si="249"/>
        <v>0</v>
      </c>
      <c r="BO551" s="423">
        <f t="shared" si="249"/>
        <v>0</v>
      </c>
      <c r="BP551" s="423">
        <f t="shared" si="249"/>
        <v>0</v>
      </c>
      <c r="BQ551" s="423">
        <f t="shared" si="249"/>
        <v>0</v>
      </c>
      <c r="BR551" s="423">
        <f t="shared" si="249"/>
        <v>0</v>
      </c>
      <c r="BS551" s="423">
        <f t="shared" si="249"/>
        <v>0</v>
      </c>
      <c r="BT551" s="423">
        <f t="shared" si="249"/>
        <v>0</v>
      </c>
      <c r="BU551" s="423">
        <f t="shared" si="249"/>
        <v>0</v>
      </c>
      <c r="BV551" s="423">
        <f t="shared" si="249"/>
        <v>0</v>
      </c>
      <c r="BW551" s="423">
        <f t="shared" si="249"/>
        <v>0</v>
      </c>
      <c r="BX551" s="423">
        <f t="shared" si="249"/>
        <v>0</v>
      </c>
      <c r="BY551" s="423">
        <f t="shared" si="249"/>
        <v>0</v>
      </c>
      <c r="BZ551" s="423">
        <f t="shared" si="249"/>
        <v>72000000</v>
      </c>
      <c r="CA551" s="423">
        <f t="shared" si="249"/>
        <v>68400000</v>
      </c>
      <c r="CB551" s="423">
        <f t="shared" si="249"/>
        <v>68400000</v>
      </c>
    </row>
    <row r="552" spans="1:80" ht="30" customHeight="1" x14ac:dyDescent="0.2">
      <c r="A552" s="71"/>
      <c r="B552" s="72"/>
      <c r="C552" s="150"/>
      <c r="D552" s="72"/>
      <c r="E552" s="150"/>
      <c r="F552" s="150"/>
      <c r="G552" s="72"/>
      <c r="H552" s="150"/>
      <c r="I552" s="72"/>
      <c r="J552" s="73"/>
      <c r="K552" s="197"/>
      <c r="L552" s="197"/>
      <c r="M552" s="197"/>
      <c r="N552" s="73"/>
      <c r="O552" s="150"/>
      <c r="P552" s="72"/>
      <c r="Q552" s="150"/>
      <c r="R552" s="405"/>
      <c r="S552" s="405"/>
      <c r="T552" s="405"/>
      <c r="U552" s="406"/>
      <c r="V552" s="406"/>
      <c r="W552" s="406"/>
      <c r="X552" s="405"/>
      <c r="Y552" s="405"/>
      <c r="Z552" s="405"/>
      <c r="AA552" s="405"/>
      <c r="AB552" s="405"/>
      <c r="AC552" s="405"/>
      <c r="AD552" s="405"/>
      <c r="AE552" s="405"/>
      <c r="AF552" s="405"/>
      <c r="AG552" s="405"/>
      <c r="AH552" s="405"/>
      <c r="AI552" s="405"/>
      <c r="AJ552" s="405"/>
      <c r="AK552" s="405"/>
      <c r="AL552" s="405"/>
      <c r="AM552" s="405"/>
      <c r="AN552" s="405"/>
      <c r="AO552" s="405"/>
      <c r="AP552" s="405"/>
      <c r="AQ552" s="405"/>
      <c r="AR552" s="405"/>
      <c r="AS552" s="405"/>
      <c r="AT552" s="405"/>
      <c r="AU552" s="405"/>
      <c r="AV552" s="405"/>
      <c r="AW552" s="405"/>
      <c r="AX552" s="405"/>
      <c r="AY552" s="406"/>
      <c r="AZ552" s="406"/>
      <c r="BA552" s="406"/>
      <c r="BB552" s="406"/>
      <c r="BC552" s="406"/>
      <c r="BD552" s="406"/>
      <c r="BE552" s="405"/>
      <c r="BF552" s="405"/>
      <c r="BG552" s="405"/>
      <c r="BH552" s="405"/>
      <c r="BI552" s="405"/>
      <c r="BJ552" s="405"/>
      <c r="BK552" s="407"/>
      <c r="BL552" s="407"/>
      <c r="BM552" s="407"/>
      <c r="BN552" s="408"/>
      <c r="BO552" s="408"/>
      <c r="BP552" s="408"/>
      <c r="BQ552" s="405"/>
      <c r="BR552" s="405"/>
      <c r="BS552" s="405"/>
      <c r="BT552" s="405"/>
      <c r="BU552" s="405"/>
      <c r="BV552" s="405"/>
      <c r="BW552" s="405"/>
      <c r="BX552" s="405"/>
      <c r="BY552" s="405"/>
      <c r="BZ552" s="409" t="s">
        <v>69</v>
      </c>
      <c r="CA552" s="409" t="s">
        <v>69</v>
      </c>
      <c r="CB552" s="409" t="s">
        <v>69</v>
      </c>
    </row>
    <row r="553" spans="1:80" ht="30" customHeight="1" x14ac:dyDescent="0.2">
      <c r="A553" s="31" t="s">
        <v>711</v>
      </c>
      <c r="B553" s="32"/>
      <c r="C553" s="33"/>
      <c r="D553" s="32"/>
      <c r="E553" s="32"/>
      <c r="F553" s="32"/>
      <c r="G553" s="32"/>
      <c r="H553" s="33"/>
      <c r="I553" s="32"/>
      <c r="J553" s="32"/>
      <c r="K553" s="217"/>
      <c r="L553" s="217"/>
      <c r="M553" s="217"/>
      <c r="N553" s="33"/>
      <c r="O553" s="33"/>
      <c r="P553" s="32"/>
      <c r="Q553" s="33"/>
      <c r="R553" s="472"/>
      <c r="S553" s="472"/>
      <c r="T553" s="472"/>
      <c r="U553" s="472"/>
      <c r="V553" s="472"/>
      <c r="W553" s="472"/>
      <c r="X553" s="472"/>
      <c r="Y553" s="472"/>
      <c r="Z553" s="472"/>
      <c r="AA553" s="472"/>
      <c r="AB553" s="472"/>
      <c r="AC553" s="472"/>
      <c r="AD553" s="472"/>
      <c r="AE553" s="472"/>
      <c r="AF553" s="472"/>
      <c r="AG553" s="472"/>
      <c r="AH553" s="472"/>
      <c r="AI553" s="472"/>
      <c r="AJ553" s="472"/>
      <c r="AK553" s="472"/>
      <c r="AL553" s="472"/>
      <c r="AM553" s="472"/>
      <c r="AN553" s="472"/>
      <c r="AO553" s="472"/>
      <c r="AP553" s="472"/>
      <c r="AQ553" s="472"/>
      <c r="AR553" s="472"/>
      <c r="AS553" s="472"/>
      <c r="AT553" s="472"/>
      <c r="AU553" s="472"/>
      <c r="AV553" s="472"/>
      <c r="AW553" s="472"/>
      <c r="AX553" s="472"/>
      <c r="AY553" s="472"/>
      <c r="AZ553" s="472"/>
      <c r="BA553" s="472"/>
      <c r="BB553" s="472"/>
      <c r="BC553" s="472"/>
      <c r="BD553" s="472"/>
      <c r="BE553" s="472"/>
      <c r="BF553" s="472"/>
      <c r="BG553" s="472"/>
      <c r="BH553" s="472"/>
      <c r="BI553" s="472"/>
      <c r="BJ553" s="472"/>
      <c r="BK553" s="473"/>
      <c r="BL553" s="473"/>
      <c r="BM553" s="473"/>
      <c r="BN553" s="474"/>
      <c r="BO553" s="474"/>
      <c r="BP553" s="474"/>
      <c r="BQ553" s="472"/>
      <c r="BR553" s="472"/>
      <c r="BS553" s="472"/>
      <c r="BT553" s="472"/>
      <c r="BU553" s="472"/>
      <c r="BV553" s="472"/>
      <c r="BW553" s="472"/>
      <c r="BX553" s="472"/>
      <c r="BY553" s="472"/>
      <c r="BZ553" s="475" t="s">
        <v>69</v>
      </c>
      <c r="CA553" s="475" t="s">
        <v>69</v>
      </c>
      <c r="CB553" s="475" t="s">
        <v>69</v>
      </c>
    </row>
    <row r="554" spans="1:80" ht="30" customHeight="1" x14ac:dyDescent="0.2">
      <c r="A554" s="787">
        <v>3</v>
      </c>
      <c r="B554" s="34" t="s">
        <v>454</v>
      </c>
      <c r="C554" s="35"/>
      <c r="D554" s="34"/>
      <c r="E554" s="34"/>
      <c r="F554" s="34"/>
      <c r="G554" s="34"/>
      <c r="H554" s="35"/>
      <c r="I554" s="34"/>
      <c r="J554" s="34"/>
      <c r="K554" s="218"/>
      <c r="L554" s="218"/>
      <c r="M554" s="218"/>
      <c r="N554" s="35"/>
      <c r="O554" s="35"/>
      <c r="P554" s="34"/>
      <c r="Q554" s="34"/>
      <c r="R554" s="432"/>
      <c r="S554" s="432"/>
      <c r="T554" s="432"/>
      <c r="U554" s="432"/>
      <c r="V554" s="432"/>
      <c r="W554" s="432"/>
      <c r="X554" s="432"/>
      <c r="Y554" s="432"/>
      <c r="Z554" s="432"/>
      <c r="AA554" s="432"/>
      <c r="AB554" s="432"/>
      <c r="AC554" s="432"/>
      <c r="AD554" s="432"/>
      <c r="AE554" s="432"/>
      <c r="AF554" s="432"/>
      <c r="AG554" s="432"/>
      <c r="AH554" s="432"/>
      <c r="AI554" s="432"/>
      <c r="AJ554" s="432"/>
      <c r="AK554" s="432"/>
      <c r="AL554" s="432"/>
      <c r="AM554" s="432"/>
      <c r="AN554" s="432"/>
      <c r="AO554" s="432"/>
      <c r="AP554" s="432"/>
      <c r="AQ554" s="432"/>
      <c r="AR554" s="432"/>
      <c r="AS554" s="432"/>
      <c r="AT554" s="432"/>
      <c r="AU554" s="432"/>
      <c r="AV554" s="432"/>
      <c r="AW554" s="432"/>
      <c r="AX554" s="432"/>
      <c r="AY554" s="432"/>
      <c r="AZ554" s="432"/>
      <c r="BA554" s="432"/>
      <c r="BB554" s="432"/>
      <c r="BC554" s="432"/>
      <c r="BD554" s="432"/>
      <c r="BE554" s="432"/>
      <c r="BF554" s="432"/>
      <c r="BG554" s="432"/>
      <c r="BH554" s="432"/>
      <c r="BI554" s="432"/>
      <c r="BJ554" s="432"/>
      <c r="BK554" s="433"/>
      <c r="BL554" s="433"/>
      <c r="BM554" s="433"/>
      <c r="BN554" s="432"/>
      <c r="BO554" s="432"/>
      <c r="BP554" s="432"/>
      <c r="BQ554" s="432"/>
      <c r="BR554" s="432"/>
      <c r="BS554" s="432"/>
      <c r="BT554" s="432"/>
      <c r="BU554" s="432"/>
      <c r="BV554" s="432"/>
      <c r="BW554" s="432"/>
      <c r="BX554" s="432"/>
      <c r="BY554" s="432"/>
      <c r="BZ554" s="434"/>
      <c r="CA554" s="434"/>
      <c r="CB554" s="434"/>
    </row>
    <row r="555" spans="1:80" ht="30" customHeight="1" x14ac:dyDescent="0.2">
      <c r="A555" s="76"/>
      <c r="B555" s="125">
        <v>11</v>
      </c>
      <c r="C555" s="38" t="s">
        <v>455</v>
      </c>
      <c r="D555" s="39"/>
      <c r="E555" s="39"/>
      <c r="F555" s="39"/>
      <c r="G555" s="39"/>
      <c r="H555" s="40"/>
      <c r="I555" s="39"/>
      <c r="J555" s="39"/>
      <c r="K555" s="201"/>
      <c r="L555" s="201"/>
      <c r="M555" s="201"/>
      <c r="N555" s="40"/>
      <c r="O555" s="40"/>
      <c r="P555" s="39"/>
      <c r="Q555" s="39"/>
      <c r="R555" s="412"/>
      <c r="S555" s="412"/>
      <c r="T555" s="412"/>
      <c r="U555" s="412"/>
      <c r="V555" s="412"/>
      <c r="W555" s="412"/>
      <c r="X555" s="412"/>
      <c r="Y555" s="412"/>
      <c r="Z555" s="412"/>
      <c r="AA555" s="412"/>
      <c r="AB555" s="412"/>
      <c r="AC555" s="412"/>
      <c r="AD555" s="412"/>
      <c r="AE555" s="412"/>
      <c r="AF555" s="412"/>
      <c r="AG555" s="412"/>
      <c r="AH555" s="412"/>
      <c r="AI555" s="412"/>
      <c r="AJ555" s="412"/>
      <c r="AK555" s="412"/>
      <c r="AL555" s="412"/>
      <c r="AM555" s="412"/>
      <c r="AN555" s="412"/>
      <c r="AO555" s="412"/>
      <c r="AP555" s="412"/>
      <c r="AQ555" s="412"/>
      <c r="AR555" s="412"/>
      <c r="AS555" s="412"/>
      <c r="AT555" s="412"/>
      <c r="AU555" s="412"/>
      <c r="AV555" s="412"/>
      <c r="AW555" s="412"/>
      <c r="AX555" s="412"/>
      <c r="AY555" s="412"/>
      <c r="AZ555" s="412"/>
      <c r="BA555" s="412"/>
      <c r="BB555" s="412"/>
      <c r="BC555" s="412"/>
      <c r="BD555" s="412"/>
      <c r="BE555" s="412"/>
      <c r="BF555" s="412"/>
      <c r="BG555" s="412"/>
      <c r="BH555" s="412"/>
      <c r="BI555" s="412"/>
      <c r="BJ555" s="412"/>
      <c r="BK555" s="413"/>
      <c r="BL555" s="413"/>
      <c r="BM555" s="413"/>
      <c r="BN555" s="412"/>
      <c r="BO555" s="412"/>
      <c r="BP555" s="412"/>
      <c r="BQ555" s="412"/>
      <c r="BR555" s="412"/>
      <c r="BS555" s="412"/>
      <c r="BT555" s="412"/>
      <c r="BU555" s="412"/>
      <c r="BV555" s="412"/>
      <c r="BW555" s="412"/>
      <c r="BX555" s="412"/>
      <c r="BY555" s="412"/>
      <c r="BZ555" s="417"/>
      <c r="CA555" s="417"/>
      <c r="CB555" s="417"/>
    </row>
    <row r="556" spans="1:80" ht="30" customHeight="1" x14ac:dyDescent="0.2">
      <c r="A556" s="42"/>
      <c r="B556" s="76"/>
      <c r="C556" s="713"/>
      <c r="D556" s="707"/>
      <c r="E556" s="713"/>
      <c r="F556" s="713"/>
      <c r="G556" s="219">
        <v>35</v>
      </c>
      <c r="H556" s="79" t="s">
        <v>712</v>
      </c>
      <c r="I556" s="79"/>
      <c r="J556" s="79"/>
      <c r="K556" s="317"/>
      <c r="L556" s="317"/>
      <c r="M556" s="317"/>
      <c r="N556" s="173"/>
      <c r="O556" s="173"/>
      <c r="P556" s="79"/>
      <c r="Q556" s="79"/>
      <c r="R556" s="267"/>
      <c r="S556" s="267"/>
      <c r="T556" s="267"/>
      <c r="U556" s="267"/>
      <c r="V556" s="267"/>
      <c r="W556" s="267"/>
      <c r="X556" s="267"/>
      <c r="Y556" s="267"/>
      <c r="Z556" s="267"/>
      <c r="AA556" s="267"/>
      <c r="AB556" s="267"/>
      <c r="AC556" s="267"/>
      <c r="AD556" s="267"/>
      <c r="AE556" s="267"/>
      <c r="AF556" s="267"/>
      <c r="AG556" s="267"/>
      <c r="AH556" s="267"/>
      <c r="AI556" s="267"/>
      <c r="AJ556" s="267"/>
      <c r="AK556" s="267"/>
      <c r="AL556" s="267"/>
      <c r="AM556" s="267"/>
      <c r="AN556" s="267"/>
      <c r="AO556" s="267"/>
      <c r="AP556" s="267"/>
      <c r="AQ556" s="267"/>
      <c r="AR556" s="267"/>
      <c r="AS556" s="267"/>
      <c r="AT556" s="267"/>
      <c r="AU556" s="267"/>
      <c r="AV556" s="267"/>
      <c r="AW556" s="267"/>
      <c r="AX556" s="267"/>
      <c r="AY556" s="267"/>
      <c r="AZ556" s="267"/>
      <c r="BA556" s="267"/>
      <c r="BB556" s="267"/>
      <c r="BC556" s="267"/>
      <c r="BD556" s="267"/>
      <c r="BE556" s="267"/>
      <c r="BF556" s="267"/>
      <c r="BG556" s="267"/>
      <c r="BH556" s="267"/>
      <c r="BI556" s="267"/>
      <c r="BJ556" s="267"/>
      <c r="BK556" s="414"/>
      <c r="BL556" s="414"/>
      <c r="BM556" s="414"/>
      <c r="BN556" s="267"/>
      <c r="BO556" s="267"/>
      <c r="BP556" s="267"/>
      <c r="BQ556" s="267"/>
      <c r="BR556" s="267"/>
      <c r="BS556" s="267"/>
      <c r="BT556" s="267"/>
      <c r="BU556" s="267"/>
      <c r="BV556" s="267"/>
      <c r="BW556" s="267"/>
      <c r="BX556" s="267"/>
      <c r="BY556" s="267"/>
      <c r="BZ556" s="269"/>
      <c r="CA556" s="269"/>
      <c r="CB556" s="269"/>
    </row>
    <row r="557" spans="1:80" ht="78.75" customHeight="1" x14ac:dyDescent="0.2">
      <c r="A557" s="42"/>
      <c r="B557" s="205"/>
      <c r="C557" s="374"/>
      <c r="D557" s="375"/>
      <c r="E557" s="375"/>
      <c r="F557" s="375"/>
      <c r="G557" s="165"/>
      <c r="H557" s="727">
        <v>127</v>
      </c>
      <c r="I557" s="729" t="s">
        <v>713</v>
      </c>
      <c r="J557" s="57" t="s">
        <v>43</v>
      </c>
      <c r="K557" s="169">
        <v>1</v>
      </c>
      <c r="L557" s="169">
        <v>1</v>
      </c>
      <c r="M557" s="884">
        <v>2017003630103</v>
      </c>
      <c r="N557" s="895" t="s">
        <v>714</v>
      </c>
      <c r="O557" s="895" t="s">
        <v>715</v>
      </c>
      <c r="P557" s="890" t="s">
        <v>1006</v>
      </c>
      <c r="Q557" s="57" t="s">
        <v>52</v>
      </c>
      <c r="R557" s="401">
        <v>0</v>
      </c>
      <c r="S557" s="401"/>
      <c r="T557" s="401"/>
      <c r="U557" s="401">
        <v>0</v>
      </c>
      <c r="V557" s="401"/>
      <c r="W557" s="401"/>
      <c r="X557" s="401">
        <v>0</v>
      </c>
      <c r="Y557" s="401"/>
      <c r="Z557" s="401"/>
      <c r="AA557" s="401">
        <v>0</v>
      </c>
      <c r="AB557" s="401"/>
      <c r="AC557" s="401"/>
      <c r="AD557" s="401">
        <v>0</v>
      </c>
      <c r="AE557" s="401"/>
      <c r="AF557" s="401"/>
      <c r="AG557" s="401">
        <v>0</v>
      </c>
      <c r="AH557" s="401"/>
      <c r="AI557" s="401"/>
      <c r="AJ557" s="401">
        <v>0</v>
      </c>
      <c r="AK557" s="401"/>
      <c r="AL557" s="401"/>
      <c r="AM557" s="402">
        <f>65000000+27282000</f>
        <v>92282000</v>
      </c>
      <c r="AN557" s="402">
        <v>83520000</v>
      </c>
      <c r="AO557" s="402">
        <v>55680000</v>
      </c>
      <c r="AP557" s="402"/>
      <c r="AQ557" s="402"/>
      <c r="AR557" s="402"/>
      <c r="AS557" s="401"/>
      <c r="AT557" s="401"/>
      <c r="AU557" s="401"/>
      <c r="AV557" s="401">
        <v>0</v>
      </c>
      <c r="AW557" s="401"/>
      <c r="AX557" s="401"/>
      <c r="AY557" s="401"/>
      <c r="AZ557" s="401"/>
      <c r="BA557" s="401"/>
      <c r="BB557" s="401"/>
      <c r="BC557" s="401"/>
      <c r="BD557" s="401"/>
      <c r="BE557" s="401">
        <v>0</v>
      </c>
      <c r="BF557" s="401"/>
      <c r="BG557" s="401"/>
      <c r="BH557" s="401">
        <v>0</v>
      </c>
      <c r="BI557" s="401"/>
      <c r="BJ557" s="401"/>
      <c r="BK557" s="402">
        <v>0</v>
      </c>
      <c r="BL557" s="402"/>
      <c r="BM557" s="402"/>
      <c r="BN557" s="415"/>
      <c r="BO557" s="415"/>
      <c r="BP557" s="415"/>
      <c r="BQ557" s="401">
        <v>0</v>
      </c>
      <c r="BR557" s="403"/>
      <c r="BS557" s="403"/>
      <c r="BT557" s="403"/>
      <c r="BU557" s="403"/>
      <c r="BV557" s="403"/>
      <c r="BW557" s="403"/>
      <c r="BX557" s="403"/>
      <c r="BY557" s="403"/>
      <c r="BZ557" s="401">
        <f t="shared" ref="BZ557:CB559" si="250">R557+U557+X557+AA557+AD557+AG557+AJ557+AM557+AP557+AS557+AV557+AY557+BB557+BE557+BH557+BK557+BN557+BQ557+BT557+BW557</f>
        <v>92282000</v>
      </c>
      <c r="CA557" s="401">
        <f t="shared" si="250"/>
        <v>83520000</v>
      </c>
      <c r="CB557" s="401">
        <f t="shared" si="250"/>
        <v>55680000</v>
      </c>
    </row>
    <row r="558" spans="1:80" ht="54" customHeight="1" x14ac:dyDescent="0.2">
      <c r="A558" s="42"/>
      <c r="B558" s="205"/>
      <c r="C558" s="702">
        <v>24</v>
      </c>
      <c r="D558" s="708" t="s">
        <v>716</v>
      </c>
      <c r="E558" s="702" t="s">
        <v>717</v>
      </c>
      <c r="F558" s="702" t="s">
        <v>717</v>
      </c>
      <c r="G558" s="51"/>
      <c r="H558" s="727">
        <v>128</v>
      </c>
      <c r="I558" s="729" t="s">
        <v>718</v>
      </c>
      <c r="J558" s="57">
        <v>1</v>
      </c>
      <c r="K558" s="169">
        <v>1</v>
      </c>
      <c r="L558" s="169">
        <v>1</v>
      </c>
      <c r="M558" s="885"/>
      <c r="N558" s="883"/>
      <c r="O558" s="883"/>
      <c r="P558" s="891"/>
      <c r="Q558" s="57" t="s">
        <v>52</v>
      </c>
      <c r="R558" s="401">
        <v>0</v>
      </c>
      <c r="S558" s="401"/>
      <c r="T558" s="401"/>
      <c r="U558" s="401">
        <v>0</v>
      </c>
      <c r="V558" s="401"/>
      <c r="W558" s="401"/>
      <c r="X558" s="401">
        <v>0</v>
      </c>
      <c r="Y558" s="401"/>
      <c r="Z558" s="401"/>
      <c r="AA558" s="401">
        <v>0</v>
      </c>
      <c r="AB558" s="401"/>
      <c r="AC558" s="401"/>
      <c r="AD558" s="401">
        <v>0</v>
      </c>
      <c r="AE558" s="401"/>
      <c r="AF558" s="401"/>
      <c r="AG558" s="401">
        <v>0</v>
      </c>
      <c r="AH558" s="401"/>
      <c r="AI558" s="401"/>
      <c r="AJ558" s="401">
        <v>0</v>
      </c>
      <c r="AK558" s="401"/>
      <c r="AL558" s="401"/>
      <c r="AM558" s="402">
        <v>26000000</v>
      </c>
      <c r="AN558" s="402">
        <v>25980000</v>
      </c>
      <c r="AO558" s="402">
        <v>25980000</v>
      </c>
      <c r="AP558" s="402"/>
      <c r="AQ558" s="402"/>
      <c r="AR558" s="402"/>
      <c r="AS558" s="401">
        <v>11000000</v>
      </c>
      <c r="AT558" s="401">
        <v>10384000</v>
      </c>
      <c r="AU558" s="401"/>
      <c r="AV558" s="401">
        <v>0</v>
      </c>
      <c r="AW558" s="401"/>
      <c r="AX558" s="401"/>
      <c r="AY558" s="401"/>
      <c r="AZ558" s="401"/>
      <c r="BA558" s="401"/>
      <c r="BB558" s="401"/>
      <c r="BC558" s="401"/>
      <c r="BD558" s="401"/>
      <c r="BE558" s="401">
        <v>0</v>
      </c>
      <c r="BF558" s="401"/>
      <c r="BG558" s="401"/>
      <c r="BH558" s="401">
        <v>0</v>
      </c>
      <c r="BI558" s="401"/>
      <c r="BJ558" s="401"/>
      <c r="BK558" s="402">
        <v>0</v>
      </c>
      <c r="BL558" s="402"/>
      <c r="BM558" s="402"/>
      <c r="BN558" s="415"/>
      <c r="BO558" s="415"/>
      <c r="BP558" s="415"/>
      <c r="BQ558" s="401">
        <v>0</v>
      </c>
      <c r="BR558" s="403"/>
      <c r="BS558" s="403"/>
      <c r="BT558" s="403"/>
      <c r="BU558" s="403"/>
      <c r="BV558" s="403"/>
      <c r="BW558" s="403"/>
      <c r="BX558" s="403"/>
      <c r="BY558" s="403"/>
      <c r="BZ558" s="401">
        <f t="shared" si="250"/>
        <v>37000000</v>
      </c>
      <c r="CA558" s="401">
        <f t="shared" si="250"/>
        <v>36364000</v>
      </c>
      <c r="CB558" s="401">
        <f t="shared" si="250"/>
        <v>25980000</v>
      </c>
    </row>
    <row r="559" spans="1:80" ht="54" customHeight="1" x14ac:dyDescent="0.2">
      <c r="A559" s="42"/>
      <c r="B559" s="205"/>
      <c r="C559" s="702"/>
      <c r="D559" s="708"/>
      <c r="E559" s="702"/>
      <c r="F559" s="702"/>
      <c r="G559" s="53"/>
      <c r="H559" s="727">
        <v>129</v>
      </c>
      <c r="I559" s="729" t="s">
        <v>719</v>
      </c>
      <c r="J559" s="57" t="s">
        <v>43</v>
      </c>
      <c r="K559" s="169">
        <v>6</v>
      </c>
      <c r="L559" s="169">
        <v>5</v>
      </c>
      <c r="M559" s="886"/>
      <c r="N559" s="898"/>
      <c r="O559" s="898"/>
      <c r="P559" s="892"/>
      <c r="Q559" s="57" t="s">
        <v>52</v>
      </c>
      <c r="R559" s="401">
        <v>0</v>
      </c>
      <c r="S559" s="401"/>
      <c r="T559" s="401"/>
      <c r="U559" s="401">
        <v>0</v>
      </c>
      <c r="V559" s="401"/>
      <c r="W559" s="401"/>
      <c r="X559" s="401">
        <v>0</v>
      </c>
      <c r="Y559" s="401"/>
      <c r="Z559" s="401"/>
      <c r="AA559" s="401">
        <v>0</v>
      </c>
      <c r="AB559" s="401"/>
      <c r="AC559" s="401"/>
      <c r="AD559" s="401">
        <v>0</v>
      </c>
      <c r="AE559" s="401"/>
      <c r="AF559" s="401"/>
      <c r="AG559" s="401">
        <v>0</v>
      </c>
      <c r="AH559" s="401"/>
      <c r="AI559" s="401"/>
      <c r="AJ559" s="401">
        <v>0</v>
      </c>
      <c r="AK559" s="401"/>
      <c r="AL559" s="401"/>
      <c r="AM559" s="402">
        <v>39000000</v>
      </c>
      <c r="AN559" s="402">
        <v>39000000</v>
      </c>
      <c r="AO559" s="402">
        <v>34320000</v>
      </c>
      <c r="AP559" s="402"/>
      <c r="AQ559" s="402"/>
      <c r="AR559" s="402"/>
      <c r="AS559" s="401">
        <v>14000000</v>
      </c>
      <c r="AT559" s="401">
        <v>8240000</v>
      </c>
      <c r="AU559" s="401"/>
      <c r="AV559" s="401">
        <v>0</v>
      </c>
      <c r="AW559" s="401"/>
      <c r="AX559" s="401"/>
      <c r="AY559" s="401"/>
      <c r="AZ559" s="401"/>
      <c r="BA559" s="401"/>
      <c r="BB559" s="401"/>
      <c r="BC559" s="401"/>
      <c r="BD559" s="401"/>
      <c r="BE559" s="401">
        <v>0</v>
      </c>
      <c r="BF559" s="401"/>
      <c r="BG559" s="401"/>
      <c r="BH559" s="401">
        <v>0</v>
      </c>
      <c r="BI559" s="401"/>
      <c r="BJ559" s="401"/>
      <c r="BK559" s="402">
        <v>0</v>
      </c>
      <c r="BL559" s="402"/>
      <c r="BM559" s="402"/>
      <c r="BN559" s="415"/>
      <c r="BO559" s="415"/>
      <c r="BP559" s="415"/>
      <c r="BQ559" s="401">
        <v>0</v>
      </c>
      <c r="BR559" s="403"/>
      <c r="BS559" s="403"/>
      <c r="BT559" s="403"/>
      <c r="BU559" s="403"/>
      <c r="BV559" s="403"/>
      <c r="BW559" s="403"/>
      <c r="BX559" s="403"/>
      <c r="BY559" s="403"/>
      <c r="BZ559" s="401">
        <f t="shared" si="250"/>
        <v>53000000</v>
      </c>
      <c r="CA559" s="401">
        <f t="shared" si="250"/>
        <v>47240000</v>
      </c>
      <c r="CB559" s="401">
        <f t="shared" si="250"/>
        <v>34320000</v>
      </c>
    </row>
    <row r="560" spans="1:80" ht="30" customHeight="1" x14ac:dyDescent="0.2">
      <c r="A560" s="42"/>
      <c r="B560" s="55"/>
      <c r="C560" s="714"/>
      <c r="D560" s="709"/>
      <c r="E560" s="714"/>
      <c r="F560" s="714"/>
      <c r="G560" s="58"/>
      <c r="H560" s="59"/>
      <c r="I560" s="58"/>
      <c r="J560" s="59"/>
      <c r="K560" s="191"/>
      <c r="L560" s="191"/>
      <c r="M560" s="191"/>
      <c r="N560" s="59"/>
      <c r="O560" s="59"/>
      <c r="P560" s="58"/>
      <c r="Q560" s="59"/>
      <c r="R560" s="410">
        <f t="shared" ref="R560:CB560" si="251">SUM(R557:R559)</f>
        <v>0</v>
      </c>
      <c r="S560" s="410">
        <f t="shared" si="251"/>
        <v>0</v>
      </c>
      <c r="T560" s="410">
        <f t="shared" si="251"/>
        <v>0</v>
      </c>
      <c r="U560" s="410">
        <f t="shared" si="251"/>
        <v>0</v>
      </c>
      <c r="V560" s="410">
        <f t="shared" si="251"/>
        <v>0</v>
      </c>
      <c r="W560" s="410">
        <f t="shared" si="251"/>
        <v>0</v>
      </c>
      <c r="X560" s="410">
        <f t="shared" si="251"/>
        <v>0</v>
      </c>
      <c r="Y560" s="410">
        <f t="shared" si="251"/>
        <v>0</v>
      </c>
      <c r="Z560" s="410">
        <f t="shared" si="251"/>
        <v>0</v>
      </c>
      <c r="AA560" s="410">
        <f t="shared" si="251"/>
        <v>0</v>
      </c>
      <c r="AB560" s="410">
        <f t="shared" si="251"/>
        <v>0</v>
      </c>
      <c r="AC560" s="410">
        <f t="shared" si="251"/>
        <v>0</v>
      </c>
      <c r="AD560" s="410">
        <f t="shared" si="251"/>
        <v>0</v>
      </c>
      <c r="AE560" s="410">
        <f t="shared" si="251"/>
        <v>0</v>
      </c>
      <c r="AF560" s="410">
        <f t="shared" si="251"/>
        <v>0</v>
      </c>
      <c r="AG560" s="410">
        <f t="shared" si="251"/>
        <v>0</v>
      </c>
      <c r="AH560" s="410">
        <f t="shared" si="251"/>
        <v>0</v>
      </c>
      <c r="AI560" s="410">
        <f t="shared" si="251"/>
        <v>0</v>
      </c>
      <c r="AJ560" s="410">
        <f t="shared" si="251"/>
        <v>0</v>
      </c>
      <c r="AK560" s="410">
        <f t="shared" si="251"/>
        <v>0</v>
      </c>
      <c r="AL560" s="410">
        <f t="shared" si="251"/>
        <v>0</v>
      </c>
      <c r="AM560" s="410">
        <f t="shared" si="251"/>
        <v>157282000</v>
      </c>
      <c r="AN560" s="410">
        <f t="shared" si="251"/>
        <v>148500000</v>
      </c>
      <c r="AO560" s="410">
        <f t="shared" si="251"/>
        <v>115980000</v>
      </c>
      <c r="AP560" s="410">
        <f t="shared" si="251"/>
        <v>0</v>
      </c>
      <c r="AQ560" s="410">
        <f t="shared" si="251"/>
        <v>0</v>
      </c>
      <c r="AR560" s="410">
        <f t="shared" si="251"/>
        <v>0</v>
      </c>
      <c r="AS560" s="410">
        <f t="shared" si="251"/>
        <v>25000000</v>
      </c>
      <c r="AT560" s="410">
        <f t="shared" si="251"/>
        <v>18624000</v>
      </c>
      <c r="AU560" s="410">
        <f t="shared" si="251"/>
        <v>0</v>
      </c>
      <c r="AV560" s="410">
        <f t="shared" si="251"/>
        <v>0</v>
      </c>
      <c r="AW560" s="410">
        <f t="shared" si="251"/>
        <v>0</v>
      </c>
      <c r="AX560" s="410">
        <f t="shared" si="251"/>
        <v>0</v>
      </c>
      <c r="AY560" s="410">
        <f t="shared" si="251"/>
        <v>0</v>
      </c>
      <c r="AZ560" s="410">
        <f t="shared" si="251"/>
        <v>0</v>
      </c>
      <c r="BA560" s="410">
        <f t="shared" si="251"/>
        <v>0</v>
      </c>
      <c r="BB560" s="410">
        <f t="shared" si="251"/>
        <v>0</v>
      </c>
      <c r="BC560" s="410">
        <f t="shared" si="251"/>
        <v>0</v>
      </c>
      <c r="BD560" s="410">
        <f t="shared" si="251"/>
        <v>0</v>
      </c>
      <c r="BE560" s="410">
        <f t="shared" si="251"/>
        <v>0</v>
      </c>
      <c r="BF560" s="410">
        <f t="shared" si="251"/>
        <v>0</v>
      </c>
      <c r="BG560" s="410">
        <f t="shared" si="251"/>
        <v>0</v>
      </c>
      <c r="BH560" s="410">
        <f t="shared" si="251"/>
        <v>0</v>
      </c>
      <c r="BI560" s="410">
        <f t="shared" si="251"/>
        <v>0</v>
      </c>
      <c r="BJ560" s="410">
        <f t="shared" si="251"/>
        <v>0</v>
      </c>
      <c r="BK560" s="410">
        <f t="shared" si="251"/>
        <v>0</v>
      </c>
      <c r="BL560" s="410">
        <f t="shared" si="251"/>
        <v>0</v>
      </c>
      <c r="BM560" s="410">
        <f t="shared" si="251"/>
        <v>0</v>
      </c>
      <c r="BN560" s="410">
        <f t="shared" si="251"/>
        <v>0</v>
      </c>
      <c r="BO560" s="410">
        <f t="shared" si="251"/>
        <v>0</v>
      </c>
      <c r="BP560" s="410">
        <f t="shared" si="251"/>
        <v>0</v>
      </c>
      <c r="BQ560" s="410">
        <f t="shared" si="251"/>
        <v>0</v>
      </c>
      <c r="BR560" s="410">
        <f t="shared" si="251"/>
        <v>0</v>
      </c>
      <c r="BS560" s="410">
        <f t="shared" si="251"/>
        <v>0</v>
      </c>
      <c r="BT560" s="410">
        <f t="shared" si="251"/>
        <v>0</v>
      </c>
      <c r="BU560" s="410">
        <f t="shared" si="251"/>
        <v>0</v>
      </c>
      <c r="BV560" s="410">
        <f t="shared" si="251"/>
        <v>0</v>
      </c>
      <c r="BW560" s="410">
        <f t="shared" si="251"/>
        <v>0</v>
      </c>
      <c r="BX560" s="410">
        <f t="shared" si="251"/>
        <v>0</v>
      </c>
      <c r="BY560" s="410">
        <f t="shared" si="251"/>
        <v>0</v>
      </c>
      <c r="BZ560" s="410">
        <f t="shared" si="251"/>
        <v>182282000</v>
      </c>
      <c r="CA560" s="410">
        <f t="shared" si="251"/>
        <v>167124000</v>
      </c>
      <c r="CB560" s="410">
        <f t="shared" si="251"/>
        <v>115980000</v>
      </c>
    </row>
    <row r="561" spans="1:80" ht="30" customHeight="1" x14ac:dyDescent="0.2">
      <c r="A561" s="42"/>
      <c r="B561" s="95"/>
      <c r="C561" s="63"/>
      <c r="D561" s="62"/>
      <c r="E561" s="63"/>
      <c r="F561" s="63"/>
      <c r="G561" s="62"/>
      <c r="H561" s="63"/>
      <c r="I561" s="62"/>
      <c r="J561" s="63"/>
      <c r="K561" s="208"/>
      <c r="L561" s="208"/>
      <c r="M561" s="208"/>
      <c r="N561" s="63"/>
      <c r="O561" s="63"/>
      <c r="P561" s="62"/>
      <c r="Q561" s="63"/>
      <c r="R561" s="416">
        <f t="shared" ref="R561:CB561" si="252">R560</f>
        <v>0</v>
      </c>
      <c r="S561" s="416">
        <f t="shared" si="252"/>
        <v>0</v>
      </c>
      <c r="T561" s="416">
        <f t="shared" si="252"/>
        <v>0</v>
      </c>
      <c r="U561" s="416">
        <f t="shared" si="252"/>
        <v>0</v>
      </c>
      <c r="V561" s="416">
        <f t="shared" si="252"/>
        <v>0</v>
      </c>
      <c r="W561" s="416">
        <f t="shared" si="252"/>
        <v>0</v>
      </c>
      <c r="X561" s="416">
        <f t="shared" si="252"/>
        <v>0</v>
      </c>
      <c r="Y561" s="416">
        <f t="shared" si="252"/>
        <v>0</v>
      </c>
      <c r="Z561" s="416">
        <f t="shared" si="252"/>
        <v>0</v>
      </c>
      <c r="AA561" s="416">
        <f t="shared" si="252"/>
        <v>0</v>
      </c>
      <c r="AB561" s="416">
        <f t="shared" si="252"/>
        <v>0</v>
      </c>
      <c r="AC561" s="416">
        <f t="shared" si="252"/>
        <v>0</v>
      </c>
      <c r="AD561" s="416">
        <f t="shared" si="252"/>
        <v>0</v>
      </c>
      <c r="AE561" s="416">
        <f t="shared" si="252"/>
        <v>0</v>
      </c>
      <c r="AF561" s="416">
        <f t="shared" si="252"/>
        <v>0</v>
      </c>
      <c r="AG561" s="416">
        <f t="shared" si="252"/>
        <v>0</v>
      </c>
      <c r="AH561" s="416">
        <f t="shared" si="252"/>
        <v>0</v>
      </c>
      <c r="AI561" s="416">
        <f t="shared" si="252"/>
        <v>0</v>
      </c>
      <c r="AJ561" s="416">
        <f t="shared" si="252"/>
        <v>0</v>
      </c>
      <c r="AK561" s="416">
        <f t="shared" si="252"/>
        <v>0</v>
      </c>
      <c r="AL561" s="416">
        <f t="shared" si="252"/>
        <v>0</v>
      </c>
      <c r="AM561" s="416">
        <f t="shared" si="252"/>
        <v>157282000</v>
      </c>
      <c r="AN561" s="416">
        <f t="shared" si="252"/>
        <v>148500000</v>
      </c>
      <c r="AO561" s="416">
        <f t="shared" si="252"/>
        <v>115980000</v>
      </c>
      <c r="AP561" s="416">
        <f t="shared" si="252"/>
        <v>0</v>
      </c>
      <c r="AQ561" s="416">
        <f t="shared" si="252"/>
        <v>0</v>
      </c>
      <c r="AR561" s="416">
        <f t="shared" si="252"/>
        <v>0</v>
      </c>
      <c r="AS561" s="416">
        <f t="shared" si="252"/>
        <v>25000000</v>
      </c>
      <c r="AT561" s="416">
        <f t="shared" si="252"/>
        <v>18624000</v>
      </c>
      <c r="AU561" s="416">
        <f t="shared" si="252"/>
        <v>0</v>
      </c>
      <c r="AV561" s="416">
        <f t="shared" si="252"/>
        <v>0</v>
      </c>
      <c r="AW561" s="416">
        <f t="shared" si="252"/>
        <v>0</v>
      </c>
      <c r="AX561" s="416">
        <f t="shared" si="252"/>
        <v>0</v>
      </c>
      <c r="AY561" s="416">
        <f t="shared" si="252"/>
        <v>0</v>
      </c>
      <c r="AZ561" s="416">
        <f t="shared" si="252"/>
        <v>0</v>
      </c>
      <c r="BA561" s="416">
        <f t="shared" si="252"/>
        <v>0</v>
      </c>
      <c r="BB561" s="416">
        <f t="shared" si="252"/>
        <v>0</v>
      </c>
      <c r="BC561" s="416">
        <f t="shared" si="252"/>
        <v>0</v>
      </c>
      <c r="BD561" s="416">
        <f t="shared" si="252"/>
        <v>0</v>
      </c>
      <c r="BE561" s="416">
        <f t="shared" si="252"/>
        <v>0</v>
      </c>
      <c r="BF561" s="416">
        <f t="shared" si="252"/>
        <v>0</v>
      </c>
      <c r="BG561" s="416">
        <f t="shared" si="252"/>
        <v>0</v>
      </c>
      <c r="BH561" s="416">
        <f t="shared" si="252"/>
        <v>0</v>
      </c>
      <c r="BI561" s="416">
        <f t="shared" si="252"/>
        <v>0</v>
      </c>
      <c r="BJ561" s="416">
        <f t="shared" si="252"/>
        <v>0</v>
      </c>
      <c r="BK561" s="416">
        <f t="shared" si="252"/>
        <v>0</v>
      </c>
      <c r="BL561" s="416">
        <f t="shared" si="252"/>
        <v>0</v>
      </c>
      <c r="BM561" s="416">
        <f t="shared" si="252"/>
        <v>0</v>
      </c>
      <c r="BN561" s="416">
        <f t="shared" si="252"/>
        <v>0</v>
      </c>
      <c r="BO561" s="416">
        <f t="shared" si="252"/>
        <v>0</v>
      </c>
      <c r="BP561" s="416">
        <f t="shared" si="252"/>
        <v>0</v>
      </c>
      <c r="BQ561" s="416">
        <f t="shared" si="252"/>
        <v>0</v>
      </c>
      <c r="BR561" s="416">
        <f t="shared" si="252"/>
        <v>0</v>
      </c>
      <c r="BS561" s="416">
        <f t="shared" si="252"/>
        <v>0</v>
      </c>
      <c r="BT561" s="416">
        <f t="shared" si="252"/>
        <v>0</v>
      </c>
      <c r="BU561" s="416">
        <f t="shared" si="252"/>
        <v>0</v>
      </c>
      <c r="BV561" s="416">
        <f t="shared" si="252"/>
        <v>0</v>
      </c>
      <c r="BW561" s="416">
        <f t="shared" si="252"/>
        <v>0</v>
      </c>
      <c r="BX561" s="416">
        <f t="shared" si="252"/>
        <v>0</v>
      </c>
      <c r="BY561" s="416">
        <f t="shared" si="252"/>
        <v>0</v>
      </c>
      <c r="BZ561" s="416">
        <f t="shared" si="252"/>
        <v>182282000</v>
      </c>
      <c r="CA561" s="416">
        <f t="shared" si="252"/>
        <v>167124000</v>
      </c>
      <c r="CB561" s="416">
        <f t="shared" si="252"/>
        <v>115980000</v>
      </c>
    </row>
    <row r="562" spans="1:80" ht="30" customHeight="1" x14ac:dyDescent="0.2">
      <c r="A562" s="42"/>
      <c r="B562" s="72"/>
      <c r="C562" s="150"/>
      <c r="D562" s="72"/>
      <c r="E562" s="150"/>
      <c r="F562" s="150"/>
      <c r="G562" s="72"/>
      <c r="H562" s="150"/>
      <c r="I562" s="72"/>
      <c r="J562" s="150"/>
      <c r="K562" s="195"/>
      <c r="L562" s="266"/>
      <c r="M562" s="266"/>
      <c r="N562" s="400"/>
      <c r="O562" s="400"/>
      <c r="P562" s="101"/>
      <c r="Q562" s="150"/>
      <c r="R562" s="405"/>
      <c r="S562" s="405"/>
      <c r="T562" s="405"/>
      <c r="U562" s="405"/>
      <c r="V562" s="405"/>
      <c r="W562" s="405"/>
      <c r="X562" s="405"/>
      <c r="Y562" s="405"/>
      <c r="Z562" s="405"/>
      <c r="AA562" s="405"/>
      <c r="AB562" s="405"/>
      <c r="AC562" s="405"/>
      <c r="AD562" s="405"/>
      <c r="AE562" s="405"/>
      <c r="AF562" s="405"/>
      <c r="AG562" s="405"/>
      <c r="AH562" s="405"/>
      <c r="AI562" s="405"/>
      <c r="AJ562" s="405"/>
      <c r="AK562" s="405"/>
      <c r="AL562" s="405"/>
      <c r="AM562" s="405"/>
      <c r="AN562" s="405"/>
      <c r="AO562" s="405"/>
      <c r="AP562" s="405"/>
      <c r="AQ562" s="405"/>
      <c r="AR562" s="405"/>
      <c r="AS562" s="405"/>
      <c r="AT562" s="405"/>
      <c r="AU562" s="405"/>
      <c r="AV562" s="405"/>
      <c r="AW562" s="405"/>
      <c r="AX562" s="405"/>
      <c r="AY562" s="405"/>
      <c r="AZ562" s="405"/>
      <c r="BA562" s="405"/>
      <c r="BB562" s="405"/>
      <c r="BC562" s="405"/>
      <c r="BD562" s="405"/>
      <c r="BE562" s="405"/>
      <c r="BF562" s="405"/>
      <c r="BG562" s="405"/>
      <c r="BH562" s="405"/>
      <c r="BI562" s="405"/>
      <c r="BJ562" s="405"/>
      <c r="BK562" s="407"/>
      <c r="BL562" s="407"/>
      <c r="BM562" s="407"/>
      <c r="BN562" s="405"/>
      <c r="BO562" s="405"/>
      <c r="BP562" s="405"/>
      <c r="BQ562" s="405"/>
      <c r="BR562" s="405"/>
      <c r="BS562" s="405"/>
      <c r="BT562" s="405"/>
      <c r="BU562" s="405"/>
      <c r="BV562" s="405"/>
      <c r="BW562" s="405"/>
      <c r="BX562" s="405"/>
      <c r="BY562" s="405"/>
      <c r="BZ562" s="409"/>
      <c r="CA562" s="409"/>
      <c r="CB562" s="409"/>
    </row>
    <row r="563" spans="1:80" ht="30" customHeight="1" x14ac:dyDescent="0.2">
      <c r="A563" s="42"/>
      <c r="B563" s="327">
        <v>12</v>
      </c>
      <c r="C563" s="38" t="s">
        <v>720</v>
      </c>
      <c r="D563" s="39"/>
      <c r="E563" s="39"/>
      <c r="F563" s="39"/>
      <c r="G563" s="39"/>
      <c r="H563" s="40"/>
      <c r="I563" s="39"/>
      <c r="J563" s="39"/>
      <c r="K563" s="201"/>
      <c r="L563" s="201"/>
      <c r="M563" s="201"/>
      <c r="N563" s="40"/>
      <c r="O563" s="40"/>
      <c r="P563" s="39"/>
      <c r="Q563" s="39"/>
      <c r="R563" s="412"/>
      <c r="S563" s="412"/>
      <c r="T563" s="412"/>
      <c r="U563" s="412"/>
      <c r="V563" s="412"/>
      <c r="W563" s="412"/>
      <c r="X563" s="412"/>
      <c r="Y563" s="412"/>
      <c r="Z563" s="412"/>
      <c r="AA563" s="412"/>
      <c r="AB563" s="412"/>
      <c r="AC563" s="412"/>
      <c r="AD563" s="412"/>
      <c r="AE563" s="412"/>
      <c r="AF563" s="412"/>
      <c r="AG563" s="412"/>
      <c r="AH563" s="412"/>
      <c r="AI563" s="412"/>
      <c r="AJ563" s="412"/>
      <c r="AK563" s="412"/>
      <c r="AL563" s="412"/>
      <c r="AM563" s="412"/>
      <c r="AN563" s="412"/>
      <c r="AO563" s="412"/>
      <c r="AP563" s="412"/>
      <c r="AQ563" s="412"/>
      <c r="AR563" s="412"/>
      <c r="AS563" s="412"/>
      <c r="AT563" s="412"/>
      <c r="AU563" s="412"/>
      <c r="AV563" s="412"/>
      <c r="AW563" s="412"/>
      <c r="AX563" s="412"/>
      <c r="AY563" s="412"/>
      <c r="AZ563" s="412"/>
      <c r="BA563" s="412"/>
      <c r="BB563" s="412"/>
      <c r="BC563" s="412"/>
      <c r="BD563" s="412"/>
      <c r="BE563" s="412"/>
      <c r="BF563" s="412"/>
      <c r="BG563" s="412"/>
      <c r="BH563" s="412"/>
      <c r="BI563" s="412"/>
      <c r="BJ563" s="412"/>
      <c r="BK563" s="413"/>
      <c r="BL563" s="413"/>
      <c r="BM563" s="413"/>
      <c r="BN563" s="412"/>
      <c r="BO563" s="412"/>
      <c r="BP563" s="412"/>
      <c r="BQ563" s="412"/>
      <c r="BR563" s="412"/>
      <c r="BS563" s="412"/>
      <c r="BT563" s="412"/>
      <c r="BU563" s="412"/>
      <c r="BV563" s="412"/>
      <c r="BW563" s="412"/>
      <c r="BX563" s="412"/>
      <c r="BY563" s="412"/>
      <c r="BZ563" s="417"/>
      <c r="CA563" s="417"/>
      <c r="CB563" s="417"/>
    </row>
    <row r="564" spans="1:80" ht="30" customHeight="1" x14ac:dyDescent="0.2">
      <c r="A564" s="205"/>
      <c r="B564" s="42"/>
      <c r="C564" s="713"/>
      <c r="D564" s="707"/>
      <c r="E564" s="713"/>
      <c r="F564" s="713"/>
      <c r="G564" s="219">
        <v>36</v>
      </c>
      <c r="H564" s="80" t="s">
        <v>721</v>
      </c>
      <c r="I564" s="80"/>
      <c r="J564" s="80"/>
      <c r="K564" s="153"/>
      <c r="L564" s="153"/>
      <c r="M564" s="153"/>
      <c r="N564" s="173"/>
      <c r="O564" s="173"/>
      <c r="P564" s="80"/>
      <c r="Q564" s="80"/>
      <c r="R564" s="267"/>
      <c r="S564" s="267"/>
      <c r="T564" s="267"/>
      <c r="U564" s="267"/>
      <c r="V564" s="267"/>
      <c r="W564" s="267"/>
      <c r="X564" s="267"/>
      <c r="Y564" s="267"/>
      <c r="Z564" s="267"/>
      <c r="AA564" s="267"/>
      <c r="AB564" s="267"/>
      <c r="AC564" s="267"/>
      <c r="AD564" s="267"/>
      <c r="AE564" s="267"/>
      <c r="AF564" s="267"/>
      <c r="AG564" s="267"/>
      <c r="AH564" s="267"/>
      <c r="AI564" s="267"/>
      <c r="AJ564" s="267"/>
      <c r="AK564" s="267"/>
      <c r="AL564" s="267"/>
      <c r="AM564" s="267"/>
      <c r="AN564" s="267"/>
      <c r="AO564" s="267"/>
      <c r="AP564" s="267"/>
      <c r="AQ564" s="267"/>
      <c r="AR564" s="267"/>
      <c r="AS564" s="267"/>
      <c r="AT564" s="267"/>
      <c r="AU564" s="267"/>
      <c r="AV564" s="267"/>
      <c r="AW564" s="267"/>
      <c r="AX564" s="267"/>
      <c r="AY564" s="267"/>
      <c r="AZ564" s="267"/>
      <c r="BA564" s="267"/>
      <c r="BB564" s="267"/>
      <c r="BC564" s="267"/>
      <c r="BD564" s="267"/>
      <c r="BE564" s="267"/>
      <c r="BF564" s="267"/>
      <c r="BG564" s="267"/>
      <c r="BH564" s="267"/>
      <c r="BI564" s="267"/>
      <c r="BJ564" s="267"/>
      <c r="BK564" s="414"/>
      <c r="BL564" s="414"/>
      <c r="BM564" s="414"/>
      <c r="BN564" s="267"/>
      <c r="BO564" s="267"/>
      <c r="BP564" s="267"/>
      <c r="BQ564" s="267"/>
      <c r="BR564" s="267"/>
      <c r="BS564" s="267"/>
      <c r="BT564" s="267"/>
      <c r="BU564" s="267"/>
      <c r="BV564" s="267"/>
      <c r="BW564" s="267"/>
      <c r="BX564" s="267"/>
      <c r="BY564" s="267"/>
      <c r="BZ564" s="269"/>
      <c r="CA564" s="269"/>
      <c r="CB564" s="269"/>
    </row>
    <row r="565" spans="1:80" ht="56.25" customHeight="1" x14ac:dyDescent="0.2">
      <c r="A565" s="205"/>
      <c r="B565" s="42"/>
      <c r="C565" s="883">
        <v>3</v>
      </c>
      <c r="D565" s="891" t="s">
        <v>389</v>
      </c>
      <c r="E565" s="883" t="s">
        <v>162</v>
      </c>
      <c r="F565" s="883" t="s">
        <v>163</v>
      </c>
      <c r="G565" s="895"/>
      <c r="H565" s="57">
        <v>130</v>
      </c>
      <c r="I565" s="729" t="s">
        <v>722</v>
      </c>
      <c r="J565" s="57">
        <v>0</v>
      </c>
      <c r="K565" s="169">
        <v>1</v>
      </c>
      <c r="L565" s="220">
        <v>0.75</v>
      </c>
      <c r="M565" s="884">
        <v>2017003630082</v>
      </c>
      <c r="N565" s="895" t="s">
        <v>1101</v>
      </c>
      <c r="O565" s="895" t="s">
        <v>723</v>
      </c>
      <c r="P565" s="890" t="s">
        <v>724</v>
      </c>
      <c r="Q565" s="57" t="s">
        <v>52</v>
      </c>
      <c r="R565" s="401">
        <v>0</v>
      </c>
      <c r="S565" s="401"/>
      <c r="T565" s="401"/>
      <c r="U565" s="401">
        <v>0</v>
      </c>
      <c r="V565" s="401"/>
      <c r="W565" s="401"/>
      <c r="X565" s="401">
        <v>0</v>
      </c>
      <c r="Y565" s="401"/>
      <c r="Z565" s="401"/>
      <c r="AA565" s="401">
        <v>0</v>
      </c>
      <c r="AB565" s="401"/>
      <c r="AC565" s="401"/>
      <c r="AD565" s="401">
        <v>0</v>
      </c>
      <c r="AE565" s="401"/>
      <c r="AF565" s="401"/>
      <c r="AG565" s="401">
        <v>0</v>
      </c>
      <c r="AH565" s="401"/>
      <c r="AI565" s="401"/>
      <c r="AJ565" s="401">
        <v>0</v>
      </c>
      <c r="AK565" s="401"/>
      <c r="AL565" s="401"/>
      <c r="AM565" s="455">
        <v>68000000</v>
      </c>
      <c r="AN565" s="455">
        <v>68000000</v>
      </c>
      <c r="AO565" s="455">
        <v>55680000</v>
      </c>
      <c r="AP565" s="402"/>
      <c r="AQ565" s="402"/>
      <c r="AR565" s="402"/>
      <c r="AS565" s="401">
        <v>25000000</v>
      </c>
      <c r="AT565" s="401">
        <v>10453333</v>
      </c>
      <c r="AU565" s="401"/>
      <c r="AV565" s="401">
        <v>0</v>
      </c>
      <c r="AW565" s="401"/>
      <c r="AX565" s="401"/>
      <c r="AY565" s="401"/>
      <c r="AZ565" s="401"/>
      <c r="BA565" s="401"/>
      <c r="BB565" s="401"/>
      <c r="BC565" s="401"/>
      <c r="BD565" s="401"/>
      <c r="BE565" s="401">
        <v>0</v>
      </c>
      <c r="BF565" s="401"/>
      <c r="BG565" s="401"/>
      <c r="BH565" s="401">
        <v>0</v>
      </c>
      <c r="BI565" s="401"/>
      <c r="BJ565" s="401"/>
      <c r="BK565" s="402">
        <v>0</v>
      </c>
      <c r="BL565" s="402"/>
      <c r="BM565" s="402"/>
      <c r="BN565" s="415"/>
      <c r="BO565" s="415"/>
      <c r="BP565" s="415"/>
      <c r="BQ565" s="401">
        <v>0</v>
      </c>
      <c r="BR565" s="403"/>
      <c r="BS565" s="403"/>
      <c r="BT565" s="403"/>
      <c r="BU565" s="403"/>
      <c r="BV565" s="403"/>
      <c r="BW565" s="403"/>
      <c r="BX565" s="403"/>
      <c r="BY565" s="403"/>
      <c r="BZ565" s="401">
        <f t="shared" ref="BZ565:CB566" si="253">R565+U565+X565+AA565+AD565+AG565+AJ565+AM565+AP565+AS565+AV565+AY565+BB565+BE565+BH565+BK565+BN565+BQ565+BT565+BW565</f>
        <v>93000000</v>
      </c>
      <c r="CA565" s="401">
        <f t="shared" si="253"/>
        <v>78453333</v>
      </c>
      <c r="CB565" s="401">
        <f t="shared" si="253"/>
        <v>55680000</v>
      </c>
    </row>
    <row r="566" spans="1:80" ht="56.25" customHeight="1" x14ac:dyDescent="0.2">
      <c r="A566" s="205"/>
      <c r="B566" s="42"/>
      <c r="C566" s="883"/>
      <c r="D566" s="891"/>
      <c r="E566" s="883"/>
      <c r="F566" s="883"/>
      <c r="G566" s="898"/>
      <c r="H566" s="57">
        <v>131</v>
      </c>
      <c r="I566" s="729" t="s">
        <v>725</v>
      </c>
      <c r="J566" s="57">
        <v>0</v>
      </c>
      <c r="K566" s="169">
        <v>5</v>
      </c>
      <c r="L566" s="169">
        <v>3</v>
      </c>
      <c r="M566" s="886"/>
      <c r="N566" s="898"/>
      <c r="O566" s="898"/>
      <c r="P566" s="892"/>
      <c r="Q566" s="57" t="s">
        <v>67</v>
      </c>
      <c r="R566" s="401">
        <v>0</v>
      </c>
      <c r="S566" s="401"/>
      <c r="T566" s="401"/>
      <c r="U566" s="401">
        <v>0</v>
      </c>
      <c r="V566" s="401"/>
      <c r="W566" s="401"/>
      <c r="X566" s="401">
        <v>0</v>
      </c>
      <c r="Y566" s="401"/>
      <c r="Z566" s="401"/>
      <c r="AA566" s="401">
        <v>0</v>
      </c>
      <c r="AB566" s="401"/>
      <c r="AC566" s="401"/>
      <c r="AD566" s="401">
        <v>0</v>
      </c>
      <c r="AE566" s="401"/>
      <c r="AF566" s="401"/>
      <c r="AG566" s="401">
        <v>0</v>
      </c>
      <c r="AH566" s="401"/>
      <c r="AI566" s="401"/>
      <c r="AJ566" s="401">
        <v>0</v>
      </c>
      <c r="AK566" s="401"/>
      <c r="AL566" s="401"/>
      <c r="AM566" s="455">
        <v>42000000</v>
      </c>
      <c r="AN566" s="455">
        <v>42000000</v>
      </c>
      <c r="AO566" s="455">
        <v>34400000</v>
      </c>
      <c r="AP566" s="402"/>
      <c r="AQ566" s="402"/>
      <c r="AR566" s="402"/>
      <c r="AS566" s="401">
        <v>10000000</v>
      </c>
      <c r="AT566" s="401">
        <v>10000000</v>
      </c>
      <c r="AU566" s="401">
        <v>2000000</v>
      </c>
      <c r="AV566" s="401">
        <v>0</v>
      </c>
      <c r="AW566" s="401"/>
      <c r="AX566" s="401"/>
      <c r="AY566" s="401"/>
      <c r="AZ566" s="401"/>
      <c r="BA566" s="401"/>
      <c r="BB566" s="401"/>
      <c r="BC566" s="401"/>
      <c r="BD566" s="401"/>
      <c r="BE566" s="401">
        <v>0</v>
      </c>
      <c r="BF566" s="401"/>
      <c r="BG566" s="401"/>
      <c r="BH566" s="401">
        <v>0</v>
      </c>
      <c r="BI566" s="401"/>
      <c r="BJ566" s="401"/>
      <c r="BK566" s="402">
        <v>0</v>
      </c>
      <c r="BL566" s="402"/>
      <c r="BM566" s="402"/>
      <c r="BN566" s="415"/>
      <c r="BO566" s="415"/>
      <c r="BP566" s="415"/>
      <c r="BQ566" s="401">
        <v>0</v>
      </c>
      <c r="BR566" s="403"/>
      <c r="BS566" s="403"/>
      <c r="BT566" s="403"/>
      <c r="BU566" s="403"/>
      <c r="BV566" s="403"/>
      <c r="BW566" s="403"/>
      <c r="BX566" s="403"/>
      <c r="BY566" s="403"/>
      <c r="BZ566" s="401">
        <f t="shared" si="253"/>
        <v>52000000</v>
      </c>
      <c r="CA566" s="401">
        <f t="shared" si="253"/>
        <v>52000000</v>
      </c>
      <c r="CB566" s="401">
        <f t="shared" si="253"/>
        <v>36400000</v>
      </c>
    </row>
    <row r="567" spans="1:80" ht="30" customHeight="1" x14ac:dyDescent="0.2">
      <c r="A567" s="205"/>
      <c r="B567" s="42"/>
      <c r="C567" s="714"/>
      <c r="D567" s="709"/>
      <c r="E567" s="714"/>
      <c r="F567" s="714"/>
      <c r="G567" s="58"/>
      <c r="H567" s="59"/>
      <c r="I567" s="58"/>
      <c r="J567" s="59"/>
      <c r="K567" s="191"/>
      <c r="L567" s="191"/>
      <c r="M567" s="191"/>
      <c r="N567" s="59"/>
      <c r="O567" s="59"/>
      <c r="P567" s="58"/>
      <c r="Q567" s="59"/>
      <c r="R567" s="410">
        <f t="shared" ref="R567:CB567" si="254">SUM(R565:R566)</f>
        <v>0</v>
      </c>
      <c r="S567" s="410">
        <f t="shared" si="254"/>
        <v>0</v>
      </c>
      <c r="T567" s="410">
        <f t="shared" si="254"/>
        <v>0</v>
      </c>
      <c r="U567" s="410">
        <f t="shared" si="254"/>
        <v>0</v>
      </c>
      <c r="V567" s="410">
        <f t="shared" si="254"/>
        <v>0</v>
      </c>
      <c r="W567" s="410">
        <f t="shared" si="254"/>
        <v>0</v>
      </c>
      <c r="X567" s="410">
        <f t="shared" si="254"/>
        <v>0</v>
      </c>
      <c r="Y567" s="410">
        <f t="shared" si="254"/>
        <v>0</v>
      </c>
      <c r="Z567" s="410">
        <f t="shared" si="254"/>
        <v>0</v>
      </c>
      <c r="AA567" s="410">
        <f t="shared" si="254"/>
        <v>0</v>
      </c>
      <c r="AB567" s="410">
        <f t="shared" si="254"/>
        <v>0</v>
      </c>
      <c r="AC567" s="410">
        <f t="shared" si="254"/>
        <v>0</v>
      </c>
      <c r="AD567" s="410">
        <f t="shared" si="254"/>
        <v>0</v>
      </c>
      <c r="AE567" s="410">
        <f t="shared" si="254"/>
        <v>0</v>
      </c>
      <c r="AF567" s="410">
        <f t="shared" si="254"/>
        <v>0</v>
      </c>
      <c r="AG567" s="410">
        <f t="shared" si="254"/>
        <v>0</v>
      </c>
      <c r="AH567" s="410">
        <f t="shared" si="254"/>
        <v>0</v>
      </c>
      <c r="AI567" s="410">
        <f t="shared" si="254"/>
        <v>0</v>
      </c>
      <c r="AJ567" s="410">
        <f t="shared" si="254"/>
        <v>0</v>
      </c>
      <c r="AK567" s="410">
        <f t="shared" si="254"/>
        <v>0</v>
      </c>
      <c r="AL567" s="410">
        <f t="shared" si="254"/>
        <v>0</v>
      </c>
      <c r="AM567" s="410">
        <f t="shared" si="254"/>
        <v>110000000</v>
      </c>
      <c r="AN567" s="410">
        <f t="shared" si="254"/>
        <v>110000000</v>
      </c>
      <c r="AO567" s="410">
        <f t="shared" si="254"/>
        <v>90080000</v>
      </c>
      <c r="AP567" s="410">
        <f t="shared" si="254"/>
        <v>0</v>
      </c>
      <c r="AQ567" s="410">
        <f t="shared" si="254"/>
        <v>0</v>
      </c>
      <c r="AR567" s="410">
        <f t="shared" si="254"/>
        <v>0</v>
      </c>
      <c r="AS567" s="410">
        <f t="shared" si="254"/>
        <v>35000000</v>
      </c>
      <c r="AT567" s="410">
        <f t="shared" si="254"/>
        <v>20453333</v>
      </c>
      <c r="AU567" s="410">
        <f t="shared" si="254"/>
        <v>2000000</v>
      </c>
      <c r="AV567" s="410">
        <f t="shared" si="254"/>
        <v>0</v>
      </c>
      <c r="AW567" s="410">
        <f t="shared" si="254"/>
        <v>0</v>
      </c>
      <c r="AX567" s="410">
        <f t="shared" si="254"/>
        <v>0</v>
      </c>
      <c r="AY567" s="410">
        <f t="shared" si="254"/>
        <v>0</v>
      </c>
      <c r="AZ567" s="410">
        <f t="shared" si="254"/>
        <v>0</v>
      </c>
      <c r="BA567" s="410">
        <f t="shared" si="254"/>
        <v>0</v>
      </c>
      <c r="BB567" s="410">
        <f t="shared" si="254"/>
        <v>0</v>
      </c>
      <c r="BC567" s="410">
        <f t="shared" si="254"/>
        <v>0</v>
      </c>
      <c r="BD567" s="410">
        <f t="shared" si="254"/>
        <v>0</v>
      </c>
      <c r="BE567" s="410">
        <f t="shared" si="254"/>
        <v>0</v>
      </c>
      <c r="BF567" s="410">
        <f t="shared" si="254"/>
        <v>0</v>
      </c>
      <c r="BG567" s="410">
        <f t="shared" si="254"/>
        <v>0</v>
      </c>
      <c r="BH567" s="410">
        <f t="shared" si="254"/>
        <v>0</v>
      </c>
      <c r="BI567" s="410">
        <f t="shared" si="254"/>
        <v>0</v>
      </c>
      <c r="BJ567" s="410">
        <f t="shared" si="254"/>
        <v>0</v>
      </c>
      <c r="BK567" s="410">
        <f t="shared" si="254"/>
        <v>0</v>
      </c>
      <c r="BL567" s="410">
        <f t="shared" si="254"/>
        <v>0</v>
      </c>
      <c r="BM567" s="410">
        <f t="shared" si="254"/>
        <v>0</v>
      </c>
      <c r="BN567" s="410">
        <f t="shared" si="254"/>
        <v>0</v>
      </c>
      <c r="BO567" s="410">
        <f t="shared" si="254"/>
        <v>0</v>
      </c>
      <c r="BP567" s="410">
        <f t="shared" si="254"/>
        <v>0</v>
      </c>
      <c r="BQ567" s="410">
        <f t="shared" si="254"/>
        <v>0</v>
      </c>
      <c r="BR567" s="410">
        <f t="shared" si="254"/>
        <v>0</v>
      </c>
      <c r="BS567" s="410">
        <f t="shared" si="254"/>
        <v>0</v>
      </c>
      <c r="BT567" s="410">
        <f t="shared" si="254"/>
        <v>0</v>
      </c>
      <c r="BU567" s="410">
        <f t="shared" si="254"/>
        <v>0</v>
      </c>
      <c r="BV567" s="410">
        <f t="shared" si="254"/>
        <v>0</v>
      </c>
      <c r="BW567" s="410">
        <f t="shared" si="254"/>
        <v>0</v>
      </c>
      <c r="BX567" s="410">
        <f t="shared" si="254"/>
        <v>0</v>
      </c>
      <c r="BY567" s="410">
        <f t="shared" si="254"/>
        <v>0</v>
      </c>
      <c r="BZ567" s="410">
        <f t="shared" si="254"/>
        <v>145000000</v>
      </c>
      <c r="CA567" s="410">
        <f t="shared" si="254"/>
        <v>130453333</v>
      </c>
      <c r="CB567" s="410">
        <f t="shared" si="254"/>
        <v>92080000</v>
      </c>
    </row>
    <row r="568" spans="1:80" ht="30" customHeight="1" x14ac:dyDescent="0.2">
      <c r="A568" s="205"/>
      <c r="B568" s="42"/>
      <c r="C568" s="150"/>
      <c r="D568" s="72"/>
      <c r="E568" s="150"/>
      <c r="F568" s="150"/>
      <c r="G568" s="72"/>
      <c r="H568" s="150"/>
      <c r="I568" s="72"/>
      <c r="J568" s="150"/>
      <c r="K568" s="195"/>
      <c r="L568" s="266"/>
      <c r="M568" s="266"/>
      <c r="N568" s="400"/>
      <c r="O568" s="400"/>
      <c r="P568" s="101"/>
      <c r="Q568" s="150"/>
      <c r="R568" s="405"/>
      <c r="S568" s="405"/>
      <c r="T568" s="405"/>
      <c r="U568" s="405"/>
      <c r="V568" s="405"/>
      <c r="W568" s="405"/>
      <c r="X568" s="405"/>
      <c r="Y568" s="405"/>
      <c r="Z568" s="405"/>
      <c r="AA568" s="405"/>
      <c r="AB568" s="405"/>
      <c r="AC568" s="405"/>
      <c r="AD568" s="405"/>
      <c r="AE568" s="405"/>
      <c r="AF568" s="405"/>
      <c r="AG568" s="405"/>
      <c r="AH568" s="405"/>
      <c r="AI568" s="405"/>
      <c r="AJ568" s="405"/>
      <c r="AK568" s="405"/>
      <c r="AL568" s="405"/>
      <c r="AM568" s="405"/>
      <c r="AN568" s="405"/>
      <c r="AO568" s="405"/>
      <c r="AP568" s="405"/>
      <c r="AQ568" s="405"/>
      <c r="AR568" s="405"/>
      <c r="AS568" s="405"/>
      <c r="AT568" s="405"/>
      <c r="AU568" s="405"/>
      <c r="AV568" s="405"/>
      <c r="AW568" s="405"/>
      <c r="AX568" s="405"/>
      <c r="AY568" s="405"/>
      <c r="AZ568" s="405"/>
      <c r="BA568" s="405"/>
      <c r="BB568" s="405"/>
      <c r="BC568" s="405"/>
      <c r="BD568" s="405"/>
      <c r="BE568" s="405"/>
      <c r="BF568" s="405"/>
      <c r="BG568" s="405"/>
      <c r="BH568" s="405"/>
      <c r="BI568" s="405"/>
      <c r="BJ568" s="405"/>
      <c r="BK568" s="407"/>
      <c r="BL568" s="407"/>
      <c r="BM568" s="407"/>
      <c r="BN568" s="408"/>
      <c r="BO568" s="408"/>
      <c r="BP568" s="408"/>
      <c r="BQ568" s="405"/>
      <c r="BR568" s="405"/>
      <c r="BS568" s="405"/>
      <c r="BT568" s="405"/>
      <c r="BU568" s="405"/>
      <c r="BV568" s="405"/>
      <c r="BW568" s="405"/>
      <c r="BX568" s="405"/>
      <c r="BY568" s="405"/>
      <c r="BZ568" s="409"/>
      <c r="CA568" s="409"/>
      <c r="CB568" s="409"/>
    </row>
    <row r="569" spans="1:80" ht="30" customHeight="1" x14ac:dyDescent="0.2">
      <c r="A569" s="205"/>
      <c r="B569" s="42"/>
      <c r="C569" s="713"/>
      <c r="D569" s="707"/>
      <c r="E569" s="713"/>
      <c r="F569" s="713"/>
      <c r="G569" s="219">
        <v>37</v>
      </c>
      <c r="H569" s="80" t="s">
        <v>726</v>
      </c>
      <c r="I569" s="80"/>
      <c r="J569" s="80"/>
      <c r="K569" s="153"/>
      <c r="L569" s="153"/>
      <c r="M569" s="153"/>
      <c r="N569" s="173"/>
      <c r="O569" s="173"/>
      <c r="P569" s="80"/>
      <c r="Q569" s="80"/>
      <c r="R569" s="267"/>
      <c r="S569" s="267"/>
      <c r="T569" s="267"/>
      <c r="U569" s="267"/>
      <c r="V569" s="267"/>
      <c r="W569" s="267"/>
      <c r="X569" s="267"/>
      <c r="Y569" s="267"/>
      <c r="Z569" s="267"/>
      <c r="AA569" s="267"/>
      <c r="AB569" s="267"/>
      <c r="AC569" s="267"/>
      <c r="AD569" s="267"/>
      <c r="AE569" s="267"/>
      <c r="AF569" s="267"/>
      <c r="AG569" s="267"/>
      <c r="AH569" s="267"/>
      <c r="AI569" s="267"/>
      <c r="AJ569" s="267"/>
      <c r="AK569" s="267"/>
      <c r="AL569" s="267"/>
      <c r="AM569" s="267"/>
      <c r="AN569" s="267"/>
      <c r="AO569" s="267"/>
      <c r="AP569" s="267"/>
      <c r="AQ569" s="267"/>
      <c r="AR569" s="267"/>
      <c r="AS569" s="267"/>
      <c r="AT569" s="267"/>
      <c r="AU569" s="267"/>
      <c r="AV569" s="267"/>
      <c r="AW569" s="267"/>
      <c r="AX569" s="267"/>
      <c r="AY569" s="267"/>
      <c r="AZ569" s="267"/>
      <c r="BA569" s="267"/>
      <c r="BB569" s="267"/>
      <c r="BC569" s="267"/>
      <c r="BD569" s="267"/>
      <c r="BE569" s="267"/>
      <c r="BF569" s="267"/>
      <c r="BG569" s="267"/>
      <c r="BH569" s="267"/>
      <c r="BI569" s="267"/>
      <c r="BJ569" s="267"/>
      <c r="BK569" s="414"/>
      <c r="BL569" s="414"/>
      <c r="BM569" s="414"/>
      <c r="BN569" s="267"/>
      <c r="BO569" s="267"/>
      <c r="BP569" s="267"/>
      <c r="BQ569" s="267"/>
      <c r="BR569" s="267"/>
      <c r="BS569" s="267"/>
      <c r="BT569" s="267"/>
      <c r="BU569" s="267"/>
      <c r="BV569" s="267"/>
      <c r="BW569" s="267"/>
      <c r="BX569" s="267"/>
      <c r="BY569" s="267"/>
      <c r="BZ569" s="269"/>
      <c r="CA569" s="269"/>
      <c r="CB569" s="269"/>
    </row>
    <row r="570" spans="1:80" ht="62.25" customHeight="1" x14ac:dyDescent="0.2">
      <c r="A570" s="205"/>
      <c r="B570" s="42"/>
      <c r="C570" s="714">
        <v>22</v>
      </c>
      <c r="D570" s="709" t="s">
        <v>727</v>
      </c>
      <c r="E570" s="714" t="s">
        <v>645</v>
      </c>
      <c r="F570" s="714" t="s">
        <v>728</v>
      </c>
      <c r="G570" s="43"/>
      <c r="H570" s="727">
        <v>132</v>
      </c>
      <c r="I570" s="729" t="s">
        <v>729</v>
      </c>
      <c r="J570" s="57" t="s">
        <v>43</v>
      </c>
      <c r="K570" s="328">
        <v>8</v>
      </c>
      <c r="L570" s="328">
        <v>8</v>
      </c>
      <c r="M570" s="884">
        <v>2017003630081</v>
      </c>
      <c r="N570" s="895" t="s">
        <v>714</v>
      </c>
      <c r="O570" s="895" t="s">
        <v>730</v>
      </c>
      <c r="P570" s="890" t="s">
        <v>1007</v>
      </c>
      <c r="Q570" s="57" t="s">
        <v>52</v>
      </c>
      <c r="R570" s="401">
        <v>0</v>
      </c>
      <c r="S570" s="401"/>
      <c r="T570" s="401"/>
      <c r="U570" s="401">
        <v>0</v>
      </c>
      <c r="V570" s="401"/>
      <c r="W570" s="401"/>
      <c r="X570" s="401">
        <v>0</v>
      </c>
      <c r="Y570" s="401"/>
      <c r="Z570" s="401"/>
      <c r="AA570" s="401">
        <v>0</v>
      </c>
      <c r="AB570" s="401"/>
      <c r="AC570" s="401"/>
      <c r="AD570" s="401">
        <v>0</v>
      </c>
      <c r="AE570" s="401"/>
      <c r="AF570" s="401"/>
      <c r="AG570" s="401">
        <v>0</v>
      </c>
      <c r="AH570" s="401"/>
      <c r="AI570" s="401"/>
      <c r="AJ570" s="401">
        <v>0</v>
      </c>
      <c r="AK570" s="401"/>
      <c r="AL570" s="401"/>
      <c r="AM570" s="455">
        <v>30000000</v>
      </c>
      <c r="AN570" s="455">
        <v>27360000</v>
      </c>
      <c r="AO570" s="455">
        <v>20000000</v>
      </c>
      <c r="AP570" s="402"/>
      <c r="AQ570" s="402"/>
      <c r="AR570" s="402"/>
      <c r="AS570" s="401">
        <v>7000000</v>
      </c>
      <c r="AT570" s="401">
        <v>7000000</v>
      </c>
      <c r="AU570" s="401"/>
      <c r="AV570" s="401">
        <v>0</v>
      </c>
      <c r="AW570" s="401"/>
      <c r="AX570" s="401"/>
      <c r="AY570" s="401"/>
      <c r="AZ570" s="401"/>
      <c r="BA570" s="401"/>
      <c r="BB570" s="401"/>
      <c r="BC570" s="401"/>
      <c r="BD570" s="401"/>
      <c r="BE570" s="401">
        <v>0</v>
      </c>
      <c r="BF570" s="401"/>
      <c r="BG570" s="401"/>
      <c r="BH570" s="401">
        <v>0</v>
      </c>
      <c r="BI570" s="401"/>
      <c r="BJ570" s="401"/>
      <c r="BK570" s="402">
        <v>0</v>
      </c>
      <c r="BL570" s="402"/>
      <c r="BM570" s="402"/>
      <c r="BN570" s="415"/>
      <c r="BO570" s="415"/>
      <c r="BP570" s="415"/>
      <c r="BQ570" s="401">
        <v>0</v>
      </c>
      <c r="BR570" s="403"/>
      <c r="BS570" s="403"/>
      <c r="BT570" s="403"/>
      <c r="BU570" s="403"/>
      <c r="BV570" s="403"/>
      <c r="BW570" s="403"/>
      <c r="BX570" s="403"/>
      <c r="BY570" s="403"/>
      <c r="BZ570" s="401">
        <f t="shared" ref="BZ570:CB573" si="255">R570+U570+X570+AA570+AD570+AG570+AJ570+AM570+AP570+AS570+AV570+AY570+BB570+BE570+BH570+BK570+BN570+BQ570+BT570+BW570</f>
        <v>37000000</v>
      </c>
      <c r="CA570" s="401">
        <f t="shared" si="255"/>
        <v>34360000</v>
      </c>
      <c r="CB570" s="401">
        <f t="shared" si="255"/>
        <v>20000000</v>
      </c>
    </row>
    <row r="571" spans="1:80" ht="81" customHeight="1" x14ac:dyDescent="0.2">
      <c r="A571" s="205"/>
      <c r="B571" s="42"/>
      <c r="C571" s="150">
        <v>31</v>
      </c>
      <c r="D571" s="729" t="s">
        <v>732</v>
      </c>
      <c r="E571" s="263">
        <v>0.249</v>
      </c>
      <c r="F571" s="319">
        <v>0.2</v>
      </c>
      <c r="G571" s="49"/>
      <c r="H571" s="727">
        <v>133</v>
      </c>
      <c r="I571" s="729" t="s">
        <v>733</v>
      </c>
      <c r="J571" s="57">
        <v>0</v>
      </c>
      <c r="K571" s="328">
        <v>12</v>
      </c>
      <c r="L571" s="328">
        <v>12</v>
      </c>
      <c r="M571" s="885"/>
      <c r="N571" s="883"/>
      <c r="O571" s="883"/>
      <c r="P571" s="891"/>
      <c r="Q571" s="57" t="s">
        <v>52</v>
      </c>
      <c r="R571" s="401">
        <v>0</v>
      </c>
      <c r="S571" s="401"/>
      <c r="T571" s="401"/>
      <c r="U571" s="401">
        <v>0</v>
      </c>
      <c r="V571" s="401"/>
      <c r="W571" s="401"/>
      <c r="X571" s="401">
        <v>0</v>
      </c>
      <c r="Y571" s="401"/>
      <c r="Z571" s="401"/>
      <c r="AA571" s="401">
        <v>0</v>
      </c>
      <c r="AB571" s="401"/>
      <c r="AC571" s="401"/>
      <c r="AD571" s="401">
        <v>0</v>
      </c>
      <c r="AE571" s="401"/>
      <c r="AF571" s="401"/>
      <c r="AG571" s="401">
        <v>0</v>
      </c>
      <c r="AH571" s="401"/>
      <c r="AI571" s="401"/>
      <c r="AJ571" s="401">
        <v>0</v>
      </c>
      <c r="AK571" s="401"/>
      <c r="AL571" s="401"/>
      <c r="AM571" s="455">
        <f>20000000+1500000</f>
        <v>21500000</v>
      </c>
      <c r="AN571" s="455">
        <v>21500000</v>
      </c>
      <c r="AO571" s="455">
        <v>20000000</v>
      </c>
      <c r="AP571" s="402"/>
      <c r="AQ571" s="402"/>
      <c r="AR571" s="402"/>
      <c r="AS571" s="401">
        <v>4140000</v>
      </c>
      <c r="AT571" s="401">
        <v>2640000</v>
      </c>
      <c r="AU571" s="401">
        <v>2640000</v>
      </c>
      <c r="AV571" s="401">
        <v>0</v>
      </c>
      <c r="AW571" s="401"/>
      <c r="AX571" s="401"/>
      <c r="AY571" s="401"/>
      <c r="AZ571" s="401"/>
      <c r="BA571" s="401"/>
      <c r="BB571" s="401"/>
      <c r="BC571" s="401"/>
      <c r="BD571" s="401"/>
      <c r="BE571" s="401">
        <v>0</v>
      </c>
      <c r="BF571" s="401"/>
      <c r="BG571" s="401"/>
      <c r="BH571" s="401">
        <v>0</v>
      </c>
      <c r="BI571" s="401"/>
      <c r="BJ571" s="401"/>
      <c r="BK571" s="402">
        <v>0</v>
      </c>
      <c r="BL571" s="402"/>
      <c r="BM571" s="402"/>
      <c r="BN571" s="415"/>
      <c r="BO571" s="415"/>
      <c r="BP571" s="415"/>
      <c r="BQ571" s="401">
        <v>0</v>
      </c>
      <c r="BR571" s="403"/>
      <c r="BS571" s="403"/>
      <c r="BT571" s="403"/>
      <c r="BU571" s="403"/>
      <c r="BV571" s="403"/>
      <c r="BW571" s="403"/>
      <c r="BX571" s="403"/>
      <c r="BY571" s="403"/>
      <c r="BZ571" s="401">
        <f t="shared" si="255"/>
        <v>25640000</v>
      </c>
      <c r="CA571" s="401">
        <f t="shared" si="255"/>
        <v>24140000</v>
      </c>
      <c r="CB571" s="401">
        <f t="shared" si="255"/>
        <v>22640000</v>
      </c>
    </row>
    <row r="572" spans="1:80" ht="62.25" customHeight="1" x14ac:dyDescent="0.2">
      <c r="A572" s="205"/>
      <c r="B572" s="42"/>
      <c r="C572" s="400">
        <v>33</v>
      </c>
      <c r="D572" s="707" t="s">
        <v>734</v>
      </c>
      <c r="E572" s="713">
        <v>0</v>
      </c>
      <c r="F572" s="713">
        <v>0</v>
      </c>
      <c r="G572" s="49"/>
      <c r="H572" s="57">
        <v>134</v>
      </c>
      <c r="I572" s="729" t="s">
        <v>735</v>
      </c>
      <c r="J572" s="154">
        <v>3600</v>
      </c>
      <c r="K572" s="328">
        <v>4800</v>
      </c>
      <c r="L572" s="328">
        <v>3169</v>
      </c>
      <c r="M572" s="885"/>
      <c r="N572" s="883"/>
      <c r="O572" s="883"/>
      <c r="P572" s="891"/>
      <c r="Q572" s="57" t="s">
        <v>52</v>
      </c>
      <c r="R572" s="401">
        <v>0</v>
      </c>
      <c r="S572" s="401"/>
      <c r="T572" s="401"/>
      <c r="U572" s="401">
        <v>0</v>
      </c>
      <c r="V572" s="401"/>
      <c r="W572" s="401"/>
      <c r="X572" s="401">
        <v>0</v>
      </c>
      <c r="Y572" s="401"/>
      <c r="Z572" s="401"/>
      <c r="AA572" s="401">
        <v>0</v>
      </c>
      <c r="AB572" s="401"/>
      <c r="AC572" s="401"/>
      <c r="AD572" s="401">
        <v>0</v>
      </c>
      <c r="AE572" s="401"/>
      <c r="AF572" s="401"/>
      <c r="AG572" s="401">
        <v>0</v>
      </c>
      <c r="AH572" s="401"/>
      <c r="AI572" s="401"/>
      <c r="AJ572" s="401">
        <v>0</v>
      </c>
      <c r="AK572" s="401"/>
      <c r="AL572" s="401"/>
      <c r="AM572" s="455">
        <f>35000000+2100000</f>
        <v>37100000</v>
      </c>
      <c r="AN572" s="455">
        <v>37100000</v>
      </c>
      <c r="AO572" s="455">
        <v>31840000</v>
      </c>
      <c r="AP572" s="402"/>
      <c r="AQ572" s="402"/>
      <c r="AR572" s="402"/>
      <c r="AS572" s="401">
        <v>33860000</v>
      </c>
      <c r="AT572" s="401">
        <v>23360000</v>
      </c>
      <c r="AU572" s="401">
        <v>2640000</v>
      </c>
      <c r="AV572" s="401">
        <v>0</v>
      </c>
      <c r="AW572" s="401"/>
      <c r="AX572" s="401"/>
      <c r="AY572" s="401"/>
      <c r="AZ572" s="401"/>
      <c r="BA572" s="401"/>
      <c r="BB572" s="401"/>
      <c r="BC572" s="401"/>
      <c r="BD572" s="401"/>
      <c r="BE572" s="401">
        <v>0</v>
      </c>
      <c r="BF572" s="401"/>
      <c r="BG572" s="401"/>
      <c r="BH572" s="401">
        <v>0</v>
      </c>
      <c r="BI572" s="401"/>
      <c r="BJ572" s="401"/>
      <c r="BK572" s="402">
        <v>0</v>
      </c>
      <c r="BL572" s="402"/>
      <c r="BM572" s="402"/>
      <c r="BN572" s="415"/>
      <c r="BO572" s="415"/>
      <c r="BP572" s="415"/>
      <c r="BQ572" s="401">
        <v>0</v>
      </c>
      <c r="BR572" s="403"/>
      <c r="BS572" s="403"/>
      <c r="BT572" s="403"/>
      <c r="BU572" s="403"/>
      <c r="BV572" s="403"/>
      <c r="BW572" s="403"/>
      <c r="BX572" s="403"/>
      <c r="BY572" s="403"/>
      <c r="BZ572" s="401">
        <f t="shared" si="255"/>
        <v>70960000</v>
      </c>
      <c r="CA572" s="401">
        <f t="shared" si="255"/>
        <v>60460000</v>
      </c>
      <c r="CB572" s="401">
        <f t="shared" si="255"/>
        <v>34480000</v>
      </c>
    </row>
    <row r="573" spans="1:80" ht="62.25" customHeight="1" x14ac:dyDescent="0.2">
      <c r="A573" s="205"/>
      <c r="B573" s="42"/>
      <c r="C573" s="713">
        <v>31</v>
      </c>
      <c r="D573" s="707" t="s">
        <v>650</v>
      </c>
      <c r="E573" s="732">
        <v>0.249</v>
      </c>
      <c r="F573" s="731">
        <v>0.2</v>
      </c>
      <c r="G573" s="92"/>
      <c r="H573" s="57">
        <v>135</v>
      </c>
      <c r="I573" s="729" t="s">
        <v>736</v>
      </c>
      <c r="J573" s="154">
        <v>12</v>
      </c>
      <c r="K573" s="328">
        <v>12</v>
      </c>
      <c r="L573" s="328">
        <v>12</v>
      </c>
      <c r="M573" s="886"/>
      <c r="N573" s="898"/>
      <c r="O573" s="898"/>
      <c r="P573" s="892"/>
      <c r="Q573" s="57" t="s">
        <v>52</v>
      </c>
      <c r="R573" s="401"/>
      <c r="S573" s="401"/>
      <c r="T573" s="401"/>
      <c r="U573" s="401"/>
      <c r="V573" s="401"/>
      <c r="W573" s="401"/>
      <c r="X573" s="401"/>
      <c r="Y573" s="401"/>
      <c r="Z573" s="401"/>
      <c r="AA573" s="401"/>
      <c r="AB573" s="401"/>
      <c r="AC573" s="401"/>
      <c r="AD573" s="401"/>
      <c r="AE573" s="401"/>
      <c r="AF573" s="401"/>
      <c r="AG573" s="401"/>
      <c r="AH573" s="401"/>
      <c r="AI573" s="401"/>
      <c r="AJ573" s="401"/>
      <c r="AK573" s="401"/>
      <c r="AL573" s="401"/>
      <c r="AM573" s="455">
        <f>35000000-2100000-1500000</f>
        <v>31400000</v>
      </c>
      <c r="AN573" s="455">
        <v>31040000</v>
      </c>
      <c r="AO573" s="455">
        <v>21440000</v>
      </c>
      <c r="AP573" s="402"/>
      <c r="AQ573" s="402"/>
      <c r="AR573" s="402"/>
      <c r="AS573" s="401"/>
      <c r="AT573" s="401"/>
      <c r="AU573" s="401"/>
      <c r="AV573" s="401"/>
      <c r="AW573" s="401"/>
      <c r="AX573" s="401"/>
      <c r="AY573" s="401"/>
      <c r="AZ573" s="401"/>
      <c r="BA573" s="401"/>
      <c r="BB573" s="401"/>
      <c r="BC573" s="401"/>
      <c r="BD573" s="401"/>
      <c r="BE573" s="401"/>
      <c r="BF573" s="401"/>
      <c r="BG573" s="401"/>
      <c r="BH573" s="401"/>
      <c r="BI573" s="401"/>
      <c r="BJ573" s="401"/>
      <c r="BK573" s="402"/>
      <c r="BL573" s="402"/>
      <c r="BM573" s="402"/>
      <c r="BN573" s="415"/>
      <c r="BO573" s="415"/>
      <c r="BP573" s="415"/>
      <c r="BQ573" s="401">
        <v>0</v>
      </c>
      <c r="BR573" s="401"/>
      <c r="BS573" s="401"/>
      <c r="BT573" s="401"/>
      <c r="BU573" s="401"/>
      <c r="BV573" s="401"/>
      <c r="BW573" s="401"/>
      <c r="BX573" s="401"/>
      <c r="BY573" s="401"/>
      <c r="BZ573" s="401">
        <f t="shared" si="255"/>
        <v>31400000</v>
      </c>
      <c r="CA573" s="401">
        <f t="shared" si="255"/>
        <v>31040000</v>
      </c>
      <c r="CB573" s="401">
        <f t="shared" si="255"/>
        <v>21440000</v>
      </c>
    </row>
    <row r="574" spans="1:80" ht="30" customHeight="1" x14ac:dyDescent="0.2">
      <c r="A574" s="205"/>
      <c r="B574" s="42"/>
      <c r="C574" s="714"/>
      <c r="D574" s="709"/>
      <c r="E574" s="714"/>
      <c r="F574" s="714"/>
      <c r="G574" s="58"/>
      <c r="H574" s="59"/>
      <c r="I574" s="58"/>
      <c r="J574" s="329"/>
      <c r="K574" s="330"/>
      <c r="L574" s="330"/>
      <c r="M574" s="330"/>
      <c r="N574" s="329"/>
      <c r="O574" s="59"/>
      <c r="P574" s="58"/>
      <c r="Q574" s="59"/>
      <c r="R574" s="410">
        <f t="shared" ref="R574:BY574" si="256">SUM(R570:R573)</f>
        <v>0</v>
      </c>
      <c r="S574" s="410">
        <f t="shared" si="256"/>
        <v>0</v>
      </c>
      <c r="T574" s="410">
        <f t="shared" si="256"/>
        <v>0</v>
      </c>
      <c r="U574" s="410">
        <f t="shared" si="256"/>
        <v>0</v>
      </c>
      <c r="V574" s="410">
        <f t="shared" si="256"/>
        <v>0</v>
      </c>
      <c r="W574" s="410">
        <f t="shared" si="256"/>
        <v>0</v>
      </c>
      <c r="X574" s="410">
        <f t="shared" si="256"/>
        <v>0</v>
      </c>
      <c r="Y574" s="410">
        <f t="shared" si="256"/>
        <v>0</v>
      </c>
      <c r="Z574" s="410">
        <f t="shared" si="256"/>
        <v>0</v>
      </c>
      <c r="AA574" s="410">
        <f t="shared" si="256"/>
        <v>0</v>
      </c>
      <c r="AB574" s="410">
        <f t="shared" si="256"/>
        <v>0</v>
      </c>
      <c r="AC574" s="410">
        <f t="shared" si="256"/>
        <v>0</v>
      </c>
      <c r="AD574" s="410">
        <f t="shared" si="256"/>
        <v>0</v>
      </c>
      <c r="AE574" s="410">
        <f t="shared" si="256"/>
        <v>0</v>
      </c>
      <c r="AF574" s="410">
        <f t="shared" si="256"/>
        <v>0</v>
      </c>
      <c r="AG574" s="410">
        <f t="shared" si="256"/>
        <v>0</v>
      </c>
      <c r="AH574" s="410">
        <f t="shared" si="256"/>
        <v>0</v>
      </c>
      <c r="AI574" s="410">
        <f t="shared" si="256"/>
        <v>0</v>
      </c>
      <c r="AJ574" s="410">
        <f t="shared" si="256"/>
        <v>0</v>
      </c>
      <c r="AK574" s="410">
        <f t="shared" si="256"/>
        <v>0</v>
      </c>
      <c r="AL574" s="410">
        <f t="shared" si="256"/>
        <v>0</v>
      </c>
      <c r="AM574" s="410">
        <f t="shared" si="256"/>
        <v>120000000</v>
      </c>
      <c r="AN574" s="410">
        <f t="shared" si="256"/>
        <v>117000000</v>
      </c>
      <c r="AO574" s="410">
        <f t="shared" si="256"/>
        <v>93280000</v>
      </c>
      <c r="AP574" s="410">
        <f t="shared" si="256"/>
        <v>0</v>
      </c>
      <c r="AQ574" s="410">
        <f t="shared" si="256"/>
        <v>0</v>
      </c>
      <c r="AR574" s="410">
        <f t="shared" si="256"/>
        <v>0</v>
      </c>
      <c r="AS574" s="410">
        <f t="shared" si="256"/>
        <v>45000000</v>
      </c>
      <c r="AT574" s="410">
        <f t="shared" si="256"/>
        <v>33000000</v>
      </c>
      <c r="AU574" s="410">
        <f t="shared" si="256"/>
        <v>5280000</v>
      </c>
      <c r="AV574" s="410">
        <f t="shared" si="256"/>
        <v>0</v>
      </c>
      <c r="AW574" s="410">
        <f t="shared" si="256"/>
        <v>0</v>
      </c>
      <c r="AX574" s="410">
        <f t="shared" si="256"/>
        <v>0</v>
      </c>
      <c r="AY574" s="410">
        <f t="shared" si="256"/>
        <v>0</v>
      </c>
      <c r="AZ574" s="410">
        <f t="shared" si="256"/>
        <v>0</v>
      </c>
      <c r="BA574" s="410">
        <f t="shared" si="256"/>
        <v>0</v>
      </c>
      <c r="BB574" s="410">
        <f t="shared" si="256"/>
        <v>0</v>
      </c>
      <c r="BC574" s="410">
        <f t="shared" si="256"/>
        <v>0</v>
      </c>
      <c r="BD574" s="410">
        <f t="shared" si="256"/>
        <v>0</v>
      </c>
      <c r="BE574" s="410">
        <f t="shared" si="256"/>
        <v>0</v>
      </c>
      <c r="BF574" s="410">
        <f t="shared" si="256"/>
        <v>0</v>
      </c>
      <c r="BG574" s="410">
        <f t="shared" si="256"/>
        <v>0</v>
      </c>
      <c r="BH574" s="410">
        <f t="shared" si="256"/>
        <v>0</v>
      </c>
      <c r="BI574" s="410">
        <f t="shared" si="256"/>
        <v>0</v>
      </c>
      <c r="BJ574" s="410">
        <f t="shared" si="256"/>
        <v>0</v>
      </c>
      <c r="BK574" s="410">
        <f t="shared" si="256"/>
        <v>0</v>
      </c>
      <c r="BL574" s="410">
        <f t="shared" si="256"/>
        <v>0</v>
      </c>
      <c r="BM574" s="410">
        <f t="shared" si="256"/>
        <v>0</v>
      </c>
      <c r="BN574" s="410">
        <f t="shared" si="256"/>
        <v>0</v>
      </c>
      <c r="BO574" s="410">
        <f t="shared" si="256"/>
        <v>0</v>
      </c>
      <c r="BP574" s="410">
        <f t="shared" si="256"/>
        <v>0</v>
      </c>
      <c r="BQ574" s="410">
        <f t="shared" si="256"/>
        <v>0</v>
      </c>
      <c r="BR574" s="410">
        <f t="shared" si="256"/>
        <v>0</v>
      </c>
      <c r="BS574" s="410">
        <f t="shared" si="256"/>
        <v>0</v>
      </c>
      <c r="BT574" s="410">
        <f t="shared" si="256"/>
        <v>0</v>
      </c>
      <c r="BU574" s="410">
        <f t="shared" si="256"/>
        <v>0</v>
      </c>
      <c r="BV574" s="410">
        <f t="shared" si="256"/>
        <v>0</v>
      </c>
      <c r="BW574" s="410">
        <f t="shared" si="256"/>
        <v>0</v>
      </c>
      <c r="BX574" s="410">
        <f t="shared" si="256"/>
        <v>0</v>
      </c>
      <c r="BY574" s="410">
        <f t="shared" si="256"/>
        <v>0</v>
      </c>
      <c r="BZ574" s="410">
        <f>SUM(BZ570:BZ573)</f>
        <v>165000000</v>
      </c>
      <c r="CA574" s="410">
        <f t="shared" ref="CA574:CB574" si="257">SUM(CA570:CA573)</f>
        <v>150000000</v>
      </c>
      <c r="CB574" s="410">
        <f t="shared" si="257"/>
        <v>98560000</v>
      </c>
    </row>
    <row r="575" spans="1:80" ht="30" customHeight="1" x14ac:dyDescent="0.2">
      <c r="A575" s="205"/>
      <c r="B575" s="42"/>
      <c r="C575" s="150"/>
      <c r="D575" s="72"/>
      <c r="E575" s="150"/>
      <c r="F575" s="150"/>
      <c r="G575" s="72"/>
      <c r="H575" s="150"/>
      <c r="I575" s="72"/>
      <c r="J575" s="150"/>
      <c r="K575" s="195"/>
      <c r="L575" s="266"/>
      <c r="M575" s="266"/>
      <c r="N575" s="400"/>
      <c r="O575" s="400"/>
      <c r="P575" s="101"/>
      <c r="Q575" s="150"/>
      <c r="R575" s="405"/>
      <c r="S575" s="405"/>
      <c r="T575" s="405"/>
      <c r="U575" s="405"/>
      <c r="V575" s="405"/>
      <c r="W575" s="405"/>
      <c r="X575" s="405"/>
      <c r="Y575" s="405"/>
      <c r="Z575" s="405"/>
      <c r="AA575" s="405"/>
      <c r="AB575" s="405"/>
      <c r="AC575" s="405"/>
      <c r="AD575" s="405"/>
      <c r="AE575" s="405"/>
      <c r="AF575" s="405"/>
      <c r="AG575" s="405"/>
      <c r="AH575" s="405"/>
      <c r="AI575" s="405"/>
      <c r="AJ575" s="405"/>
      <c r="AK575" s="405"/>
      <c r="AL575" s="405"/>
      <c r="AM575" s="405"/>
      <c r="AN575" s="405"/>
      <c r="AO575" s="405"/>
      <c r="AP575" s="405"/>
      <c r="AQ575" s="405"/>
      <c r="AR575" s="405"/>
      <c r="AS575" s="405"/>
      <c r="AT575" s="405"/>
      <c r="AU575" s="405"/>
      <c r="AV575" s="405"/>
      <c r="AW575" s="405"/>
      <c r="AX575" s="405"/>
      <c r="AY575" s="405"/>
      <c r="AZ575" s="405"/>
      <c r="BA575" s="405"/>
      <c r="BB575" s="405"/>
      <c r="BC575" s="405"/>
      <c r="BD575" s="405"/>
      <c r="BE575" s="405"/>
      <c r="BF575" s="405"/>
      <c r="BG575" s="405"/>
      <c r="BH575" s="405"/>
      <c r="BI575" s="405"/>
      <c r="BJ575" s="405"/>
      <c r="BK575" s="407"/>
      <c r="BL575" s="407"/>
      <c r="BM575" s="407"/>
      <c r="BN575" s="408"/>
      <c r="BO575" s="408"/>
      <c r="BP575" s="408"/>
      <c r="BQ575" s="405"/>
      <c r="BR575" s="405"/>
      <c r="BS575" s="405"/>
      <c r="BT575" s="405"/>
      <c r="BU575" s="405"/>
      <c r="BV575" s="405"/>
      <c r="BW575" s="406"/>
      <c r="BX575" s="406"/>
      <c r="BY575" s="406"/>
      <c r="BZ575" s="409"/>
      <c r="CA575" s="409"/>
      <c r="CB575" s="409"/>
    </row>
    <row r="576" spans="1:80" ht="30" customHeight="1" x14ac:dyDescent="0.2">
      <c r="A576" s="205"/>
      <c r="B576" s="42"/>
      <c r="C576" s="713"/>
      <c r="D576" s="707"/>
      <c r="E576" s="713"/>
      <c r="F576" s="713"/>
      <c r="G576" s="219">
        <v>38</v>
      </c>
      <c r="H576" s="80" t="s">
        <v>737</v>
      </c>
      <c r="I576" s="80"/>
      <c r="J576" s="80"/>
      <c r="K576" s="153"/>
      <c r="L576" s="153"/>
      <c r="M576" s="153"/>
      <c r="N576" s="173"/>
      <c r="O576" s="173"/>
      <c r="P576" s="80"/>
      <c r="Q576" s="80"/>
      <c r="R576" s="267"/>
      <c r="S576" s="267"/>
      <c r="T576" s="267"/>
      <c r="U576" s="267"/>
      <c r="V576" s="267"/>
      <c r="W576" s="267"/>
      <c r="X576" s="267"/>
      <c r="Y576" s="267"/>
      <c r="Z576" s="267"/>
      <c r="AA576" s="267"/>
      <c r="AB576" s="267"/>
      <c r="AC576" s="267"/>
      <c r="AD576" s="267"/>
      <c r="AE576" s="267"/>
      <c r="AF576" s="267"/>
      <c r="AG576" s="267"/>
      <c r="AH576" s="267"/>
      <c r="AI576" s="267"/>
      <c r="AJ576" s="267"/>
      <c r="AK576" s="267"/>
      <c r="AL576" s="267"/>
      <c r="AM576" s="267"/>
      <c r="AN576" s="267"/>
      <c r="AO576" s="267"/>
      <c r="AP576" s="267"/>
      <c r="AQ576" s="267"/>
      <c r="AR576" s="267"/>
      <c r="AS576" s="267"/>
      <c r="AT576" s="267"/>
      <c r="AU576" s="267"/>
      <c r="AV576" s="267"/>
      <c r="AW576" s="267"/>
      <c r="AX576" s="267"/>
      <c r="AY576" s="267"/>
      <c r="AZ576" s="267"/>
      <c r="BA576" s="267"/>
      <c r="BB576" s="267"/>
      <c r="BC576" s="267"/>
      <c r="BD576" s="267"/>
      <c r="BE576" s="267"/>
      <c r="BF576" s="267"/>
      <c r="BG576" s="267"/>
      <c r="BH576" s="267"/>
      <c r="BI576" s="267"/>
      <c r="BJ576" s="267"/>
      <c r="BK576" s="414"/>
      <c r="BL576" s="414"/>
      <c r="BM576" s="414"/>
      <c r="BN576" s="267"/>
      <c r="BO576" s="267"/>
      <c r="BP576" s="267"/>
      <c r="BQ576" s="267"/>
      <c r="BR576" s="267"/>
      <c r="BS576" s="267"/>
      <c r="BT576" s="267"/>
      <c r="BU576" s="267"/>
      <c r="BV576" s="267"/>
      <c r="BW576" s="267"/>
      <c r="BX576" s="267"/>
      <c r="BY576" s="267"/>
      <c r="BZ576" s="269"/>
      <c r="CA576" s="269"/>
      <c r="CB576" s="269"/>
    </row>
    <row r="577" spans="1:80" ht="75" customHeight="1" x14ac:dyDescent="0.2">
      <c r="A577" s="205"/>
      <c r="B577" s="42"/>
      <c r="C577" s="883">
        <v>22</v>
      </c>
      <c r="D577" s="883" t="s">
        <v>644</v>
      </c>
      <c r="E577" s="883" t="s">
        <v>645</v>
      </c>
      <c r="F577" s="883" t="s">
        <v>646</v>
      </c>
      <c r="G577" s="331"/>
      <c r="H577" s="44">
        <v>136</v>
      </c>
      <c r="I577" s="729" t="s">
        <v>738</v>
      </c>
      <c r="J577" s="57" t="s">
        <v>43</v>
      </c>
      <c r="K577" s="332">
        <v>12</v>
      </c>
      <c r="L577" s="332">
        <v>8</v>
      </c>
      <c r="M577" s="884">
        <v>2017003630102</v>
      </c>
      <c r="N577" s="903" t="s">
        <v>714</v>
      </c>
      <c r="O577" s="895" t="s">
        <v>739</v>
      </c>
      <c r="P577" s="890" t="s">
        <v>740</v>
      </c>
      <c r="Q577" s="57" t="s">
        <v>52</v>
      </c>
      <c r="R577" s="401">
        <v>0</v>
      </c>
      <c r="S577" s="401"/>
      <c r="T577" s="401"/>
      <c r="U577" s="401">
        <v>0</v>
      </c>
      <c r="V577" s="401"/>
      <c r="W577" s="401"/>
      <c r="X577" s="401">
        <v>0</v>
      </c>
      <c r="Y577" s="401"/>
      <c r="Z577" s="401"/>
      <c r="AA577" s="401">
        <v>0</v>
      </c>
      <c r="AB577" s="401"/>
      <c r="AC577" s="401"/>
      <c r="AD577" s="401">
        <v>0</v>
      </c>
      <c r="AE577" s="401"/>
      <c r="AF577" s="401"/>
      <c r="AG577" s="401">
        <v>0</v>
      </c>
      <c r="AH577" s="401"/>
      <c r="AI577" s="401"/>
      <c r="AJ577" s="401">
        <v>0</v>
      </c>
      <c r="AK577" s="401"/>
      <c r="AL577" s="401"/>
      <c r="AM577" s="48">
        <f>40000000+2649900</f>
        <v>42649900</v>
      </c>
      <c r="AN577" s="48">
        <v>26400000</v>
      </c>
      <c r="AO577" s="48">
        <v>18480000</v>
      </c>
      <c r="AP577" s="402"/>
      <c r="AQ577" s="402"/>
      <c r="AR577" s="402"/>
      <c r="AS577" s="401">
        <v>0</v>
      </c>
      <c r="AT577" s="401"/>
      <c r="AU577" s="401"/>
      <c r="AV577" s="401">
        <v>0</v>
      </c>
      <c r="AW577" s="401"/>
      <c r="AX577" s="401"/>
      <c r="AY577" s="401"/>
      <c r="AZ577" s="401"/>
      <c r="BA577" s="401"/>
      <c r="BB577" s="401"/>
      <c r="BC577" s="401"/>
      <c r="BD577" s="401"/>
      <c r="BE577" s="401">
        <v>0</v>
      </c>
      <c r="BF577" s="401"/>
      <c r="BG577" s="401"/>
      <c r="BH577" s="401">
        <v>0</v>
      </c>
      <c r="BI577" s="401"/>
      <c r="BJ577" s="401"/>
      <c r="BK577" s="402">
        <v>0</v>
      </c>
      <c r="BL577" s="402"/>
      <c r="BM577" s="402"/>
      <c r="BN577" s="415"/>
      <c r="BO577" s="415"/>
      <c r="BP577" s="415"/>
      <c r="BQ577" s="401">
        <v>0</v>
      </c>
      <c r="BR577" s="403"/>
      <c r="BS577" s="403"/>
      <c r="BT577" s="403"/>
      <c r="BU577" s="403"/>
      <c r="BV577" s="403"/>
      <c r="BW577" s="403">
        <v>0</v>
      </c>
      <c r="BX577" s="403"/>
      <c r="BY577" s="403"/>
      <c r="BZ577" s="401">
        <f t="shared" ref="BZ577:CB579" si="258">R577+U577+X577+AA577+AD577+AG577+AJ577+AM577+AP577+AS577+AV577+AY577+BB577+BE577+BH577+BK577+BN577+BQ577+BT577+BW577</f>
        <v>42649900</v>
      </c>
      <c r="CA577" s="401">
        <f t="shared" si="258"/>
        <v>26400000</v>
      </c>
      <c r="CB577" s="401">
        <f t="shared" si="258"/>
        <v>18480000</v>
      </c>
    </row>
    <row r="578" spans="1:80" ht="75" customHeight="1" x14ac:dyDescent="0.2">
      <c r="A578" s="205"/>
      <c r="B578" s="42"/>
      <c r="C578" s="883"/>
      <c r="D578" s="883"/>
      <c r="E578" s="883"/>
      <c r="F578" s="883"/>
      <c r="G578" s="250"/>
      <c r="H578" s="44">
        <v>137</v>
      </c>
      <c r="I578" s="729" t="s">
        <v>741</v>
      </c>
      <c r="J578" s="57">
        <v>0</v>
      </c>
      <c r="K578" s="332">
        <v>12</v>
      </c>
      <c r="L578" s="332">
        <v>6</v>
      </c>
      <c r="M578" s="885"/>
      <c r="N578" s="912"/>
      <c r="O578" s="883"/>
      <c r="P578" s="891"/>
      <c r="Q578" s="57" t="s">
        <v>52</v>
      </c>
      <c r="R578" s="401">
        <v>0</v>
      </c>
      <c r="S578" s="401"/>
      <c r="T578" s="401"/>
      <c r="U578" s="401">
        <v>0</v>
      </c>
      <c r="V578" s="401"/>
      <c r="W578" s="401"/>
      <c r="X578" s="401">
        <v>0</v>
      </c>
      <c r="Y578" s="401"/>
      <c r="Z578" s="401"/>
      <c r="AA578" s="401">
        <v>0</v>
      </c>
      <c r="AB578" s="401"/>
      <c r="AC578" s="401"/>
      <c r="AD578" s="401">
        <v>0</v>
      </c>
      <c r="AE578" s="401"/>
      <c r="AF578" s="401"/>
      <c r="AG578" s="401">
        <v>0</v>
      </c>
      <c r="AH578" s="401"/>
      <c r="AI578" s="401"/>
      <c r="AJ578" s="401">
        <v>0</v>
      </c>
      <c r="AK578" s="401"/>
      <c r="AL578" s="401"/>
      <c r="AM578" s="48">
        <f>30000000+23000000</f>
        <v>53000000</v>
      </c>
      <c r="AN578" s="48">
        <v>33000000</v>
      </c>
      <c r="AO578" s="48">
        <v>26400000</v>
      </c>
      <c r="AP578" s="402"/>
      <c r="AQ578" s="402"/>
      <c r="AR578" s="402"/>
      <c r="AS578" s="401">
        <v>0</v>
      </c>
      <c r="AT578" s="401"/>
      <c r="AU578" s="401"/>
      <c r="AV578" s="401">
        <v>0</v>
      </c>
      <c r="AW578" s="401"/>
      <c r="AX578" s="401"/>
      <c r="AY578" s="401"/>
      <c r="AZ578" s="401"/>
      <c r="BA578" s="401"/>
      <c r="BB578" s="401"/>
      <c r="BC578" s="401"/>
      <c r="BD578" s="401"/>
      <c r="BE578" s="401">
        <v>0</v>
      </c>
      <c r="BF578" s="401"/>
      <c r="BG578" s="401"/>
      <c r="BH578" s="401">
        <v>0</v>
      </c>
      <c r="BI578" s="401"/>
      <c r="BJ578" s="401"/>
      <c r="BK578" s="402">
        <v>0</v>
      </c>
      <c r="BL578" s="402"/>
      <c r="BM578" s="402"/>
      <c r="BN578" s="415"/>
      <c r="BO578" s="415"/>
      <c r="BP578" s="415"/>
      <c r="BQ578" s="401">
        <v>0</v>
      </c>
      <c r="BR578" s="403"/>
      <c r="BS578" s="403"/>
      <c r="BT578" s="403"/>
      <c r="BU578" s="403"/>
      <c r="BV578" s="403"/>
      <c r="BW578" s="403">
        <v>0</v>
      </c>
      <c r="BX578" s="403"/>
      <c r="BY578" s="403"/>
      <c r="BZ578" s="401">
        <f t="shared" si="258"/>
        <v>53000000</v>
      </c>
      <c r="CA578" s="401">
        <f t="shared" si="258"/>
        <v>33000000</v>
      </c>
      <c r="CB578" s="401">
        <f t="shared" si="258"/>
        <v>26400000</v>
      </c>
    </row>
    <row r="579" spans="1:80" ht="75" customHeight="1" x14ac:dyDescent="0.2">
      <c r="A579" s="205"/>
      <c r="B579" s="42"/>
      <c r="C579" s="883"/>
      <c r="D579" s="883"/>
      <c r="E579" s="883"/>
      <c r="F579" s="883"/>
      <c r="G579" s="250"/>
      <c r="H579" s="44">
        <v>138</v>
      </c>
      <c r="I579" s="729" t="s">
        <v>742</v>
      </c>
      <c r="J579" s="57" t="s">
        <v>43</v>
      </c>
      <c r="K579" s="190">
        <v>12</v>
      </c>
      <c r="L579" s="190">
        <v>9</v>
      </c>
      <c r="M579" s="886"/>
      <c r="N579" s="904"/>
      <c r="O579" s="898"/>
      <c r="P579" s="892"/>
      <c r="Q579" s="57" t="s">
        <v>52</v>
      </c>
      <c r="R579" s="401">
        <v>0</v>
      </c>
      <c r="S579" s="401"/>
      <c r="T579" s="401"/>
      <c r="U579" s="401">
        <v>0</v>
      </c>
      <c r="V579" s="401"/>
      <c r="W579" s="401"/>
      <c r="X579" s="401">
        <v>0</v>
      </c>
      <c r="Y579" s="401"/>
      <c r="Z579" s="401"/>
      <c r="AA579" s="401">
        <v>0</v>
      </c>
      <c r="AB579" s="401"/>
      <c r="AC579" s="401"/>
      <c r="AD579" s="401">
        <v>0</v>
      </c>
      <c r="AE579" s="401"/>
      <c r="AF579" s="401"/>
      <c r="AG579" s="401">
        <v>0</v>
      </c>
      <c r="AH579" s="401"/>
      <c r="AI579" s="401"/>
      <c r="AJ579" s="401">
        <v>0</v>
      </c>
      <c r="AK579" s="401"/>
      <c r="AL579" s="401"/>
      <c r="AM579" s="48">
        <f>30000000+23000000</f>
        <v>53000000</v>
      </c>
      <c r="AN579" s="48">
        <v>35640000</v>
      </c>
      <c r="AO579" s="48">
        <v>29040000</v>
      </c>
      <c r="AP579" s="402"/>
      <c r="AQ579" s="402"/>
      <c r="AR579" s="402"/>
      <c r="AS579" s="401">
        <v>0</v>
      </c>
      <c r="AT579" s="401"/>
      <c r="AU579" s="401"/>
      <c r="AV579" s="401">
        <v>0</v>
      </c>
      <c r="AW579" s="401"/>
      <c r="AX579" s="401"/>
      <c r="AY579" s="401"/>
      <c r="AZ579" s="401"/>
      <c r="BA579" s="401"/>
      <c r="BB579" s="401"/>
      <c r="BC579" s="401"/>
      <c r="BD579" s="401"/>
      <c r="BE579" s="401">
        <v>0</v>
      </c>
      <c r="BF579" s="401"/>
      <c r="BG579" s="401"/>
      <c r="BH579" s="401">
        <v>0</v>
      </c>
      <c r="BI579" s="401"/>
      <c r="BJ579" s="401"/>
      <c r="BK579" s="402">
        <v>0</v>
      </c>
      <c r="BL579" s="402"/>
      <c r="BM579" s="402"/>
      <c r="BN579" s="415"/>
      <c r="BO579" s="415"/>
      <c r="BP579" s="415"/>
      <c r="BQ579" s="401">
        <v>0</v>
      </c>
      <c r="BR579" s="403"/>
      <c r="BS579" s="403"/>
      <c r="BT579" s="403"/>
      <c r="BU579" s="403"/>
      <c r="BV579" s="403"/>
      <c r="BW579" s="403">
        <v>0</v>
      </c>
      <c r="BX579" s="403"/>
      <c r="BY579" s="403"/>
      <c r="BZ579" s="401">
        <f t="shared" si="258"/>
        <v>53000000</v>
      </c>
      <c r="CA579" s="401">
        <f t="shared" si="258"/>
        <v>35640000</v>
      </c>
      <c r="CB579" s="401">
        <f t="shared" si="258"/>
        <v>29040000</v>
      </c>
    </row>
    <row r="580" spans="1:80" ht="30" customHeight="1" x14ac:dyDescent="0.2">
      <c r="A580" s="205"/>
      <c r="B580" s="42"/>
      <c r="C580" s="714"/>
      <c r="D580" s="709"/>
      <c r="E580" s="714"/>
      <c r="F580" s="714"/>
      <c r="G580" s="188"/>
      <c r="H580" s="60"/>
      <c r="I580" s="58"/>
      <c r="J580" s="59"/>
      <c r="K580" s="84"/>
      <c r="L580" s="84"/>
      <c r="M580" s="84"/>
      <c r="N580" s="60"/>
      <c r="O580" s="59"/>
      <c r="P580" s="236"/>
      <c r="Q580" s="59"/>
      <c r="R580" s="410">
        <f t="shared" ref="R580:BZ580" si="259">SUM(R577:R579)</f>
        <v>0</v>
      </c>
      <c r="S580" s="410">
        <f t="shared" si="259"/>
        <v>0</v>
      </c>
      <c r="T580" s="410">
        <f t="shared" si="259"/>
        <v>0</v>
      </c>
      <c r="U580" s="410">
        <f t="shared" si="259"/>
        <v>0</v>
      </c>
      <c r="V580" s="410">
        <f t="shared" si="259"/>
        <v>0</v>
      </c>
      <c r="W580" s="410">
        <f t="shared" si="259"/>
        <v>0</v>
      </c>
      <c r="X580" s="410">
        <f t="shared" si="259"/>
        <v>0</v>
      </c>
      <c r="Y580" s="410">
        <f t="shared" si="259"/>
        <v>0</v>
      </c>
      <c r="Z580" s="410">
        <f t="shared" si="259"/>
        <v>0</v>
      </c>
      <c r="AA580" s="410">
        <f t="shared" si="259"/>
        <v>0</v>
      </c>
      <c r="AB580" s="410">
        <f t="shared" si="259"/>
        <v>0</v>
      </c>
      <c r="AC580" s="410">
        <f t="shared" si="259"/>
        <v>0</v>
      </c>
      <c r="AD580" s="410">
        <f t="shared" si="259"/>
        <v>0</v>
      </c>
      <c r="AE580" s="410">
        <f t="shared" si="259"/>
        <v>0</v>
      </c>
      <c r="AF580" s="410">
        <f t="shared" si="259"/>
        <v>0</v>
      </c>
      <c r="AG580" s="410">
        <f t="shared" si="259"/>
        <v>0</v>
      </c>
      <c r="AH580" s="410">
        <f t="shared" si="259"/>
        <v>0</v>
      </c>
      <c r="AI580" s="410">
        <f t="shared" si="259"/>
        <v>0</v>
      </c>
      <c r="AJ580" s="410">
        <f t="shared" si="259"/>
        <v>0</v>
      </c>
      <c r="AK580" s="410">
        <f t="shared" si="259"/>
        <v>0</v>
      </c>
      <c r="AL580" s="410">
        <f t="shared" si="259"/>
        <v>0</v>
      </c>
      <c r="AM580" s="410">
        <f t="shared" si="259"/>
        <v>148649900</v>
      </c>
      <c r="AN580" s="410">
        <f t="shared" si="259"/>
        <v>95040000</v>
      </c>
      <c r="AO580" s="410">
        <f t="shared" si="259"/>
        <v>73920000</v>
      </c>
      <c r="AP580" s="410">
        <f t="shared" si="259"/>
        <v>0</v>
      </c>
      <c r="AQ580" s="410">
        <f t="shared" si="259"/>
        <v>0</v>
      </c>
      <c r="AR580" s="410">
        <f t="shared" si="259"/>
        <v>0</v>
      </c>
      <c r="AS580" s="410">
        <f t="shared" si="259"/>
        <v>0</v>
      </c>
      <c r="AT580" s="410">
        <f t="shared" si="259"/>
        <v>0</v>
      </c>
      <c r="AU580" s="410">
        <f t="shared" si="259"/>
        <v>0</v>
      </c>
      <c r="AV580" s="410">
        <f t="shared" si="259"/>
        <v>0</v>
      </c>
      <c r="AW580" s="410">
        <f t="shared" si="259"/>
        <v>0</v>
      </c>
      <c r="AX580" s="410">
        <f t="shared" si="259"/>
        <v>0</v>
      </c>
      <c r="AY580" s="410">
        <f t="shared" si="259"/>
        <v>0</v>
      </c>
      <c r="AZ580" s="410">
        <f t="shared" si="259"/>
        <v>0</v>
      </c>
      <c r="BA580" s="410">
        <f t="shared" si="259"/>
        <v>0</v>
      </c>
      <c r="BB580" s="410">
        <f t="shared" si="259"/>
        <v>0</v>
      </c>
      <c r="BC580" s="410">
        <f t="shared" si="259"/>
        <v>0</v>
      </c>
      <c r="BD580" s="410">
        <f t="shared" si="259"/>
        <v>0</v>
      </c>
      <c r="BE580" s="410">
        <f t="shared" si="259"/>
        <v>0</v>
      </c>
      <c r="BF580" s="410">
        <f t="shared" si="259"/>
        <v>0</v>
      </c>
      <c r="BG580" s="410">
        <f t="shared" si="259"/>
        <v>0</v>
      </c>
      <c r="BH580" s="410">
        <f t="shared" si="259"/>
        <v>0</v>
      </c>
      <c r="BI580" s="410">
        <f t="shared" si="259"/>
        <v>0</v>
      </c>
      <c r="BJ580" s="410">
        <f t="shared" si="259"/>
        <v>0</v>
      </c>
      <c r="BK580" s="410">
        <f t="shared" si="259"/>
        <v>0</v>
      </c>
      <c r="BL580" s="410">
        <f t="shared" si="259"/>
        <v>0</v>
      </c>
      <c r="BM580" s="410">
        <f t="shared" si="259"/>
        <v>0</v>
      </c>
      <c r="BN580" s="410">
        <f t="shared" si="259"/>
        <v>0</v>
      </c>
      <c r="BO580" s="410">
        <f t="shared" si="259"/>
        <v>0</v>
      </c>
      <c r="BP580" s="410">
        <f t="shared" si="259"/>
        <v>0</v>
      </c>
      <c r="BQ580" s="410">
        <f t="shared" si="259"/>
        <v>0</v>
      </c>
      <c r="BR580" s="410">
        <f t="shared" si="259"/>
        <v>0</v>
      </c>
      <c r="BS580" s="410">
        <f t="shared" si="259"/>
        <v>0</v>
      </c>
      <c r="BT580" s="410">
        <f t="shared" si="259"/>
        <v>0</v>
      </c>
      <c r="BU580" s="410">
        <f t="shared" si="259"/>
        <v>0</v>
      </c>
      <c r="BV580" s="410">
        <f t="shared" si="259"/>
        <v>0</v>
      </c>
      <c r="BW580" s="410">
        <f t="shared" si="259"/>
        <v>0</v>
      </c>
      <c r="BX580" s="410">
        <f t="shared" si="259"/>
        <v>0</v>
      </c>
      <c r="BY580" s="410">
        <f t="shared" si="259"/>
        <v>0</v>
      </c>
      <c r="BZ580" s="410">
        <f t="shared" si="259"/>
        <v>148649900</v>
      </c>
      <c r="CA580" s="410">
        <f t="shared" ref="CA580:CB580" si="260">SUM(CA577:CA579)</f>
        <v>95040000</v>
      </c>
      <c r="CB580" s="410">
        <f t="shared" si="260"/>
        <v>73920000</v>
      </c>
    </row>
    <row r="581" spans="1:80" ht="17.25" customHeight="1" x14ac:dyDescent="0.2">
      <c r="A581" s="205"/>
      <c r="B581" s="42"/>
      <c r="C581" s="150"/>
      <c r="D581" s="72"/>
      <c r="E581" s="150"/>
      <c r="F581" s="150"/>
      <c r="G581" s="72"/>
      <c r="H581" s="150"/>
      <c r="I581" s="72"/>
      <c r="J581" s="150"/>
      <c r="K581" s="255"/>
      <c r="L581" s="333"/>
      <c r="M581" s="333"/>
      <c r="N581" s="400"/>
      <c r="O581" s="400"/>
      <c r="P581" s="101"/>
      <c r="Q581" s="150"/>
      <c r="R581" s="405"/>
      <c r="S581" s="405"/>
      <c r="T581" s="405"/>
      <c r="U581" s="405"/>
      <c r="V581" s="405"/>
      <c r="W581" s="405"/>
      <c r="X581" s="405"/>
      <c r="Y581" s="405"/>
      <c r="Z581" s="405"/>
      <c r="AA581" s="405"/>
      <c r="AB581" s="405"/>
      <c r="AC581" s="405"/>
      <c r="AD581" s="405"/>
      <c r="AE581" s="405"/>
      <c r="AF581" s="405"/>
      <c r="AG581" s="405"/>
      <c r="AH581" s="405"/>
      <c r="AI581" s="405"/>
      <c r="AJ581" s="405"/>
      <c r="AK581" s="405"/>
      <c r="AL581" s="405"/>
      <c r="AM581" s="405"/>
      <c r="AN581" s="405"/>
      <c r="AO581" s="405"/>
      <c r="AP581" s="405"/>
      <c r="AQ581" s="405"/>
      <c r="AR581" s="405"/>
      <c r="AS581" s="405"/>
      <c r="AT581" s="405"/>
      <c r="AU581" s="405"/>
      <c r="AV581" s="405"/>
      <c r="AW581" s="405"/>
      <c r="AX581" s="405"/>
      <c r="AY581" s="405"/>
      <c r="AZ581" s="405"/>
      <c r="BA581" s="405"/>
      <c r="BB581" s="405"/>
      <c r="BC581" s="405"/>
      <c r="BD581" s="405"/>
      <c r="BE581" s="405"/>
      <c r="BF581" s="405"/>
      <c r="BG581" s="405"/>
      <c r="BH581" s="405"/>
      <c r="BI581" s="405"/>
      <c r="BJ581" s="405"/>
      <c r="BK581" s="407"/>
      <c r="BL581" s="407"/>
      <c r="BM581" s="407"/>
      <c r="BN581" s="408"/>
      <c r="BO581" s="408"/>
      <c r="BP581" s="408"/>
      <c r="BQ581" s="405"/>
      <c r="BR581" s="405"/>
      <c r="BS581" s="405"/>
      <c r="BT581" s="405"/>
      <c r="BU581" s="405"/>
      <c r="BV581" s="405"/>
      <c r="BW581" s="405"/>
      <c r="BX581" s="405"/>
      <c r="BY581" s="405"/>
      <c r="BZ581" s="409"/>
      <c r="CA581" s="409"/>
      <c r="CB581" s="409"/>
    </row>
    <row r="582" spans="1:80" ht="30" customHeight="1" x14ac:dyDescent="0.2">
      <c r="A582" s="205"/>
      <c r="B582" s="42"/>
      <c r="C582" s="713"/>
      <c r="D582" s="707"/>
      <c r="E582" s="713"/>
      <c r="F582" s="713"/>
      <c r="G582" s="219">
        <v>39</v>
      </c>
      <c r="H582" s="79" t="s">
        <v>743</v>
      </c>
      <c r="I582" s="80"/>
      <c r="J582" s="80"/>
      <c r="K582" s="91"/>
      <c r="L582" s="91"/>
      <c r="M582" s="91"/>
      <c r="N582" s="173"/>
      <c r="O582" s="173"/>
      <c r="P582" s="80"/>
      <c r="Q582" s="80"/>
      <c r="R582" s="267"/>
      <c r="S582" s="267"/>
      <c r="T582" s="267"/>
      <c r="U582" s="267"/>
      <c r="V582" s="267"/>
      <c r="W582" s="267"/>
      <c r="X582" s="267"/>
      <c r="Y582" s="267"/>
      <c r="Z582" s="267"/>
      <c r="AA582" s="267"/>
      <c r="AB582" s="267"/>
      <c r="AC582" s="267"/>
      <c r="AD582" s="267"/>
      <c r="AE582" s="267"/>
      <c r="AF582" s="267"/>
      <c r="AG582" s="267"/>
      <c r="AH582" s="267"/>
      <c r="AI582" s="267"/>
      <c r="AJ582" s="267"/>
      <c r="AK582" s="267"/>
      <c r="AL582" s="267"/>
      <c r="AM582" s="267"/>
      <c r="AN582" s="267"/>
      <c r="AO582" s="267"/>
      <c r="AP582" s="267"/>
      <c r="AQ582" s="267"/>
      <c r="AR582" s="267"/>
      <c r="AS582" s="267"/>
      <c r="AT582" s="267"/>
      <c r="AU582" s="267"/>
      <c r="AV582" s="267"/>
      <c r="AW582" s="267"/>
      <c r="AX582" s="267"/>
      <c r="AY582" s="267"/>
      <c r="AZ582" s="267"/>
      <c r="BA582" s="267"/>
      <c r="BB582" s="267"/>
      <c r="BC582" s="267"/>
      <c r="BD582" s="267"/>
      <c r="BE582" s="267"/>
      <c r="BF582" s="267"/>
      <c r="BG582" s="267"/>
      <c r="BH582" s="267"/>
      <c r="BI582" s="267"/>
      <c r="BJ582" s="267"/>
      <c r="BK582" s="414"/>
      <c r="BL582" s="414"/>
      <c r="BM582" s="414"/>
      <c r="BN582" s="267"/>
      <c r="BO582" s="267"/>
      <c r="BP582" s="267"/>
      <c r="BQ582" s="267"/>
      <c r="BR582" s="267"/>
      <c r="BS582" s="267"/>
      <c r="BT582" s="267"/>
      <c r="BU582" s="267"/>
      <c r="BV582" s="267"/>
      <c r="BW582" s="267"/>
      <c r="BX582" s="267"/>
      <c r="BY582" s="267"/>
      <c r="BZ582" s="269"/>
      <c r="CA582" s="269"/>
      <c r="CB582" s="269"/>
    </row>
    <row r="583" spans="1:80" ht="61.5" customHeight="1" x14ac:dyDescent="0.2">
      <c r="A583" s="205"/>
      <c r="B583" s="42"/>
      <c r="C583" s="714">
        <v>36</v>
      </c>
      <c r="D583" s="92" t="s">
        <v>744</v>
      </c>
      <c r="E583" s="715">
        <v>0.4</v>
      </c>
      <c r="F583" s="715">
        <v>0.6</v>
      </c>
      <c r="G583" s="883"/>
      <c r="H583" s="57">
        <v>139</v>
      </c>
      <c r="I583" s="729" t="s">
        <v>745</v>
      </c>
      <c r="J583" s="57">
        <v>0</v>
      </c>
      <c r="K583" s="107">
        <v>1</v>
      </c>
      <c r="L583" s="107">
        <v>1</v>
      </c>
      <c r="M583" s="884">
        <v>2017003630080</v>
      </c>
      <c r="N583" s="883" t="s">
        <v>1101</v>
      </c>
      <c r="O583" s="895" t="s">
        <v>746</v>
      </c>
      <c r="P583" s="890" t="s">
        <v>1008</v>
      </c>
      <c r="Q583" s="57" t="s">
        <v>52</v>
      </c>
      <c r="R583" s="401"/>
      <c r="S583" s="401"/>
      <c r="T583" s="401"/>
      <c r="U583" s="401"/>
      <c r="V583" s="401"/>
      <c r="W583" s="401"/>
      <c r="X583" s="401"/>
      <c r="Y583" s="401"/>
      <c r="Z583" s="401"/>
      <c r="AA583" s="401"/>
      <c r="AB583" s="401"/>
      <c r="AC583" s="401"/>
      <c r="AD583" s="401"/>
      <c r="AE583" s="401"/>
      <c r="AF583" s="401"/>
      <c r="AG583" s="401"/>
      <c r="AH583" s="401"/>
      <c r="AI583" s="401"/>
      <c r="AJ583" s="401"/>
      <c r="AK583" s="401"/>
      <c r="AL583" s="401"/>
      <c r="AM583" s="401">
        <v>72000000</v>
      </c>
      <c r="AN583" s="401">
        <v>70400000</v>
      </c>
      <c r="AO583" s="401">
        <v>66720000</v>
      </c>
      <c r="AP583" s="455"/>
      <c r="AQ583" s="455"/>
      <c r="AR583" s="455"/>
      <c r="AS583" s="401">
        <v>40000000</v>
      </c>
      <c r="AT583" s="401">
        <v>38780000</v>
      </c>
      <c r="AU583" s="401">
        <v>7920000</v>
      </c>
      <c r="AV583" s="401"/>
      <c r="AW583" s="401"/>
      <c r="AX583" s="401"/>
      <c r="AY583" s="401"/>
      <c r="AZ583" s="401"/>
      <c r="BA583" s="401"/>
      <c r="BB583" s="401"/>
      <c r="BC583" s="401"/>
      <c r="BD583" s="401"/>
      <c r="BE583" s="401"/>
      <c r="BF583" s="401"/>
      <c r="BG583" s="401"/>
      <c r="BH583" s="401"/>
      <c r="BI583" s="401"/>
      <c r="BJ583" s="401"/>
      <c r="BK583" s="402"/>
      <c r="BL583" s="402"/>
      <c r="BM583" s="402"/>
      <c r="BN583" s="415"/>
      <c r="BO583" s="415"/>
      <c r="BP583" s="415"/>
      <c r="BQ583" s="401"/>
      <c r="BR583" s="403"/>
      <c r="BS583" s="403"/>
      <c r="BT583" s="403"/>
      <c r="BU583" s="403"/>
      <c r="BV583" s="403"/>
      <c r="BW583" s="403"/>
      <c r="BX583" s="403"/>
      <c r="BY583" s="403"/>
      <c r="BZ583" s="401">
        <f t="shared" ref="BZ583:CB585" si="261">R583+U583+X583+AA583+AD583+AG583+AJ583+AM583+AP583+AS583+AV583+AY583+BB583+BE583+BH583+BK583+BN583+BQ583+BT583+BW583</f>
        <v>112000000</v>
      </c>
      <c r="CA583" s="401">
        <f t="shared" si="261"/>
        <v>109180000</v>
      </c>
      <c r="CB583" s="401">
        <f t="shared" si="261"/>
        <v>74640000</v>
      </c>
    </row>
    <row r="584" spans="1:80" ht="61.5" customHeight="1" x14ac:dyDescent="0.2">
      <c r="A584" s="205"/>
      <c r="B584" s="42"/>
      <c r="C584" s="895" t="s">
        <v>748</v>
      </c>
      <c r="D584" s="890" t="s">
        <v>749</v>
      </c>
      <c r="E584" s="895">
        <v>1</v>
      </c>
      <c r="F584" s="895">
        <v>1</v>
      </c>
      <c r="G584" s="883"/>
      <c r="H584" s="57">
        <v>140</v>
      </c>
      <c r="I584" s="729" t="s">
        <v>750</v>
      </c>
      <c r="J584" s="57">
        <v>1</v>
      </c>
      <c r="K584" s="107">
        <v>1</v>
      </c>
      <c r="L584" s="107">
        <v>1</v>
      </c>
      <c r="M584" s="885"/>
      <c r="N584" s="883"/>
      <c r="O584" s="883"/>
      <c r="P584" s="891"/>
      <c r="Q584" s="57" t="s">
        <v>52</v>
      </c>
      <c r="R584" s="401">
        <v>0</v>
      </c>
      <c r="S584" s="401"/>
      <c r="T584" s="401"/>
      <c r="U584" s="401">
        <v>0</v>
      </c>
      <c r="V584" s="401"/>
      <c r="W584" s="401"/>
      <c r="X584" s="401">
        <v>0</v>
      </c>
      <c r="Y584" s="401"/>
      <c r="Z584" s="401"/>
      <c r="AA584" s="401">
        <v>0</v>
      </c>
      <c r="AB584" s="401"/>
      <c r="AC584" s="401"/>
      <c r="AD584" s="401">
        <v>0</v>
      </c>
      <c r="AE584" s="401"/>
      <c r="AF584" s="401"/>
      <c r="AG584" s="401">
        <v>0</v>
      </c>
      <c r="AH584" s="401"/>
      <c r="AI584" s="401"/>
      <c r="AJ584" s="401">
        <v>0</v>
      </c>
      <c r="AK584" s="401"/>
      <c r="AL584" s="401"/>
      <c r="AM584" s="401">
        <v>24000000</v>
      </c>
      <c r="AN584" s="401">
        <v>23900000</v>
      </c>
      <c r="AO584" s="401">
        <v>15840000</v>
      </c>
      <c r="AP584" s="455"/>
      <c r="AQ584" s="455"/>
      <c r="AR584" s="455"/>
      <c r="AS584" s="401">
        <v>2500000</v>
      </c>
      <c r="AT584" s="401">
        <v>2500000</v>
      </c>
      <c r="AU584" s="401"/>
      <c r="AV584" s="401">
        <v>0</v>
      </c>
      <c r="AW584" s="401"/>
      <c r="AX584" s="401"/>
      <c r="AY584" s="401"/>
      <c r="AZ584" s="401"/>
      <c r="BA584" s="401"/>
      <c r="BB584" s="401"/>
      <c r="BC584" s="401"/>
      <c r="BD584" s="401"/>
      <c r="BE584" s="401">
        <v>0</v>
      </c>
      <c r="BF584" s="401"/>
      <c r="BG584" s="401"/>
      <c r="BH584" s="401">
        <v>0</v>
      </c>
      <c r="BI584" s="401"/>
      <c r="BJ584" s="401"/>
      <c r="BK584" s="402">
        <v>0</v>
      </c>
      <c r="BL584" s="402"/>
      <c r="BM584" s="402"/>
      <c r="BN584" s="415"/>
      <c r="BO584" s="415"/>
      <c r="BP584" s="415"/>
      <c r="BQ584" s="401">
        <v>0</v>
      </c>
      <c r="BR584" s="403"/>
      <c r="BS584" s="403"/>
      <c r="BT584" s="403"/>
      <c r="BU584" s="403"/>
      <c r="BV584" s="403"/>
      <c r="BW584" s="403"/>
      <c r="BX584" s="403"/>
      <c r="BY584" s="403"/>
      <c r="BZ584" s="401">
        <f t="shared" si="261"/>
        <v>26500000</v>
      </c>
      <c r="CA584" s="401">
        <f t="shared" si="261"/>
        <v>26400000</v>
      </c>
      <c r="CB584" s="401">
        <f t="shared" si="261"/>
        <v>15840000</v>
      </c>
    </row>
    <row r="585" spans="1:80" ht="48.75" customHeight="1" x14ac:dyDescent="0.2">
      <c r="A585" s="205"/>
      <c r="B585" s="42"/>
      <c r="C585" s="883"/>
      <c r="D585" s="891"/>
      <c r="E585" s="883"/>
      <c r="F585" s="883"/>
      <c r="G585" s="898"/>
      <c r="H585" s="57">
        <v>141</v>
      </c>
      <c r="I585" s="729" t="s">
        <v>751</v>
      </c>
      <c r="J585" s="57" t="s">
        <v>43</v>
      </c>
      <c r="K585" s="107">
        <v>1</v>
      </c>
      <c r="L585" s="107">
        <v>1</v>
      </c>
      <c r="M585" s="886"/>
      <c r="N585" s="898"/>
      <c r="O585" s="898"/>
      <c r="P585" s="892"/>
      <c r="Q585" s="57" t="s">
        <v>52</v>
      </c>
      <c r="R585" s="401">
        <v>0</v>
      </c>
      <c r="S585" s="401"/>
      <c r="T585" s="401"/>
      <c r="U585" s="401">
        <v>0</v>
      </c>
      <c r="V585" s="401"/>
      <c r="W585" s="401"/>
      <c r="X585" s="401">
        <v>0</v>
      </c>
      <c r="Y585" s="401"/>
      <c r="Z585" s="401"/>
      <c r="AA585" s="401">
        <v>0</v>
      </c>
      <c r="AB585" s="401"/>
      <c r="AC585" s="401"/>
      <c r="AD585" s="401">
        <v>0</v>
      </c>
      <c r="AE585" s="401"/>
      <c r="AF585" s="401"/>
      <c r="AG585" s="401">
        <v>0</v>
      </c>
      <c r="AH585" s="401"/>
      <c r="AI585" s="401"/>
      <c r="AJ585" s="401">
        <v>0</v>
      </c>
      <c r="AK585" s="401"/>
      <c r="AL585" s="401"/>
      <c r="AM585" s="401">
        <v>24000000</v>
      </c>
      <c r="AN585" s="401">
        <v>23900000</v>
      </c>
      <c r="AO585" s="401">
        <v>15840000</v>
      </c>
      <c r="AP585" s="455"/>
      <c r="AQ585" s="455"/>
      <c r="AR585" s="455"/>
      <c r="AS585" s="401">
        <v>2500000</v>
      </c>
      <c r="AT585" s="401"/>
      <c r="AU585" s="401"/>
      <c r="AV585" s="401">
        <v>0</v>
      </c>
      <c r="AW585" s="401"/>
      <c r="AX585" s="401"/>
      <c r="AY585" s="401"/>
      <c r="AZ585" s="401"/>
      <c r="BA585" s="401"/>
      <c r="BB585" s="401"/>
      <c r="BC585" s="401"/>
      <c r="BD585" s="401"/>
      <c r="BE585" s="401">
        <v>0</v>
      </c>
      <c r="BF585" s="401"/>
      <c r="BG585" s="401"/>
      <c r="BH585" s="401">
        <v>0</v>
      </c>
      <c r="BI585" s="401"/>
      <c r="BJ585" s="401"/>
      <c r="BK585" s="402">
        <v>0</v>
      </c>
      <c r="BL585" s="402"/>
      <c r="BM585" s="402"/>
      <c r="BN585" s="415"/>
      <c r="BO585" s="415"/>
      <c r="BP585" s="415"/>
      <c r="BQ585" s="401">
        <v>0</v>
      </c>
      <c r="BR585" s="403"/>
      <c r="BS585" s="403"/>
      <c r="BT585" s="403"/>
      <c r="BU585" s="403"/>
      <c r="BV585" s="403"/>
      <c r="BW585" s="403"/>
      <c r="BX585" s="403"/>
      <c r="BY585" s="403"/>
      <c r="BZ585" s="401">
        <f t="shared" si="261"/>
        <v>26500000</v>
      </c>
      <c r="CA585" s="401">
        <f t="shared" si="261"/>
        <v>23900000</v>
      </c>
      <c r="CB585" s="401">
        <f t="shared" si="261"/>
        <v>15840000</v>
      </c>
    </row>
    <row r="586" spans="1:80" ht="30" customHeight="1" x14ac:dyDescent="0.2">
      <c r="A586" s="205"/>
      <c r="B586" s="42"/>
      <c r="C586" s="714"/>
      <c r="D586" s="709"/>
      <c r="E586" s="714"/>
      <c r="F586" s="714"/>
      <c r="G586" s="58"/>
      <c r="H586" s="59"/>
      <c r="I586" s="58"/>
      <c r="J586" s="59"/>
      <c r="K586" s="136"/>
      <c r="L586" s="136"/>
      <c r="M586" s="136"/>
      <c r="N586" s="59"/>
      <c r="O586" s="59"/>
      <c r="P586" s="58"/>
      <c r="Q586" s="59"/>
      <c r="R586" s="410">
        <f t="shared" ref="R586:CB586" si="262">SUM(R583:R585)</f>
        <v>0</v>
      </c>
      <c r="S586" s="410">
        <f t="shared" si="262"/>
        <v>0</v>
      </c>
      <c r="T586" s="410">
        <f t="shared" si="262"/>
        <v>0</v>
      </c>
      <c r="U586" s="410">
        <f t="shared" si="262"/>
        <v>0</v>
      </c>
      <c r="V586" s="410">
        <f t="shared" si="262"/>
        <v>0</v>
      </c>
      <c r="W586" s="410">
        <f t="shared" si="262"/>
        <v>0</v>
      </c>
      <c r="X586" s="410">
        <f t="shared" si="262"/>
        <v>0</v>
      </c>
      <c r="Y586" s="410">
        <f t="shared" si="262"/>
        <v>0</v>
      </c>
      <c r="Z586" s="410">
        <f t="shared" si="262"/>
        <v>0</v>
      </c>
      <c r="AA586" s="410">
        <f t="shared" si="262"/>
        <v>0</v>
      </c>
      <c r="AB586" s="410">
        <f t="shared" si="262"/>
        <v>0</v>
      </c>
      <c r="AC586" s="410">
        <f t="shared" si="262"/>
        <v>0</v>
      </c>
      <c r="AD586" s="410">
        <f t="shared" si="262"/>
        <v>0</v>
      </c>
      <c r="AE586" s="410">
        <f t="shared" si="262"/>
        <v>0</v>
      </c>
      <c r="AF586" s="410">
        <f t="shared" si="262"/>
        <v>0</v>
      </c>
      <c r="AG586" s="410">
        <f t="shared" si="262"/>
        <v>0</v>
      </c>
      <c r="AH586" s="410">
        <f t="shared" si="262"/>
        <v>0</v>
      </c>
      <c r="AI586" s="410">
        <f t="shared" si="262"/>
        <v>0</v>
      </c>
      <c r="AJ586" s="410">
        <f t="shared" si="262"/>
        <v>0</v>
      </c>
      <c r="AK586" s="410">
        <f t="shared" si="262"/>
        <v>0</v>
      </c>
      <c r="AL586" s="410">
        <f t="shared" si="262"/>
        <v>0</v>
      </c>
      <c r="AM586" s="410">
        <f t="shared" si="262"/>
        <v>120000000</v>
      </c>
      <c r="AN586" s="410">
        <f t="shared" si="262"/>
        <v>118200000</v>
      </c>
      <c r="AO586" s="410">
        <f t="shared" si="262"/>
        <v>98400000</v>
      </c>
      <c r="AP586" s="410">
        <f t="shared" si="262"/>
        <v>0</v>
      </c>
      <c r="AQ586" s="410">
        <f t="shared" si="262"/>
        <v>0</v>
      </c>
      <c r="AR586" s="410">
        <f t="shared" si="262"/>
        <v>0</v>
      </c>
      <c r="AS586" s="410">
        <f t="shared" si="262"/>
        <v>45000000</v>
      </c>
      <c r="AT586" s="410">
        <f t="shared" si="262"/>
        <v>41280000</v>
      </c>
      <c r="AU586" s="410">
        <f t="shared" si="262"/>
        <v>7920000</v>
      </c>
      <c r="AV586" s="410">
        <f t="shared" si="262"/>
        <v>0</v>
      </c>
      <c r="AW586" s="410">
        <f t="shared" si="262"/>
        <v>0</v>
      </c>
      <c r="AX586" s="410">
        <f t="shared" si="262"/>
        <v>0</v>
      </c>
      <c r="AY586" s="410">
        <f t="shared" si="262"/>
        <v>0</v>
      </c>
      <c r="AZ586" s="410">
        <f t="shared" si="262"/>
        <v>0</v>
      </c>
      <c r="BA586" s="410">
        <f t="shared" si="262"/>
        <v>0</v>
      </c>
      <c r="BB586" s="410">
        <f t="shared" si="262"/>
        <v>0</v>
      </c>
      <c r="BC586" s="410">
        <f t="shared" si="262"/>
        <v>0</v>
      </c>
      <c r="BD586" s="410">
        <f t="shared" si="262"/>
        <v>0</v>
      </c>
      <c r="BE586" s="410">
        <f t="shared" si="262"/>
        <v>0</v>
      </c>
      <c r="BF586" s="410">
        <f t="shared" si="262"/>
        <v>0</v>
      </c>
      <c r="BG586" s="410">
        <f t="shared" si="262"/>
        <v>0</v>
      </c>
      <c r="BH586" s="410">
        <f t="shared" si="262"/>
        <v>0</v>
      </c>
      <c r="BI586" s="410">
        <f t="shared" si="262"/>
        <v>0</v>
      </c>
      <c r="BJ586" s="410">
        <f t="shared" si="262"/>
        <v>0</v>
      </c>
      <c r="BK586" s="410">
        <f t="shared" si="262"/>
        <v>0</v>
      </c>
      <c r="BL586" s="410">
        <f t="shared" si="262"/>
        <v>0</v>
      </c>
      <c r="BM586" s="410">
        <f t="shared" si="262"/>
        <v>0</v>
      </c>
      <c r="BN586" s="410">
        <f t="shared" si="262"/>
        <v>0</v>
      </c>
      <c r="BO586" s="410">
        <f t="shared" si="262"/>
        <v>0</v>
      </c>
      <c r="BP586" s="410">
        <f t="shared" si="262"/>
        <v>0</v>
      </c>
      <c r="BQ586" s="410">
        <f t="shared" si="262"/>
        <v>0</v>
      </c>
      <c r="BR586" s="410">
        <f t="shared" si="262"/>
        <v>0</v>
      </c>
      <c r="BS586" s="410">
        <f t="shared" si="262"/>
        <v>0</v>
      </c>
      <c r="BT586" s="410">
        <f t="shared" si="262"/>
        <v>0</v>
      </c>
      <c r="BU586" s="410">
        <f t="shared" si="262"/>
        <v>0</v>
      </c>
      <c r="BV586" s="410">
        <f t="shared" si="262"/>
        <v>0</v>
      </c>
      <c r="BW586" s="410">
        <f t="shared" si="262"/>
        <v>0</v>
      </c>
      <c r="BX586" s="410">
        <f t="shared" si="262"/>
        <v>0</v>
      </c>
      <c r="BY586" s="410">
        <f t="shared" si="262"/>
        <v>0</v>
      </c>
      <c r="BZ586" s="410">
        <f t="shared" si="262"/>
        <v>165000000</v>
      </c>
      <c r="CA586" s="410">
        <f t="shared" si="262"/>
        <v>159480000</v>
      </c>
      <c r="CB586" s="410">
        <f t="shared" si="262"/>
        <v>106320000</v>
      </c>
    </row>
    <row r="587" spans="1:80" ht="30" customHeight="1" x14ac:dyDescent="0.2">
      <c r="A587" s="205"/>
      <c r="B587" s="42"/>
      <c r="C587" s="150"/>
      <c r="D587" s="72"/>
      <c r="E587" s="150"/>
      <c r="F587" s="150"/>
      <c r="G587" s="72"/>
      <c r="H587" s="150"/>
      <c r="I587" s="72"/>
      <c r="J587" s="150"/>
      <c r="K587" s="151"/>
      <c r="L587" s="265"/>
      <c r="M587" s="265"/>
      <c r="N587" s="400"/>
      <c r="O587" s="400"/>
      <c r="P587" s="101"/>
      <c r="Q587" s="150"/>
      <c r="R587" s="405"/>
      <c r="S587" s="405"/>
      <c r="T587" s="405"/>
      <c r="U587" s="405"/>
      <c r="V587" s="405"/>
      <c r="W587" s="405"/>
      <c r="X587" s="405"/>
      <c r="Y587" s="405"/>
      <c r="Z587" s="405"/>
      <c r="AA587" s="405"/>
      <c r="AB587" s="405"/>
      <c r="AC587" s="405"/>
      <c r="AD587" s="405"/>
      <c r="AE587" s="405"/>
      <c r="AF587" s="405"/>
      <c r="AG587" s="405"/>
      <c r="AH587" s="405"/>
      <c r="AI587" s="405"/>
      <c r="AJ587" s="405"/>
      <c r="AK587" s="405"/>
      <c r="AL587" s="405"/>
      <c r="AM587" s="405"/>
      <c r="AN587" s="405"/>
      <c r="AO587" s="405"/>
      <c r="AP587" s="405"/>
      <c r="AQ587" s="405"/>
      <c r="AR587" s="405"/>
      <c r="AS587" s="405"/>
      <c r="AT587" s="405"/>
      <c r="AU587" s="405"/>
      <c r="AV587" s="405"/>
      <c r="AW587" s="405"/>
      <c r="AX587" s="405"/>
      <c r="AY587" s="405"/>
      <c r="AZ587" s="405"/>
      <c r="BA587" s="405"/>
      <c r="BB587" s="405"/>
      <c r="BC587" s="405"/>
      <c r="BD587" s="405"/>
      <c r="BE587" s="405"/>
      <c r="BF587" s="405"/>
      <c r="BG587" s="405"/>
      <c r="BH587" s="405"/>
      <c r="BI587" s="405"/>
      <c r="BJ587" s="405"/>
      <c r="BK587" s="407"/>
      <c r="BL587" s="407"/>
      <c r="BM587" s="407"/>
      <c r="BN587" s="408"/>
      <c r="BO587" s="408"/>
      <c r="BP587" s="408"/>
      <c r="BQ587" s="405"/>
      <c r="BR587" s="405"/>
      <c r="BS587" s="405"/>
      <c r="BT587" s="405"/>
      <c r="BU587" s="405"/>
      <c r="BV587" s="405"/>
      <c r="BW587" s="406"/>
      <c r="BX587" s="406"/>
      <c r="BY587" s="406"/>
      <c r="BZ587" s="409"/>
      <c r="CA587" s="409"/>
      <c r="CB587" s="409"/>
    </row>
    <row r="588" spans="1:80" ht="30" customHeight="1" x14ac:dyDescent="0.2">
      <c r="A588" s="205"/>
      <c r="B588" s="42"/>
      <c r="C588" s="713"/>
      <c r="D588" s="707"/>
      <c r="E588" s="713"/>
      <c r="F588" s="713"/>
      <c r="G588" s="219">
        <v>40</v>
      </c>
      <c r="H588" s="80" t="s">
        <v>752</v>
      </c>
      <c r="I588" s="80"/>
      <c r="J588" s="80"/>
      <c r="K588" s="128"/>
      <c r="L588" s="128"/>
      <c r="M588" s="128"/>
      <c r="N588" s="173"/>
      <c r="O588" s="173"/>
      <c r="P588" s="80"/>
      <c r="Q588" s="80"/>
      <c r="R588" s="267"/>
      <c r="S588" s="267"/>
      <c r="T588" s="267"/>
      <c r="U588" s="267"/>
      <c r="V588" s="267"/>
      <c r="W588" s="267"/>
      <c r="X588" s="267"/>
      <c r="Y588" s="267"/>
      <c r="Z588" s="267"/>
      <c r="AA588" s="267"/>
      <c r="AB588" s="267"/>
      <c r="AC588" s="267"/>
      <c r="AD588" s="267"/>
      <c r="AE588" s="267"/>
      <c r="AF588" s="267"/>
      <c r="AG588" s="267"/>
      <c r="AH588" s="267"/>
      <c r="AI588" s="267"/>
      <c r="AJ588" s="267"/>
      <c r="AK588" s="267"/>
      <c r="AL588" s="267"/>
      <c r="AM588" s="267"/>
      <c r="AN588" s="267"/>
      <c r="AO588" s="267"/>
      <c r="AP588" s="267"/>
      <c r="AQ588" s="267"/>
      <c r="AR588" s="267"/>
      <c r="AS588" s="267"/>
      <c r="AT588" s="267"/>
      <c r="AU588" s="267"/>
      <c r="AV588" s="267"/>
      <c r="AW588" s="267"/>
      <c r="AX588" s="267"/>
      <c r="AY588" s="267"/>
      <c r="AZ588" s="267"/>
      <c r="BA588" s="267"/>
      <c r="BB588" s="267"/>
      <c r="BC588" s="267"/>
      <c r="BD588" s="267"/>
      <c r="BE588" s="267"/>
      <c r="BF588" s="267"/>
      <c r="BG588" s="267"/>
      <c r="BH588" s="267"/>
      <c r="BI588" s="267"/>
      <c r="BJ588" s="267"/>
      <c r="BK588" s="414"/>
      <c r="BL588" s="414"/>
      <c r="BM588" s="414"/>
      <c r="BN588" s="267"/>
      <c r="BO588" s="267"/>
      <c r="BP588" s="267"/>
      <c r="BQ588" s="267"/>
      <c r="BR588" s="267"/>
      <c r="BS588" s="267"/>
      <c r="BT588" s="267"/>
      <c r="BU588" s="267"/>
      <c r="BV588" s="267"/>
      <c r="BW588" s="267"/>
      <c r="BX588" s="267"/>
      <c r="BY588" s="267"/>
      <c r="BZ588" s="269"/>
      <c r="CA588" s="269"/>
      <c r="CB588" s="269"/>
    </row>
    <row r="589" spans="1:80" ht="74.25" customHeight="1" x14ac:dyDescent="0.2">
      <c r="A589" s="205"/>
      <c r="B589" s="42"/>
      <c r="C589" s="714">
        <v>26</v>
      </c>
      <c r="D589" s="92" t="s">
        <v>753</v>
      </c>
      <c r="E589" s="714" t="s">
        <v>754</v>
      </c>
      <c r="F589" s="714" t="s">
        <v>755</v>
      </c>
      <c r="G589" s="43"/>
      <c r="H589" s="727">
        <v>142</v>
      </c>
      <c r="I589" s="729" t="s">
        <v>756</v>
      </c>
      <c r="J589" s="57" t="s">
        <v>43</v>
      </c>
      <c r="K589" s="107">
        <v>12</v>
      </c>
      <c r="L589" s="107">
        <v>9</v>
      </c>
      <c r="M589" s="884">
        <v>2017003630106</v>
      </c>
      <c r="N589" s="895" t="s">
        <v>714</v>
      </c>
      <c r="O589" s="895" t="s">
        <v>757</v>
      </c>
      <c r="P589" s="890" t="s">
        <v>758</v>
      </c>
      <c r="Q589" s="57" t="s">
        <v>52</v>
      </c>
      <c r="R589" s="401">
        <v>0</v>
      </c>
      <c r="S589" s="401"/>
      <c r="T589" s="401"/>
      <c r="U589" s="401">
        <v>0</v>
      </c>
      <c r="V589" s="401"/>
      <c r="W589" s="401"/>
      <c r="X589" s="401">
        <v>0</v>
      </c>
      <c r="Y589" s="401"/>
      <c r="Z589" s="401"/>
      <c r="AA589" s="401">
        <v>0</v>
      </c>
      <c r="AB589" s="401"/>
      <c r="AC589" s="401"/>
      <c r="AD589" s="401">
        <v>0</v>
      </c>
      <c r="AE589" s="401"/>
      <c r="AF589" s="401"/>
      <c r="AG589" s="401">
        <v>0</v>
      </c>
      <c r="AH589" s="401"/>
      <c r="AI589" s="401"/>
      <c r="AJ589" s="401">
        <v>0</v>
      </c>
      <c r="AK589" s="401"/>
      <c r="AL589" s="401"/>
      <c r="AM589" s="401">
        <v>80000000</v>
      </c>
      <c r="AN589" s="401">
        <v>79605664</v>
      </c>
      <c r="AO589" s="401">
        <v>75600000</v>
      </c>
      <c r="AP589" s="402"/>
      <c r="AQ589" s="402"/>
      <c r="AR589" s="402"/>
      <c r="AS589" s="401">
        <v>27000000</v>
      </c>
      <c r="AT589" s="401">
        <v>25595000</v>
      </c>
      <c r="AU589" s="401"/>
      <c r="AV589" s="401">
        <v>0</v>
      </c>
      <c r="AW589" s="401"/>
      <c r="AX589" s="401"/>
      <c r="AY589" s="401"/>
      <c r="AZ589" s="401"/>
      <c r="BA589" s="401"/>
      <c r="BB589" s="401"/>
      <c r="BC589" s="401"/>
      <c r="BD589" s="401"/>
      <c r="BE589" s="401">
        <v>0</v>
      </c>
      <c r="BF589" s="401"/>
      <c r="BG589" s="401"/>
      <c r="BH589" s="401">
        <v>0</v>
      </c>
      <c r="BI589" s="401"/>
      <c r="BJ589" s="401"/>
      <c r="BK589" s="402">
        <v>0</v>
      </c>
      <c r="BL589" s="402"/>
      <c r="BM589" s="402"/>
      <c r="BN589" s="415"/>
      <c r="BO589" s="415"/>
      <c r="BP589" s="415"/>
      <c r="BQ589" s="401">
        <v>0</v>
      </c>
      <c r="BR589" s="403"/>
      <c r="BS589" s="403"/>
      <c r="BT589" s="403"/>
      <c r="BU589" s="403"/>
      <c r="BV589" s="403"/>
      <c r="BW589" s="431">
        <v>0</v>
      </c>
      <c r="BX589" s="431"/>
      <c r="BY589" s="431"/>
      <c r="BZ589" s="401">
        <f t="shared" ref="BZ589:CB593" si="263">R589+U589+X589+AA589+AD589+AG589+AJ589+AM589+AP589+AS589+AV589+AY589+BB589+BE589+BH589+BK589+BN589+BQ589+BT589+BW589</f>
        <v>107000000</v>
      </c>
      <c r="CA589" s="401">
        <f t="shared" si="263"/>
        <v>105200664</v>
      </c>
      <c r="CB589" s="401">
        <f t="shared" si="263"/>
        <v>75600000</v>
      </c>
    </row>
    <row r="590" spans="1:80" ht="74.25" customHeight="1" x14ac:dyDescent="0.2">
      <c r="A590" s="205"/>
      <c r="B590" s="42"/>
      <c r="C590" s="150">
        <v>30</v>
      </c>
      <c r="D590" s="144" t="s">
        <v>759</v>
      </c>
      <c r="E590" s="57" t="s">
        <v>760</v>
      </c>
      <c r="F590" s="57" t="s">
        <v>760</v>
      </c>
      <c r="G590" s="49"/>
      <c r="H590" s="727">
        <v>143</v>
      </c>
      <c r="I590" s="729" t="s">
        <v>761</v>
      </c>
      <c r="J590" s="57">
        <v>1</v>
      </c>
      <c r="K590" s="107">
        <v>1</v>
      </c>
      <c r="L590" s="107">
        <v>1</v>
      </c>
      <c r="M590" s="886"/>
      <c r="N590" s="898"/>
      <c r="O590" s="898"/>
      <c r="P590" s="892"/>
      <c r="Q590" s="57" t="s">
        <v>52</v>
      </c>
      <c r="R590" s="401">
        <v>0</v>
      </c>
      <c r="S590" s="401"/>
      <c r="T590" s="401"/>
      <c r="U590" s="401">
        <v>0</v>
      </c>
      <c r="V590" s="401"/>
      <c r="W590" s="401"/>
      <c r="X590" s="401">
        <v>0</v>
      </c>
      <c r="Y590" s="401"/>
      <c r="Z590" s="401"/>
      <c r="AA590" s="401">
        <v>0</v>
      </c>
      <c r="AB590" s="401"/>
      <c r="AC590" s="401"/>
      <c r="AD590" s="401">
        <v>0</v>
      </c>
      <c r="AE590" s="401"/>
      <c r="AF590" s="401"/>
      <c r="AG590" s="401">
        <v>0</v>
      </c>
      <c r="AH590" s="401"/>
      <c r="AI590" s="401"/>
      <c r="AJ590" s="401">
        <v>0</v>
      </c>
      <c r="AK590" s="401"/>
      <c r="AL590" s="401"/>
      <c r="AM590" s="401">
        <v>35000000</v>
      </c>
      <c r="AN590" s="401">
        <v>15369300</v>
      </c>
      <c r="AO590" s="401">
        <v>5256515</v>
      </c>
      <c r="AP590" s="402"/>
      <c r="AQ590" s="402"/>
      <c r="AR590" s="402"/>
      <c r="AS590" s="401">
        <v>0</v>
      </c>
      <c r="AT590" s="401"/>
      <c r="AU590" s="401"/>
      <c r="AV590" s="401">
        <v>0</v>
      </c>
      <c r="AW590" s="401"/>
      <c r="AX590" s="401"/>
      <c r="AY590" s="401"/>
      <c r="AZ590" s="401"/>
      <c r="BA590" s="401"/>
      <c r="BB590" s="401"/>
      <c r="BC590" s="401"/>
      <c r="BD590" s="401"/>
      <c r="BE590" s="401">
        <v>0</v>
      </c>
      <c r="BF590" s="401"/>
      <c r="BG590" s="401"/>
      <c r="BH590" s="401">
        <v>0</v>
      </c>
      <c r="BI590" s="401"/>
      <c r="BJ590" s="401"/>
      <c r="BK590" s="402">
        <v>0</v>
      </c>
      <c r="BL590" s="402"/>
      <c r="BM590" s="402"/>
      <c r="BN590" s="415"/>
      <c r="BO590" s="415"/>
      <c r="BP590" s="415"/>
      <c r="BQ590" s="401">
        <v>0</v>
      </c>
      <c r="BR590" s="403"/>
      <c r="BS590" s="403"/>
      <c r="BT590" s="403"/>
      <c r="BU590" s="403"/>
      <c r="BV590" s="403"/>
      <c r="BW590" s="403">
        <v>0</v>
      </c>
      <c r="BX590" s="403"/>
      <c r="BY590" s="403"/>
      <c r="BZ590" s="401">
        <f t="shared" si="263"/>
        <v>35000000</v>
      </c>
      <c r="CA590" s="401">
        <f t="shared" si="263"/>
        <v>15369300</v>
      </c>
      <c r="CB590" s="401">
        <f t="shared" si="263"/>
        <v>5256515</v>
      </c>
    </row>
    <row r="591" spans="1:80" ht="86.25" customHeight="1" x14ac:dyDescent="0.2">
      <c r="A591" s="205"/>
      <c r="B591" s="42"/>
      <c r="C591" s="727" t="s">
        <v>748</v>
      </c>
      <c r="D591" s="709" t="s">
        <v>762</v>
      </c>
      <c r="E591" s="714">
        <v>10</v>
      </c>
      <c r="F591" s="714" t="s">
        <v>763</v>
      </c>
      <c r="G591" s="49"/>
      <c r="H591" s="727">
        <v>144</v>
      </c>
      <c r="I591" s="729" t="s">
        <v>764</v>
      </c>
      <c r="J591" s="57">
        <v>5</v>
      </c>
      <c r="K591" s="107">
        <v>5</v>
      </c>
      <c r="L591" s="107">
        <v>4</v>
      </c>
      <c r="M591" s="884">
        <v>2017003630079</v>
      </c>
      <c r="N591" s="895" t="s">
        <v>714</v>
      </c>
      <c r="O591" s="895" t="s">
        <v>765</v>
      </c>
      <c r="P591" s="891" t="s">
        <v>1009</v>
      </c>
      <c r="Q591" s="57" t="s">
        <v>52</v>
      </c>
      <c r="R591" s="401">
        <v>0</v>
      </c>
      <c r="S591" s="401"/>
      <c r="T591" s="401"/>
      <c r="U591" s="401">
        <v>0</v>
      </c>
      <c r="V591" s="401"/>
      <c r="W591" s="401"/>
      <c r="X591" s="401">
        <v>0</v>
      </c>
      <c r="Y591" s="401"/>
      <c r="Z591" s="401"/>
      <c r="AA591" s="401">
        <v>0</v>
      </c>
      <c r="AB591" s="401"/>
      <c r="AC591" s="401"/>
      <c r="AD591" s="401">
        <v>0</v>
      </c>
      <c r="AE591" s="401"/>
      <c r="AF591" s="401"/>
      <c r="AG591" s="401">
        <v>0</v>
      </c>
      <c r="AH591" s="401"/>
      <c r="AI591" s="401"/>
      <c r="AJ591" s="401">
        <v>0</v>
      </c>
      <c r="AK591" s="401"/>
      <c r="AL591" s="401"/>
      <c r="AM591" s="401">
        <f>120000000</f>
        <v>120000000</v>
      </c>
      <c r="AN591" s="401">
        <v>56400000</v>
      </c>
      <c r="AO591" s="401">
        <v>56062000</v>
      </c>
      <c r="AP591" s="402"/>
      <c r="AQ591" s="402"/>
      <c r="AR591" s="402"/>
      <c r="AS591" s="401">
        <v>0</v>
      </c>
      <c r="AT591" s="401"/>
      <c r="AU591" s="401"/>
      <c r="AV591" s="430"/>
      <c r="AW591" s="430"/>
      <c r="AX591" s="430"/>
      <c r="AY591" s="401"/>
      <c r="AZ591" s="401"/>
      <c r="BA591" s="401"/>
      <c r="BB591" s="401"/>
      <c r="BC591" s="401"/>
      <c r="BD591" s="401"/>
      <c r="BE591" s="401">
        <v>0</v>
      </c>
      <c r="BF591" s="401"/>
      <c r="BG591" s="401"/>
      <c r="BH591" s="401">
        <v>0</v>
      </c>
      <c r="BI591" s="401"/>
      <c r="BJ591" s="401"/>
      <c r="BK591" s="402">
        <v>0</v>
      </c>
      <c r="BL591" s="402"/>
      <c r="BM591" s="402"/>
      <c r="BN591" s="415"/>
      <c r="BO591" s="415"/>
      <c r="BP591" s="415"/>
      <c r="BQ591" s="401">
        <v>0</v>
      </c>
      <c r="BR591" s="401"/>
      <c r="BS591" s="401"/>
      <c r="BT591" s="401"/>
      <c r="BU591" s="401"/>
      <c r="BV591" s="401"/>
      <c r="BW591" s="680">
        <f>183007269+34882286+138716570+80000000-8632286+61401533</f>
        <v>489375372</v>
      </c>
      <c r="BX591" s="401">
        <v>192859183</v>
      </c>
      <c r="BY591" s="401">
        <v>121713032</v>
      </c>
      <c r="BZ591" s="401">
        <f t="shared" si="263"/>
        <v>609375372</v>
      </c>
      <c r="CA591" s="401">
        <f t="shared" si="263"/>
        <v>249259183</v>
      </c>
      <c r="CB591" s="401">
        <f t="shared" si="263"/>
        <v>177775032</v>
      </c>
    </row>
    <row r="592" spans="1:80" ht="65.25" customHeight="1" x14ac:dyDescent="0.2">
      <c r="A592" s="205"/>
      <c r="B592" s="42"/>
      <c r="C592" s="727" t="s">
        <v>748</v>
      </c>
      <c r="D592" s="729" t="s">
        <v>767</v>
      </c>
      <c r="E592" s="57" t="s">
        <v>768</v>
      </c>
      <c r="F592" s="256">
        <v>0.8</v>
      </c>
      <c r="G592" s="49"/>
      <c r="H592" s="727">
        <v>145</v>
      </c>
      <c r="I592" s="729" t="s">
        <v>769</v>
      </c>
      <c r="J592" s="109" t="s">
        <v>43</v>
      </c>
      <c r="K592" s="155">
        <v>1</v>
      </c>
      <c r="L592" s="613">
        <v>0.75</v>
      </c>
      <c r="M592" s="886"/>
      <c r="N592" s="898"/>
      <c r="O592" s="898"/>
      <c r="P592" s="892"/>
      <c r="Q592" s="57" t="s">
        <v>52</v>
      </c>
      <c r="R592" s="401">
        <v>0</v>
      </c>
      <c r="S592" s="401"/>
      <c r="T592" s="401"/>
      <c r="U592" s="401">
        <v>0</v>
      </c>
      <c r="V592" s="401"/>
      <c r="W592" s="401"/>
      <c r="X592" s="401">
        <v>0</v>
      </c>
      <c r="Y592" s="401"/>
      <c r="Z592" s="401"/>
      <c r="AA592" s="401">
        <v>0</v>
      </c>
      <c r="AB592" s="401"/>
      <c r="AC592" s="401"/>
      <c r="AD592" s="401">
        <v>0</v>
      </c>
      <c r="AE592" s="401"/>
      <c r="AF592" s="401"/>
      <c r="AG592" s="401">
        <v>0</v>
      </c>
      <c r="AH592" s="401"/>
      <c r="AI592" s="401"/>
      <c r="AJ592" s="401">
        <v>0</v>
      </c>
      <c r="AK592" s="401"/>
      <c r="AL592" s="401"/>
      <c r="AM592" s="401">
        <f>80000000+33834562</f>
        <v>113834562</v>
      </c>
      <c r="AN592" s="401">
        <f>[7]METAS!$P$51+[7]METAS!$P$52</f>
        <v>83500000</v>
      </c>
      <c r="AO592" s="401">
        <v>60380000</v>
      </c>
      <c r="AP592" s="402"/>
      <c r="AQ592" s="402"/>
      <c r="AR592" s="402"/>
      <c r="AS592" s="401">
        <v>0</v>
      </c>
      <c r="AT592" s="401"/>
      <c r="AU592" s="401"/>
      <c r="AV592" s="401">
        <v>0</v>
      </c>
      <c r="AW592" s="401"/>
      <c r="AX592" s="401"/>
      <c r="AY592" s="401"/>
      <c r="AZ592" s="401"/>
      <c r="BA592" s="401"/>
      <c r="BB592" s="401"/>
      <c r="BC592" s="401"/>
      <c r="BD592" s="401"/>
      <c r="BE592" s="401">
        <v>0</v>
      </c>
      <c r="BF592" s="401"/>
      <c r="BG592" s="401"/>
      <c r="BH592" s="401">
        <v>0</v>
      </c>
      <c r="BI592" s="401"/>
      <c r="BJ592" s="401"/>
      <c r="BK592" s="402">
        <v>0</v>
      </c>
      <c r="BL592" s="402"/>
      <c r="BM592" s="402"/>
      <c r="BN592" s="415"/>
      <c r="BO592" s="415"/>
      <c r="BP592" s="415"/>
      <c r="BQ592" s="401">
        <v>0</v>
      </c>
      <c r="BR592" s="403"/>
      <c r="BS592" s="403"/>
      <c r="BT592" s="403"/>
      <c r="BU592" s="403"/>
      <c r="BV592" s="403"/>
      <c r="BW592" s="403">
        <v>0</v>
      </c>
      <c r="BX592" s="403"/>
      <c r="BY592" s="403"/>
      <c r="BZ592" s="401">
        <f t="shared" si="263"/>
        <v>113834562</v>
      </c>
      <c r="CA592" s="401">
        <f t="shared" si="263"/>
        <v>83500000</v>
      </c>
      <c r="CB592" s="401">
        <f t="shared" si="263"/>
        <v>60380000</v>
      </c>
    </row>
    <row r="593" spans="1:80" ht="34.5" customHeight="1" x14ac:dyDescent="0.2">
      <c r="A593" s="205"/>
      <c r="B593" s="42"/>
      <c r="C593" s="713" t="s">
        <v>748</v>
      </c>
      <c r="D593" s="707" t="s">
        <v>770</v>
      </c>
      <c r="E593" s="731">
        <v>0.68</v>
      </c>
      <c r="F593" s="731">
        <v>0.73</v>
      </c>
      <c r="G593" s="92"/>
      <c r="H593" s="727">
        <v>146</v>
      </c>
      <c r="I593" s="729" t="s">
        <v>771</v>
      </c>
      <c r="J593" s="57" t="s">
        <v>43</v>
      </c>
      <c r="K593" s="107">
        <v>1</v>
      </c>
      <c r="L593" s="107">
        <v>1</v>
      </c>
      <c r="M593" s="46">
        <v>2017003630123</v>
      </c>
      <c r="N593" s="57" t="s">
        <v>714</v>
      </c>
      <c r="O593" s="57" t="s">
        <v>772</v>
      </c>
      <c r="P593" s="729" t="s">
        <v>1010</v>
      </c>
      <c r="Q593" s="57" t="s">
        <v>52</v>
      </c>
      <c r="R593" s="401">
        <v>0</v>
      </c>
      <c r="S593" s="401"/>
      <c r="T593" s="401"/>
      <c r="U593" s="401">
        <v>0</v>
      </c>
      <c r="V593" s="401"/>
      <c r="W593" s="401"/>
      <c r="X593" s="401">
        <v>0</v>
      </c>
      <c r="Y593" s="401"/>
      <c r="Z593" s="401"/>
      <c r="AA593" s="401">
        <v>0</v>
      </c>
      <c r="AB593" s="401"/>
      <c r="AC593" s="401"/>
      <c r="AD593" s="401">
        <v>0</v>
      </c>
      <c r="AE593" s="401"/>
      <c r="AF593" s="401"/>
      <c r="AG593" s="401">
        <v>0</v>
      </c>
      <c r="AH593" s="401"/>
      <c r="AI593" s="401"/>
      <c r="AJ593" s="401">
        <v>0</v>
      </c>
      <c r="AK593" s="401"/>
      <c r="AL593" s="401"/>
      <c r="AM593" s="401">
        <v>50000000</v>
      </c>
      <c r="AN593" s="401">
        <v>49955996</v>
      </c>
      <c r="AO593" s="401">
        <v>49955996</v>
      </c>
      <c r="AP593" s="402"/>
      <c r="AQ593" s="402"/>
      <c r="AR593" s="402"/>
      <c r="AS593" s="401">
        <v>6000000</v>
      </c>
      <c r="AT593" s="401"/>
      <c r="AU593" s="401"/>
      <c r="AV593" s="401"/>
      <c r="AW593" s="401"/>
      <c r="AX593" s="401"/>
      <c r="AY593" s="401"/>
      <c r="AZ593" s="401"/>
      <c r="BA593" s="401"/>
      <c r="BB593" s="401"/>
      <c r="BC593" s="401"/>
      <c r="BD593" s="401"/>
      <c r="BE593" s="401">
        <v>0</v>
      </c>
      <c r="BF593" s="401"/>
      <c r="BG593" s="401"/>
      <c r="BH593" s="401">
        <v>0</v>
      </c>
      <c r="BI593" s="401"/>
      <c r="BJ593" s="401"/>
      <c r="BK593" s="402">
        <v>0</v>
      </c>
      <c r="BL593" s="402"/>
      <c r="BM593" s="402"/>
      <c r="BN593" s="415"/>
      <c r="BO593" s="415"/>
      <c r="BP593" s="415"/>
      <c r="BQ593" s="401">
        <v>0</v>
      </c>
      <c r="BR593" s="403"/>
      <c r="BS593" s="403"/>
      <c r="BT593" s="403"/>
      <c r="BU593" s="403"/>
      <c r="BV593" s="403"/>
      <c r="BW593" s="403">
        <v>174374138</v>
      </c>
      <c r="BX593" s="403">
        <v>119399668</v>
      </c>
      <c r="BY593" s="403">
        <v>62964004</v>
      </c>
      <c r="BZ593" s="401">
        <f t="shared" si="263"/>
        <v>230374138</v>
      </c>
      <c r="CA593" s="401">
        <f t="shared" si="263"/>
        <v>169355664</v>
      </c>
      <c r="CB593" s="401">
        <f t="shared" si="263"/>
        <v>112920000</v>
      </c>
    </row>
    <row r="594" spans="1:80" ht="30" customHeight="1" x14ac:dyDescent="0.2">
      <c r="A594" s="205"/>
      <c r="B594" s="42"/>
      <c r="C594" s="714"/>
      <c r="D594" s="709"/>
      <c r="E594" s="714"/>
      <c r="F594" s="714"/>
      <c r="G594" s="58"/>
      <c r="H594" s="59"/>
      <c r="I594" s="58"/>
      <c r="J594" s="59"/>
      <c r="K594" s="136"/>
      <c r="L594" s="136"/>
      <c r="M594" s="136"/>
      <c r="N594" s="59"/>
      <c r="O594" s="59"/>
      <c r="P594" s="58"/>
      <c r="Q594" s="59"/>
      <c r="R594" s="410">
        <f t="shared" ref="R594:BZ594" si="264">SUM(R589:R593)</f>
        <v>0</v>
      </c>
      <c r="S594" s="410">
        <f t="shared" si="264"/>
        <v>0</v>
      </c>
      <c r="T594" s="410">
        <f t="shared" si="264"/>
        <v>0</v>
      </c>
      <c r="U594" s="410">
        <f t="shared" si="264"/>
        <v>0</v>
      </c>
      <c r="V594" s="410">
        <f t="shared" si="264"/>
        <v>0</v>
      </c>
      <c r="W594" s="410">
        <f t="shared" si="264"/>
        <v>0</v>
      </c>
      <c r="X594" s="410">
        <f t="shared" si="264"/>
        <v>0</v>
      </c>
      <c r="Y594" s="410">
        <f t="shared" si="264"/>
        <v>0</v>
      </c>
      <c r="Z594" s="410">
        <f t="shared" si="264"/>
        <v>0</v>
      </c>
      <c r="AA594" s="410">
        <f t="shared" si="264"/>
        <v>0</v>
      </c>
      <c r="AB594" s="410">
        <f t="shared" si="264"/>
        <v>0</v>
      </c>
      <c r="AC594" s="410">
        <f t="shared" si="264"/>
        <v>0</v>
      </c>
      <c r="AD594" s="410">
        <f t="shared" si="264"/>
        <v>0</v>
      </c>
      <c r="AE594" s="410">
        <f t="shared" si="264"/>
        <v>0</v>
      </c>
      <c r="AF594" s="410">
        <f t="shared" si="264"/>
        <v>0</v>
      </c>
      <c r="AG594" s="410">
        <f t="shared" si="264"/>
        <v>0</v>
      </c>
      <c r="AH594" s="410">
        <f t="shared" si="264"/>
        <v>0</v>
      </c>
      <c r="AI594" s="410">
        <f t="shared" si="264"/>
        <v>0</v>
      </c>
      <c r="AJ594" s="410">
        <f t="shared" si="264"/>
        <v>0</v>
      </c>
      <c r="AK594" s="410">
        <f t="shared" si="264"/>
        <v>0</v>
      </c>
      <c r="AL594" s="410">
        <f t="shared" si="264"/>
        <v>0</v>
      </c>
      <c r="AM594" s="410">
        <f t="shared" si="264"/>
        <v>398834562</v>
      </c>
      <c r="AN594" s="410">
        <f t="shared" si="264"/>
        <v>284830960</v>
      </c>
      <c r="AO594" s="410">
        <f t="shared" si="264"/>
        <v>247254511</v>
      </c>
      <c r="AP594" s="410">
        <f t="shared" si="264"/>
        <v>0</v>
      </c>
      <c r="AQ594" s="410">
        <f t="shared" si="264"/>
        <v>0</v>
      </c>
      <c r="AR594" s="410">
        <f t="shared" si="264"/>
        <v>0</v>
      </c>
      <c r="AS594" s="410">
        <f t="shared" si="264"/>
        <v>33000000</v>
      </c>
      <c r="AT594" s="410">
        <f t="shared" si="264"/>
        <v>25595000</v>
      </c>
      <c r="AU594" s="410">
        <f t="shared" si="264"/>
        <v>0</v>
      </c>
      <c r="AV594" s="410">
        <f t="shared" si="264"/>
        <v>0</v>
      </c>
      <c r="AW594" s="410">
        <f t="shared" si="264"/>
        <v>0</v>
      </c>
      <c r="AX594" s="410">
        <f t="shared" si="264"/>
        <v>0</v>
      </c>
      <c r="AY594" s="410">
        <f t="shared" si="264"/>
        <v>0</v>
      </c>
      <c r="AZ594" s="410">
        <f t="shared" si="264"/>
        <v>0</v>
      </c>
      <c r="BA594" s="410">
        <f t="shared" si="264"/>
        <v>0</v>
      </c>
      <c r="BB594" s="410">
        <f t="shared" si="264"/>
        <v>0</v>
      </c>
      <c r="BC594" s="410">
        <f t="shared" si="264"/>
        <v>0</v>
      </c>
      <c r="BD594" s="410">
        <f t="shared" si="264"/>
        <v>0</v>
      </c>
      <c r="BE594" s="410">
        <f t="shared" si="264"/>
        <v>0</v>
      </c>
      <c r="BF594" s="410">
        <f t="shared" si="264"/>
        <v>0</v>
      </c>
      <c r="BG594" s="410">
        <f t="shared" si="264"/>
        <v>0</v>
      </c>
      <c r="BH594" s="410">
        <f t="shared" si="264"/>
        <v>0</v>
      </c>
      <c r="BI594" s="410">
        <f t="shared" si="264"/>
        <v>0</v>
      </c>
      <c r="BJ594" s="410">
        <f t="shared" si="264"/>
        <v>0</v>
      </c>
      <c r="BK594" s="410">
        <f t="shared" si="264"/>
        <v>0</v>
      </c>
      <c r="BL594" s="410">
        <f t="shared" si="264"/>
        <v>0</v>
      </c>
      <c r="BM594" s="410">
        <f t="shared" si="264"/>
        <v>0</v>
      </c>
      <c r="BN594" s="410">
        <f t="shared" si="264"/>
        <v>0</v>
      </c>
      <c r="BO594" s="410">
        <f t="shared" si="264"/>
        <v>0</v>
      </c>
      <c r="BP594" s="410">
        <f t="shared" si="264"/>
        <v>0</v>
      </c>
      <c r="BQ594" s="410">
        <f t="shared" si="264"/>
        <v>0</v>
      </c>
      <c r="BR594" s="410">
        <f t="shared" si="264"/>
        <v>0</v>
      </c>
      <c r="BS594" s="410">
        <f t="shared" si="264"/>
        <v>0</v>
      </c>
      <c r="BT594" s="410">
        <f t="shared" si="264"/>
        <v>0</v>
      </c>
      <c r="BU594" s="410">
        <f t="shared" si="264"/>
        <v>0</v>
      </c>
      <c r="BV594" s="410">
        <f t="shared" si="264"/>
        <v>0</v>
      </c>
      <c r="BW594" s="410">
        <f t="shared" si="264"/>
        <v>663749510</v>
      </c>
      <c r="BX594" s="410">
        <f t="shared" si="264"/>
        <v>312258851</v>
      </c>
      <c r="BY594" s="410">
        <f t="shared" si="264"/>
        <v>184677036</v>
      </c>
      <c r="BZ594" s="410">
        <f t="shared" si="264"/>
        <v>1095584072</v>
      </c>
      <c r="CA594" s="410">
        <f t="shared" ref="CA594:CB594" si="265">SUM(CA589:CA593)</f>
        <v>622684811</v>
      </c>
      <c r="CB594" s="410">
        <f t="shared" si="265"/>
        <v>431931547</v>
      </c>
    </row>
    <row r="595" spans="1:80" ht="30" customHeight="1" x14ac:dyDescent="0.2">
      <c r="A595" s="205"/>
      <c r="B595" s="42"/>
      <c r="C595" s="150"/>
      <c r="D595" s="72"/>
      <c r="E595" s="150"/>
      <c r="F595" s="150"/>
      <c r="G595" s="72"/>
      <c r="H595" s="150"/>
      <c r="I595" s="72"/>
      <c r="J595" s="150"/>
      <c r="K595" s="151"/>
      <c r="L595" s="265"/>
      <c r="M595" s="265"/>
      <c r="N595" s="400"/>
      <c r="O595" s="400"/>
      <c r="P595" s="101"/>
      <c r="Q595" s="150"/>
      <c r="R595" s="405"/>
      <c r="S595" s="405"/>
      <c r="T595" s="405"/>
      <c r="U595" s="405"/>
      <c r="V595" s="405"/>
      <c r="W595" s="405"/>
      <c r="X595" s="405"/>
      <c r="Y595" s="405"/>
      <c r="Z595" s="405"/>
      <c r="AA595" s="405"/>
      <c r="AB595" s="405"/>
      <c r="AC595" s="405"/>
      <c r="AD595" s="405"/>
      <c r="AE595" s="405"/>
      <c r="AF595" s="405"/>
      <c r="AG595" s="405"/>
      <c r="AH595" s="405"/>
      <c r="AI595" s="405"/>
      <c r="AJ595" s="405"/>
      <c r="AK595" s="405"/>
      <c r="AL595" s="405"/>
      <c r="AM595" s="405"/>
      <c r="AN595" s="405"/>
      <c r="AO595" s="405"/>
      <c r="AP595" s="405"/>
      <c r="AQ595" s="405"/>
      <c r="AR595" s="405"/>
      <c r="AS595" s="405"/>
      <c r="AT595" s="405"/>
      <c r="AU595" s="405"/>
      <c r="AV595" s="405"/>
      <c r="AW595" s="405"/>
      <c r="AX595" s="405"/>
      <c r="AY595" s="405"/>
      <c r="AZ595" s="405"/>
      <c r="BA595" s="405"/>
      <c r="BB595" s="405"/>
      <c r="BC595" s="405"/>
      <c r="BD595" s="405"/>
      <c r="BE595" s="405"/>
      <c r="BF595" s="405"/>
      <c r="BG595" s="405"/>
      <c r="BH595" s="405"/>
      <c r="BI595" s="405"/>
      <c r="BJ595" s="405"/>
      <c r="BK595" s="407"/>
      <c r="BL595" s="407"/>
      <c r="BM595" s="407"/>
      <c r="BN595" s="408"/>
      <c r="BO595" s="408"/>
      <c r="BP595" s="408"/>
      <c r="BQ595" s="405"/>
      <c r="BR595" s="405"/>
      <c r="BS595" s="405"/>
      <c r="BT595" s="405"/>
      <c r="BU595" s="405"/>
      <c r="BV595" s="405"/>
      <c r="BW595" s="406"/>
      <c r="BX595" s="406"/>
      <c r="BY595" s="406"/>
      <c r="BZ595" s="409"/>
      <c r="CA595" s="409"/>
      <c r="CB595" s="409"/>
    </row>
    <row r="596" spans="1:80" ht="30" customHeight="1" x14ac:dyDescent="0.2">
      <c r="A596" s="205"/>
      <c r="B596" s="42"/>
      <c r="C596" s="713"/>
      <c r="D596" s="707"/>
      <c r="E596" s="713"/>
      <c r="F596" s="713"/>
      <c r="G596" s="219">
        <v>41</v>
      </c>
      <c r="H596" s="80" t="s">
        <v>774</v>
      </c>
      <c r="I596" s="80"/>
      <c r="J596" s="80"/>
      <c r="K596" s="128"/>
      <c r="L596" s="128"/>
      <c r="M596" s="128"/>
      <c r="N596" s="173"/>
      <c r="O596" s="173"/>
      <c r="P596" s="80"/>
      <c r="Q596" s="80"/>
      <c r="R596" s="267"/>
      <c r="S596" s="267"/>
      <c r="T596" s="267"/>
      <c r="U596" s="267"/>
      <c r="V596" s="267"/>
      <c r="W596" s="267"/>
      <c r="X596" s="267"/>
      <c r="Y596" s="267"/>
      <c r="Z596" s="267"/>
      <c r="AA596" s="267"/>
      <c r="AB596" s="267"/>
      <c r="AC596" s="267"/>
      <c r="AD596" s="267"/>
      <c r="AE596" s="267"/>
      <c r="AF596" s="267"/>
      <c r="AG596" s="267"/>
      <c r="AH596" s="267"/>
      <c r="AI596" s="267"/>
      <c r="AJ596" s="267"/>
      <c r="AK596" s="267"/>
      <c r="AL596" s="267"/>
      <c r="AM596" s="267"/>
      <c r="AN596" s="267"/>
      <c r="AO596" s="267"/>
      <c r="AP596" s="267"/>
      <c r="AQ596" s="267"/>
      <c r="AR596" s="267"/>
      <c r="AS596" s="267"/>
      <c r="AT596" s="267"/>
      <c r="AU596" s="267"/>
      <c r="AV596" s="267"/>
      <c r="AW596" s="267"/>
      <c r="AX596" s="267"/>
      <c r="AY596" s="267"/>
      <c r="AZ596" s="267"/>
      <c r="BA596" s="267"/>
      <c r="BB596" s="267"/>
      <c r="BC596" s="267"/>
      <c r="BD596" s="267"/>
      <c r="BE596" s="267"/>
      <c r="BF596" s="267"/>
      <c r="BG596" s="267"/>
      <c r="BH596" s="267"/>
      <c r="BI596" s="267"/>
      <c r="BJ596" s="267"/>
      <c r="BK596" s="414"/>
      <c r="BL596" s="414"/>
      <c r="BM596" s="414"/>
      <c r="BN596" s="267"/>
      <c r="BO596" s="267"/>
      <c r="BP596" s="267"/>
      <c r="BQ596" s="267"/>
      <c r="BR596" s="267"/>
      <c r="BS596" s="267"/>
      <c r="BT596" s="267"/>
      <c r="BU596" s="267"/>
      <c r="BV596" s="267"/>
      <c r="BW596" s="267"/>
      <c r="BX596" s="267"/>
      <c r="BY596" s="267"/>
      <c r="BZ596" s="269"/>
      <c r="CA596" s="269"/>
      <c r="CB596" s="269"/>
    </row>
    <row r="597" spans="1:80" ht="50.25" customHeight="1" x14ac:dyDescent="0.2">
      <c r="A597" s="205"/>
      <c r="B597" s="42"/>
      <c r="C597" s="883">
        <v>28</v>
      </c>
      <c r="D597" s="891" t="s">
        <v>775</v>
      </c>
      <c r="E597" s="894">
        <v>0.5</v>
      </c>
      <c r="F597" s="894">
        <v>1</v>
      </c>
      <c r="G597" s="895"/>
      <c r="H597" s="727">
        <v>147</v>
      </c>
      <c r="I597" s="729" t="s">
        <v>776</v>
      </c>
      <c r="J597" s="57">
        <v>14</v>
      </c>
      <c r="K597" s="107">
        <v>14</v>
      </c>
      <c r="L597" s="107">
        <v>5</v>
      </c>
      <c r="M597" s="884">
        <v>2017003630077</v>
      </c>
      <c r="N597" s="895" t="s">
        <v>714</v>
      </c>
      <c r="O597" s="895" t="s">
        <v>777</v>
      </c>
      <c r="P597" s="890" t="s">
        <v>1011</v>
      </c>
      <c r="Q597" s="57" t="s">
        <v>52</v>
      </c>
      <c r="R597" s="401">
        <v>0</v>
      </c>
      <c r="S597" s="401"/>
      <c r="T597" s="401"/>
      <c r="U597" s="401">
        <v>0</v>
      </c>
      <c r="V597" s="401"/>
      <c r="W597" s="401"/>
      <c r="X597" s="401">
        <v>0</v>
      </c>
      <c r="Y597" s="401"/>
      <c r="Z597" s="401"/>
      <c r="AA597" s="401">
        <v>0</v>
      </c>
      <c r="AB597" s="401"/>
      <c r="AC597" s="401"/>
      <c r="AD597" s="401">
        <v>0</v>
      </c>
      <c r="AE597" s="401"/>
      <c r="AF597" s="401"/>
      <c r="AG597" s="401">
        <v>0</v>
      </c>
      <c r="AH597" s="401"/>
      <c r="AI597" s="401"/>
      <c r="AJ597" s="401">
        <v>0</v>
      </c>
      <c r="AK597" s="401"/>
      <c r="AL597" s="401"/>
      <c r="AM597" s="401">
        <v>10000000</v>
      </c>
      <c r="AN597" s="401">
        <v>6400000</v>
      </c>
      <c r="AO597" s="401"/>
      <c r="AP597" s="402"/>
      <c r="AQ597" s="402"/>
      <c r="AR597" s="402"/>
      <c r="AS597" s="401">
        <v>0</v>
      </c>
      <c r="AT597" s="401"/>
      <c r="AU597" s="401"/>
      <c r="AV597" s="401">
        <v>0</v>
      </c>
      <c r="AW597" s="401"/>
      <c r="AX597" s="401"/>
      <c r="AY597" s="401"/>
      <c r="AZ597" s="401"/>
      <c r="BA597" s="401"/>
      <c r="BB597" s="401"/>
      <c r="BC597" s="401"/>
      <c r="BD597" s="401"/>
      <c r="BE597" s="401">
        <v>0</v>
      </c>
      <c r="BF597" s="401"/>
      <c r="BG597" s="401"/>
      <c r="BH597" s="401">
        <v>0</v>
      </c>
      <c r="BI597" s="401"/>
      <c r="BJ597" s="401"/>
      <c r="BK597" s="402">
        <v>0</v>
      </c>
      <c r="BL597" s="402"/>
      <c r="BM597" s="402"/>
      <c r="BN597" s="415"/>
      <c r="BO597" s="415"/>
      <c r="BP597" s="415"/>
      <c r="BQ597" s="401">
        <v>0</v>
      </c>
      <c r="BR597" s="403"/>
      <c r="BS597" s="403"/>
      <c r="BT597" s="403"/>
      <c r="BU597" s="403"/>
      <c r="BV597" s="403"/>
      <c r="BW597" s="403"/>
      <c r="BX597" s="403"/>
      <c r="BY597" s="403"/>
      <c r="BZ597" s="401">
        <f t="shared" ref="BZ597:CB598" si="266">R597+U597+X597+AA597+AD597+AG597+AJ597+AM597+AP597+AS597+AV597+AY597+BB597+BE597+BH597+BK597+BN597+BQ597+BT597+BW597</f>
        <v>10000000</v>
      </c>
      <c r="CA597" s="401">
        <f t="shared" si="266"/>
        <v>6400000</v>
      </c>
      <c r="CB597" s="401">
        <f t="shared" si="266"/>
        <v>0</v>
      </c>
    </row>
    <row r="598" spans="1:80" ht="50.25" customHeight="1" x14ac:dyDescent="0.2">
      <c r="A598" s="205"/>
      <c r="B598" s="42"/>
      <c r="C598" s="883"/>
      <c r="D598" s="891"/>
      <c r="E598" s="894"/>
      <c r="F598" s="894"/>
      <c r="G598" s="898"/>
      <c r="H598" s="727">
        <v>148</v>
      </c>
      <c r="I598" s="729" t="s">
        <v>779</v>
      </c>
      <c r="J598" s="57" t="s">
        <v>43</v>
      </c>
      <c r="K598" s="107">
        <v>11</v>
      </c>
      <c r="L598" s="107">
        <v>0</v>
      </c>
      <c r="M598" s="886"/>
      <c r="N598" s="898"/>
      <c r="O598" s="898"/>
      <c r="P598" s="892"/>
      <c r="Q598" s="57" t="s">
        <v>52</v>
      </c>
      <c r="R598" s="401">
        <v>0</v>
      </c>
      <c r="S598" s="401"/>
      <c r="T598" s="401"/>
      <c r="U598" s="401">
        <v>0</v>
      </c>
      <c r="V598" s="401"/>
      <c r="W598" s="401"/>
      <c r="X598" s="401">
        <v>0</v>
      </c>
      <c r="Y598" s="401"/>
      <c r="Z598" s="401"/>
      <c r="AA598" s="401">
        <v>0</v>
      </c>
      <c r="AB598" s="401"/>
      <c r="AC598" s="401"/>
      <c r="AD598" s="401">
        <v>0</v>
      </c>
      <c r="AE598" s="401"/>
      <c r="AF598" s="401"/>
      <c r="AG598" s="401">
        <v>0</v>
      </c>
      <c r="AH598" s="401"/>
      <c r="AI598" s="401"/>
      <c r="AJ598" s="401">
        <v>0</v>
      </c>
      <c r="AK598" s="401"/>
      <c r="AL598" s="401"/>
      <c r="AM598" s="401">
        <v>10000000</v>
      </c>
      <c r="AN598" s="401"/>
      <c r="AO598" s="401"/>
      <c r="AP598" s="402"/>
      <c r="AQ598" s="402"/>
      <c r="AR598" s="402"/>
      <c r="AS598" s="401">
        <v>0</v>
      </c>
      <c r="AT598" s="401"/>
      <c r="AU598" s="401"/>
      <c r="AV598" s="401">
        <v>0</v>
      </c>
      <c r="AW598" s="401"/>
      <c r="AX598" s="401"/>
      <c r="AY598" s="401"/>
      <c r="AZ598" s="401"/>
      <c r="BA598" s="401"/>
      <c r="BB598" s="401"/>
      <c r="BC598" s="401"/>
      <c r="BD598" s="401"/>
      <c r="BE598" s="401">
        <v>0</v>
      </c>
      <c r="BF598" s="401"/>
      <c r="BG598" s="401"/>
      <c r="BH598" s="401">
        <v>0</v>
      </c>
      <c r="BI598" s="401"/>
      <c r="BJ598" s="401"/>
      <c r="BK598" s="402">
        <v>0</v>
      </c>
      <c r="BL598" s="402"/>
      <c r="BM598" s="402"/>
      <c r="BN598" s="415"/>
      <c r="BO598" s="415"/>
      <c r="BP598" s="415"/>
      <c r="BQ598" s="401">
        <v>0</v>
      </c>
      <c r="BR598" s="403"/>
      <c r="BS598" s="403"/>
      <c r="BT598" s="403"/>
      <c r="BU598" s="403"/>
      <c r="BV598" s="403"/>
      <c r="BW598" s="403"/>
      <c r="BX598" s="403"/>
      <c r="BY598" s="403"/>
      <c r="BZ598" s="401">
        <f t="shared" si="266"/>
        <v>10000000</v>
      </c>
      <c r="CA598" s="401">
        <f t="shared" si="266"/>
        <v>0</v>
      </c>
      <c r="CB598" s="401">
        <f t="shared" si="266"/>
        <v>0</v>
      </c>
    </row>
    <row r="599" spans="1:80" ht="30" customHeight="1" x14ac:dyDescent="0.2">
      <c r="A599" s="205"/>
      <c r="B599" s="42"/>
      <c r="C599" s="714"/>
      <c r="D599" s="709"/>
      <c r="E599" s="714"/>
      <c r="F599" s="714"/>
      <c r="G599" s="58"/>
      <c r="H599" s="59"/>
      <c r="I599" s="58"/>
      <c r="J599" s="59"/>
      <c r="K599" s="136"/>
      <c r="L599" s="136"/>
      <c r="M599" s="136"/>
      <c r="N599" s="59"/>
      <c r="O599" s="59"/>
      <c r="P599" s="58"/>
      <c r="Q599" s="59"/>
      <c r="R599" s="410">
        <f t="shared" ref="R599:CB599" si="267">SUM(R597:R598)</f>
        <v>0</v>
      </c>
      <c r="S599" s="410">
        <f t="shared" si="267"/>
        <v>0</v>
      </c>
      <c r="T599" s="410">
        <f t="shared" si="267"/>
        <v>0</v>
      </c>
      <c r="U599" s="410">
        <f t="shared" si="267"/>
        <v>0</v>
      </c>
      <c r="V599" s="410">
        <f t="shared" si="267"/>
        <v>0</v>
      </c>
      <c r="W599" s="410">
        <f t="shared" si="267"/>
        <v>0</v>
      </c>
      <c r="X599" s="410">
        <f t="shared" si="267"/>
        <v>0</v>
      </c>
      <c r="Y599" s="410">
        <f t="shared" si="267"/>
        <v>0</v>
      </c>
      <c r="Z599" s="410">
        <f t="shared" si="267"/>
        <v>0</v>
      </c>
      <c r="AA599" s="410">
        <f t="shared" si="267"/>
        <v>0</v>
      </c>
      <c r="AB599" s="410">
        <f t="shared" si="267"/>
        <v>0</v>
      </c>
      <c r="AC599" s="410">
        <f t="shared" si="267"/>
        <v>0</v>
      </c>
      <c r="AD599" s="410">
        <f t="shared" si="267"/>
        <v>0</v>
      </c>
      <c r="AE599" s="410">
        <f t="shared" si="267"/>
        <v>0</v>
      </c>
      <c r="AF599" s="410">
        <f t="shared" si="267"/>
        <v>0</v>
      </c>
      <c r="AG599" s="410">
        <f t="shared" si="267"/>
        <v>0</v>
      </c>
      <c r="AH599" s="410">
        <f t="shared" si="267"/>
        <v>0</v>
      </c>
      <c r="AI599" s="410">
        <f t="shared" si="267"/>
        <v>0</v>
      </c>
      <c r="AJ599" s="410">
        <f t="shared" si="267"/>
        <v>0</v>
      </c>
      <c r="AK599" s="410">
        <f t="shared" si="267"/>
        <v>0</v>
      </c>
      <c r="AL599" s="410">
        <f t="shared" si="267"/>
        <v>0</v>
      </c>
      <c r="AM599" s="410">
        <f t="shared" si="267"/>
        <v>20000000</v>
      </c>
      <c r="AN599" s="410">
        <f t="shared" si="267"/>
        <v>6400000</v>
      </c>
      <c r="AO599" s="410">
        <f t="shared" si="267"/>
        <v>0</v>
      </c>
      <c r="AP599" s="410">
        <f t="shared" si="267"/>
        <v>0</v>
      </c>
      <c r="AQ599" s="410">
        <f t="shared" si="267"/>
        <v>0</v>
      </c>
      <c r="AR599" s="410">
        <f t="shared" si="267"/>
        <v>0</v>
      </c>
      <c r="AS599" s="410">
        <f t="shared" si="267"/>
        <v>0</v>
      </c>
      <c r="AT599" s="410">
        <f t="shared" si="267"/>
        <v>0</v>
      </c>
      <c r="AU599" s="410">
        <f t="shared" si="267"/>
        <v>0</v>
      </c>
      <c r="AV599" s="410">
        <f t="shared" si="267"/>
        <v>0</v>
      </c>
      <c r="AW599" s="410">
        <f t="shared" si="267"/>
        <v>0</v>
      </c>
      <c r="AX599" s="410">
        <f t="shared" si="267"/>
        <v>0</v>
      </c>
      <c r="AY599" s="410">
        <f t="shared" si="267"/>
        <v>0</v>
      </c>
      <c r="AZ599" s="410">
        <f t="shared" si="267"/>
        <v>0</v>
      </c>
      <c r="BA599" s="410">
        <f t="shared" si="267"/>
        <v>0</v>
      </c>
      <c r="BB599" s="410">
        <f t="shared" si="267"/>
        <v>0</v>
      </c>
      <c r="BC599" s="410">
        <f t="shared" si="267"/>
        <v>0</v>
      </c>
      <c r="BD599" s="410">
        <f t="shared" si="267"/>
        <v>0</v>
      </c>
      <c r="BE599" s="410">
        <f t="shared" si="267"/>
        <v>0</v>
      </c>
      <c r="BF599" s="410">
        <f t="shared" si="267"/>
        <v>0</v>
      </c>
      <c r="BG599" s="410">
        <f t="shared" si="267"/>
        <v>0</v>
      </c>
      <c r="BH599" s="410">
        <f t="shared" si="267"/>
        <v>0</v>
      </c>
      <c r="BI599" s="410">
        <f t="shared" si="267"/>
        <v>0</v>
      </c>
      <c r="BJ599" s="410">
        <f t="shared" si="267"/>
        <v>0</v>
      </c>
      <c r="BK599" s="410">
        <f t="shared" si="267"/>
        <v>0</v>
      </c>
      <c r="BL599" s="410">
        <f t="shared" si="267"/>
        <v>0</v>
      </c>
      <c r="BM599" s="410">
        <f t="shared" si="267"/>
        <v>0</v>
      </c>
      <c r="BN599" s="410">
        <f t="shared" si="267"/>
        <v>0</v>
      </c>
      <c r="BO599" s="410">
        <f t="shared" si="267"/>
        <v>0</v>
      </c>
      <c r="BP599" s="410">
        <f t="shared" si="267"/>
        <v>0</v>
      </c>
      <c r="BQ599" s="410">
        <f t="shared" si="267"/>
        <v>0</v>
      </c>
      <c r="BR599" s="410">
        <f t="shared" si="267"/>
        <v>0</v>
      </c>
      <c r="BS599" s="410">
        <f t="shared" si="267"/>
        <v>0</v>
      </c>
      <c r="BT599" s="410">
        <f t="shared" si="267"/>
        <v>0</v>
      </c>
      <c r="BU599" s="410">
        <f t="shared" si="267"/>
        <v>0</v>
      </c>
      <c r="BV599" s="410">
        <f t="shared" si="267"/>
        <v>0</v>
      </c>
      <c r="BW599" s="410">
        <f t="shared" si="267"/>
        <v>0</v>
      </c>
      <c r="BX599" s="410">
        <f t="shared" si="267"/>
        <v>0</v>
      </c>
      <c r="BY599" s="410">
        <f t="shared" si="267"/>
        <v>0</v>
      </c>
      <c r="BZ599" s="410">
        <f t="shared" si="267"/>
        <v>20000000</v>
      </c>
      <c r="CA599" s="410">
        <f t="shared" si="267"/>
        <v>6400000</v>
      </c>
      <c r="CB599" s="410">
        <f t="shared" si="267"/>
        <v>0</v>
      </c>
    </row>
    <row r="600" spans="1:80" ht="30" customHeight="1" x14ac:dyDescent="0.2">
      <c r="A600" s="205"/>
      <c r="B600" s="42"/>
      <c r="C600" s="150"/>
      <c r="D600" s="72"/>
      <c r="E600" s="150"/>
      <c r="F600" s="150"/>
      <c r="G600" s="72"/>
      <c r="H600" s="150"/>
      <c r="I600" s="72"/>
      <c r="J600" s="150"/>
      <c r="K600" s="151"/>
      <c r="L600" s="265"/>
      <c r="M600" s="265"/>
      <c r="N600" s="400"/>
      <c r="O600" s="400"/>
      <c r="P600" s="101"/>
      <c r="Q600" s="150"/>
      <c r="R600" s="405"/>
      <c r="S600" s="405"/>
      <c r="T600" s="405"/>
      <c r="U600" s="405"/>
      <c r="V600" s="405"/>
      <c r="W600" s="405"/>
      <c r="X600" s="405"/>
      <c r="Y600" s="405"/>
      <c r="Z600" s="405"/>
      <c r="AA600" s="405"/>
      <c r="AB600" s="405"/>
      <c r="AC600" s="405"/>
      <c r="AD600" s="405"/>
      <c r="AE600" s="405"/>
      <c r="AF600" s="405"/>
      <c r="AG600" s="405"/>
      <c r="AH600" s="405"/>
      <c r="AI600" s="405"/>
      <c r="AJ600" s="405"/>
      <c r="AK600" s="405"/>
      <c r="AL600" s="405"/>
      <c r="AM600" s="405"/>
      <c r="AN600" s="405"/>
      <c r="AO600" s="405"/>
      <c r="AP600" s="405"/>
      <c r="AQ600" s="405"/>
      <c r="AR600" s="405"/>
      <c r="AS600" s="405"/>
      <c r="AT600" s="405"/>
      <c r="AU600" s="405"/>
      <c r="AV600" s="405"/>
      <c r="AW600" s="405"/>
      <c r="AX600" s="405"/>
      <c r="AY600" s="405"/>
      <c r="AZ600" s="405"/>
      <c r="BA600" s="405"/>
      <c r="BB600" s="405"/>
      <c r="BC600" s="405"/>
      <c r="BD600" s="405"/>
      <c r="BE600" s="405"/>
      <c r="BF600" s="405"/>
      <c r="BG600" s="405"/>
      <c r="BH600" s="405"/>
      <c r="BI600" s="405"/>
      <c r="BJ600" s="405"/>
      <c r="BK600" s="407"/>
      <c r="BL600" s="407"/>
      <c r="BM600" s="407"/>
      <c r="BN600" s="408"/>
      <c r="BO600" s="408"/>
      <c r="BP600" s="408"/>
      <c r="BQ600" s="405"/>
      <c r="BR600" s="405"/>
      <c r="BS600" s="405"/>
      <c r="BT600" s="405"/>
      <c r="BU600" s="405"/>
      <c r="BV600" s="405"/>
      <c r="BW600" s="405"/>
      <c r="BX600" s="405"/>
      <c r="BY600" s="405"/>
      <c r="BZ600" s="409"/>
      <c r="CA600" s="409"/>
      <c r="CB600" s="409"/>
    </row>
    <row r="601" spans="1:80" ht="30" customHeight="1" x14ac:dyDescent="0.2">
      <c r="A601" s="205"/>
      <c r="B601" s="42"/>
      <c r="C601" s="713"/>
      <c r="D601" s="707"/>
      <c r="E601" s="713"/>
      <c r="F601" s="713"/>
      <c r="G601" s="219">
        <v>42</v>
      </c>
      <c r="H601" s="80" t="s">
        <v>780</v>
      </c>
      <c r="I601" s="80"/>
      <c r="J601" s="80"/>
      <c r="K601" s="128"/>
      <c r="L601" s="128"/>
      <c r="M601" s="128"/>
      <c r="N601" s="173"/>
      <c r="O601" s="173"/>
      <c r="P601" s="80"/>
      <c r="Q601" s="80"/>
      <c r="R601" s="267"/>
      <c r="S601" s="267"/>
      <c r="T601" s="267"/>
      <c r="U601" s="267"/>
      <c r="V601" s="267"/>
      <c r="W601" s="267"/>
      <c r="X601" s="267"/>
      <c r="Y601" s="267"/>
      <c r="Z601" s="267"/>
      <c r="AA601" s="267"/>
      <c r="AB601" s="267"/>
      <c r="AC601" s="267"/>
      <c r="AD601" s="267"/>
      <c r="AE601" s="267"/>
      <c r="AF601" s="267"/>
      <c r="AG601" s="267"/>
      <c r="AH601" s="267"/>
      <c r="AI601" s="267"/>
      <c r="AJ601" s="267"/>
      <c r="AK601" s="267"/>
      <c r="AL601" s="267"/>
      <c r="AM601" s="267"/>
      <c r="AN601" s="267"/>
      <c r="AO601" s="267"/>
      <c r="AP601" s="267"/>
      <c r="AQ601" s="267"/>
      <c r="AR601" s="267"/>
      <c r="AS601" s="267"/>
      <c r="AT601" s="267"/>
      <c r="AU601" s="267"/>
      <c r="AV601" s="267"/>
      <c r="AW601" s="267"/>
      <c r="AX601" s="267"/>
      <c r="AY601" s="267"/>
      <c r="AZ601" s="267"/>
      <c r="BA601" s="267"/>
      <c r="BB601" s="267"/>
      <c r="BC601" s="267"/>
      <c r="BD601" s="267"/>
      <c r="BE601" s="267"/>
      <c r="BF601" s="267"/>
      <c r="BG601" s="267"/>
      <c r="BH601" s="267"/>
      <c r="BI601" s="267"/>
      <c r="BJ601" s="267"/>
      <c r="BK601" s="414"/>
      <c r="BL601" s="414"/>
      <c r="BM601" s="414"/>
      <c r="BN601" s="267"/>
      <c r="BO601" s="267"/>
      <c r="BP601" s="267"/>
      <c r="BQ601" s="267"/>
      <c r="BR601" s="267"/>
      <c r="BS601" s="267"/>
      <c r="BT601" s="267"/>
      <c r="BU601" s="267"/>
      <c r="BV601" s="267"/>
      <c r="BW601" s="267"/>
      <c r="BX601" s="267"/>
      <c r="BY601" s="267"/>
      <c r="BZ601" s="269"/>
      <c r="CA601" s="269"/>
      <c r="CB601" s="269"/>
    </row>
    <row r="602" spans="1:80" ht="75.75" customHeight="1" x14ac:dyDescent="0.2">
      <c r="A602" s="205"/>
      <c r="B602" s="42"/>
      <c r="C602" s="702" t="s">
        <v>748</v>
      </c>
      <c r="D602" s="49" t="s">
        <v>781</v>
      </c>
      <c r="E602" s="702" t="s">
        <v>782</v>
      </c>
      <c r="F602" s="702" t="s">
        <v>783</v>
      </c>
      <c r="G602" s="888"/>
      <c r="H602" s="44">
        <v>149</v>
      </c>
      <c r="I602" s="729" t="s">
        <v>784</v>
      </c>
      <c r="J602" s="57" t="s">
        <v>43</v>
      </c>
      <c r="K602" s="107">
        <v>8</v>
      </c>
      <c r="L602" s="107">
        <v>8</v>
      </c>
      <c r="M602" s="884">
        <v>2017003630100</v>
      </c>
      <c r="N602" s="895" t="s">
        <v>714</v>
      </c>
      <c r="O602" s="895" t="s">
        <v>785</v>
      </c>
      <c r="P602" s="891" t="s">
        <v>1012</v>
      </c>
      <c r="Q602" s="57" t="s">
        <v>52</v>
      </c>
      <c r="R602" s="401"/>
      <c r="S602" s="401"/>
      <c r="T602" s="401"/>
      <c r="U602" s="401"/>
      <c r="V602" s="401"/>
      <c r="W602" s="401"/>
      <c r="X602" s="401"/>
      <c r="Y602" s="401"/>
      <c r="Z602" s="401"/>
      <c r="AA602" s="401"/>
      <c r="AB602" s="401"/>
      <c r="AC602" s="401"/>
      <c r="AD602" s="401"/>
      <c r="AE602" s="401"/>
      <c r="AF602" s="401"/>
      <c r="AG602" s="401"/>
      <c r="AH602" s="401"/>
      <c r="AI602" s="401"/>
      <c r="AJ602" s="401"/>
      <c r="AK602" s="401"/>
      <c r="AL602" s="401"/>
      <c r="AM602" s="401">
        <v>30000000</v>
      </c>
      <c r="AN602" s="401">
        <v>28560000</v>
      </c>
      <c r="AO602" s="401">
        <v>23760000</v>
      </c>
      <c r="AP602" s="402"/>
      <c r="AQ602" s="402"/>
      <c r="AR602" s="402"/>
      <c r="AS602" s="401">
        <v>3000000</v>
      </c>
      <c r="AT602" s="401"/>
      <c r="AU602" s="401"/>
      <c r="AV602" s="401"/>
      <c r="AW602" s="401"/>
      <c r="AX602" s="401"/>
      <c r="AY602" s="401"/>
      <c r="AZ602" s="401"/>
      <c r="BA602" s="401"/>
      <c r="BB602" s="401"/>
      <c r="BC602" s="401"/>
      <c r="BD602" s="401"/>
      <c r="BE602" s="401"/>
      <c r="BF602" s="401"/>
      <c r="BG602" s="401"/>
      <c r="BH602" s="401"/>
      <c r="BI602" s="401"/>
      <c r="BJ602" s="401"/>
      <c r="BK602" s="402"/>
      <c r="BL602" s="402"/>
      <c r="BM602" s="402"/>
      <c r="BN602" s="415"/>
      <c r="BO602" s="415"/>
      <c r="BP602" s="415"/>
      <c r="BQ602" s="401"/>
      <c r="BR602" s="403"/>
      <c r="BS602" s="403"/>
      <c r="BT602" s="403"/>
      <c r="BU602" s="403"/>
      <c r="BV602" s="403"/>
      <c r="BW602" s="403"/>
      <c r="BX602" s="403"/>
      <c r="BY602" s="403"/>
      <c r="BZ602" s="401">
        <f t="shared" ref="BZ602:CB603" si="268">R602+U602+X602+AA602+AD602+AG602+AJ602+AM602+AP602+AS602+AV602+AY602+BB602+BE602+BH602+BK602+BN602+BQ602+BT602+BW602</f>
        <v>33000000</v>
      </c>
      <c r="CA602" s="401">
        <f t="shared" si="268"/>
        <v>28560000</v>
      </c>
      <c r="CB602" s="401">
        <f t="shared" si="268"/>
        <v>23760000</v>
      </c>
    </row>
    <row r="603" spans="1:80" ht="75.75" customHeight="1" x14ac:dyDescent="0.2">
      <c r="A603" s="205"/>
      <c r="B603" s="42"/>
      <c r="C603" s="702">
        <v>28</v>
      </c>
      <c r="D603" s="49" t="s">
        <v>787</v>
      </c>
      <c r="E603" s="712">
        <v>0.5</v>
      </c>
      <c r="F603" s="712">
        <v>1</v>
      </c>
      <c r="G603" s="889"/>
      <c r="H603" s="44">
        <v>150</v>
      </c>
      <c r="I603" s="729" t="s">
        <v>788</v>
      </c>
      <c r="J603" s="57">
        <v>0</v>
      </c>
      <c r="K603" s="107">
        <v>14</v>
      </c>
      <c r="L603" s="718">
        <v>14</v>
      </c>
      <c r="M603" s="886"/>
      <c r="N603" s="898"/>
      <c r="O603" s="898"/>
      <c r="P603" s="892"/>
      <c r="Q603" s="57" t="s">
        <v>52</v>
      </c>
      <c r="R603" s="401">
        <v>0</v>
      </c>
      <c r="S603" s="401"/>
      <c r="T603" s="401"/>
      <c r="U603" s="401">
        <v>0</v>
      </c>
      <c r="V603" s="401"/>
      <c r="W603" s="401"/>
      <c r="X603" s="401">
        <v>0</v>
      </c>
      <c r="Y603" s="401"/>
      <c r="Z603" s="401"/>
      <c r="AA603" s="401">
        <v>0</v>
      </c>
      <c r="AB603" s="401"/>
      <c r="AC603" s="401"/>
      <c r="AD603" s="401">
        <v>0</v>
      </c>
      <c r="AE603" s="401"/>
      <c r="AF603" s="401"/>
      <c r="AG603" s="401">
        <v>0</v>
      </c>
      <c r="AH603" s="401"/>
      <c r="AI603" s="401"/>
      <c r="AJ603" s="401">
        <v>0</v>
      </c>
      <c r="AK603" s="401"/>
      <c r="AL603" s="401"/>
      <c r="AM603" s="401">
        <v>30000000</v>
      </c>
      <c r="AN603" s="401">
        <v>27840000</v>
      </c>
      <c r="AO603" s="401">
        <v>19920000</v>
      </c>
      <c r="AP603" s="402"/>
      <c r="AQ603" s="402"/>
      <c r="AR603" s="402"/>
      <c r="AS603" s="401">
        <v>0</v>
      </c>
      <c r="AT603" s="401"/>
      <c r="AU603" s="401"/>
      <c r="AV603" s="401">
        <v>0</v>
      </c>
      <c r="AW603" s="401"/>
      <c r="AX603" s="401"/>
      <c r="AY603" s="401"/>
      <c r="AZ603" s="401"/>
      <c r="BA603" s="401"/>
      <c r="BB603" s="401"/>
      <c r="BC603" s="401"/>
      <c r="BD603" s="401"/>
      <c r="BE603" s="401">
        <v>0</v>
      </c>
      <c r="BF603" s="401"/>
      <c r="BG603" s="401"/>
      <c r="BH603" s="401">
        <v>0</v>
      </c>
      <c r="BI603" s="401"/>
      <c r="BJ603" s="401"/>
      <c r="BK603" s="402">
        <v>0</v>
      </c>
      <c r="BL603" s="402"/>
      <c r="BM603" s="402"/>
      <c r="BN603" s="415"/>
      <c r="BO603" s="415"/>
      <c r="BP603" s="415"/>
      <c r="BQ603" s="401">
        <v>0</v>
      </c>
      <c r="BR603" s="403"/>
      <c r="BS603" s="403"/>
      <c r="BT603" s="403"/>
      <c r="BU603" s="403"/>
      <c r="BV603" s="403"/>
      <c r="BW603" s="403"/>
      <c r="BX603" s="403"/>
      <c r="BY603" s="403"/>
      <c r="BZ603" s="401">
        <f t="shared" si="268"/>
        <v>30000000</v>
      </c>
      <c r="CA603" s="401">
        <f t="shared" si="268"/>
        <v>27840000</v>
      </c>
      <c r="CB603" s="401">
        <f t="shared" si="268"/>
        <v>19920000</v>
      </c>
    </row>
    <row r="604" spans="1:80" ht="30" customHeight="1" x14ac:dyDescent="0.2">
      <c r="A604" s="205"/>
      <c r="B604" s="42"/>
      <c r="C604" s="714"/>
      <c r="D604" s="709"/>
      <c r="E604" s="714"/>
      <c r="F604" s="714"/>
      <c r="G604" s="188"/>
      <c r="H604" s="60"/>
      <c r="I604" s="58"/>
      <c r="J604" s="59"/>
      <c r="K604" s="136"/>
      <c r="L604" s="136"/>
      <c r="M604" s="136"/>
      <c r="N604" s="59"/>
      <c r="O604" s="59"/>
      <c r="P604" s="58"/>
      <c r="Q604" s="59"/>
      <c r="R604" s="410">
        <f t="shared" ref="R604:CB604" si="269">SUM(R602:R603)</f>
        <v>0</v>
      </c>
      <c r="S604" s="410">
        <f t="shared" si="269"/>
        <v>0</v>
      </c>
      <c r="T604" s="410">
        <f t="shared" si="269"/>
        <v>0</v>
      </c>
      <c r="U604" s="410">
        <f t="shared" si="269"/>
        <v>0</v>
      </c>
      <c r="V604" s="410">
        <f t="shared" si="269"/>
        <v>0</v>
      </c>
      <c r="W604" s="410">
        <f t="shared" si="269"/>
        <v>0</v>
      </c>
      <c r="X604" s="410">
        <f t="shared" si="269"/>
        <v>0</v>
      </c>
      <c r="Y604" s="410">
        <f t="shared" si="269"/>
        <v>0</v>
      </c>
      <c r="Z604" s="410">
        <f t="shared" si="269"/>
        <v>0</v>
      </c>
      <c r="AA604" s="410">
        <f t="shared" si="269"/>
        <v>0</v>
      </c>
      <c r="AB604" s="410">
        <f t="shared" si="269"/>
        <v>0</v>
      </c>
      <c r="AC604" s="410">
        <f t="shared" si="269"/>
        <v>0</v>
      </c>
      <c r="AD604" s="410">
        <f t="shared" si="269"/>
        <v>0</v>
      </c>
      <c r="AE604" s="410">
        <f t="shared" si="269"/>
        <v>0</v>
      </c>
      <c r="AF604" s="410">
        <f t="shared" si="269"/>
        <v>0</v>
      </c>
      <c r="AG604" s="410">
        <f t="shared" si="269"/>
        <v>0</v>
      </c>
      <c r="AH604" s="410">
        <f t="shared" si="269"/>
        <v>0</v>
      </c>
      <c r="AI604" s="410">
        <f t="shared" si="269"/>
        <v>0</v>
      </c>
      <c r="AJ604" s="410">
        <f t="shared" si="269"/>
        <v>0</v>
      </c>
      <c r="AK604" s="410">
        <f t="shared" si="269"/>
        <v>0</v>
      </c>
      <c r="AL604" s="410">
        <f t="shared" si="269"/>
        <v>0</v>
      </c>
      <c r="AM604" s="410">
        <f t="shared" si="269"/>
        <v>60000000</v>
      </c>
      <c r="AN604" s="410">
        <f t="shared" si="269"/>
        <v>56400000</v>
      </c>
      <c r="AO604" s="410">
        <f t="shared" si="269"/>
        <v>43680000</v>
      </c>
      <c r="AP604" s="410">
        <f t="shared" si="269"/>
        <v>0</v>
      </c>
      <c r="AQ604" s="410">
        <f t="shared" si="269"/>
        <v>0</v>
      </c>
      <c r="AR604" s="410">
        <f t="shared" si="269"/>
        <v>0</v>
      </c>
      <c r="AS604" s="410">
        <f t="shared" si="269"/>
        <v>3000000</v>
      </c>
      <c r="AT604" s="410">
        <f t="shared" si="269"/>
        <v>0</v>
      </c>
      <c r="AU604" s="410">
        <f t="shared" si="269"/>
        <v>0</v>
      </c>
      <c r="AV604" s="410">
        <f t="shared" si="269"/>
        <v>0</v>
      </c>
      <c r="AW604" s="410">
        <f t="shared" si="269"/>
        <v>0</v>
      </c>
      <c r="AX604" s="410">
        <f t="shared" si="269"/>
        <v>0</v>
      </c>
      <c r="AY604" s="410">
        <f t="shared" si="269"/>
        <v>0</v>
      </c>
      <c r="AZ604" s="410">
        <f t="shared" si="269"/>
        <v>0</v>
      </c>
      <c r="BA604" s="410">
        <f t="shared" si="269"/>
        <v>0</v>
      </c>
      <c r="BB604" s="410">
        <f t="shared" si="269"/>
        <v>0</v>
      </c>
      <c r="BC604" s="410">
        <f t="shared" si="269"/>
        <v>0</v>
      </c>
      <c r="BD604" s="410">
        <f t="shared" si="269"/>
        <v>0</v>
      </c>
      <c r="BE604" s="410">
        <f t="shared" si="269"/>
        <v>0</v>
      </c>
      <c r="BF604" s="410">
        <f t="shared" si="269"/>
        <v>0</v>
      </c>
      <c r="BG604" s="410">
        <f t="shared" si="269"/>
        <v>0</v>
      </c>
      <c r="BH604" s="410">
        <f t="shared" si="269"/>
        <v>0</v>
      </c>
      <c r="BI604" s="410">
        <f t="shared" si="269"/>
        <v>0</v>
      </c>
      <c r="BJ604" s="410">
        <f t="shared" si="269"/>
        <v>0</v>
      </c>
      <c r="BK604" s="410">
        <f t="shared" si="269"/>
        <v>0</v>
      </c>
      <c r="BL604" s="410">
        <f t="shared" si="269"/>
        <v>0</v>
      </c>
      <c r="BM604" s="410">
        <f t="shared" si="269"/>
        <v>0</v>
      </c>
      <c r="BN604" s="410">
        <f t="shared" si="269"/>
        <v>0</v>
      </c>
      <c r="BO604" s="410">
        <f t="shared" si="269"/>
        <v>0</v>
      </c>
      <c r="BP604" s="410">
        <f t="shared" si="269"/>
        <v>0</v>
      </c>
      <c r="BQ604" s="410">
        <f t="shared" si="269"/>
        <v>0</v>
      </c>
      <c r="BR604" s="410">
        <f t="shared" si="269"/>
        <v>0</v>
      </c>
      <c r="BS604" s="410">
        <f t="shared" si="269"/>
        <v>0</v>
      </c>
      <c r="BT604" s="410">
        <f t="shared" si="269"/>
        <v>0</v>
      </c>
      <c r="BU604" s="410">
        <f t="shared" si="269"/>
        <v>0</v>
      </c>
      <c r="BV604" s="410">
        <f t="shared" si="269"/>
        <v>0</v>
      </c>
      <c r="BW604" s="410">
        <f t="shared" si="269"/>
        <v>0</v>
      </c>
      <c r="BX604" s="410">
        <f t="shared" si="269"/>
        <v>0</v>
      </c>
      <c r="BY604" s="410">
        <f t="shared" si="269"/>
        <v>0</v>
      </c>
      <c r="BZ604" s="410">
        <f t="shared" si="269"/>
        <v>63000000</v>
      </c>
      <c r="CA604" s="410">
        <f t="shared" si="269"/>
        <v>56400000</v>
      </c>
      <c r="CB604" s="410">
        <f t="shared" si="269"/>
        <v>43680000</v>
      </c>
    </row>
    <row r="605" spans="1:80" ht="30" customHeight="1" x14ac:dyDescent="0.2">
      <c r="A605" s="205"/>
      <c r="B605" s="42"/>
      <c r="C605" s="150"/>
      <c r="D605" s="72"/>
      <c r="E605" s="150"/>
      <c r="F605" s="150"/>
      <c r="G605" s="72"/>
      <c r="H605" s="150"/>
      <c r="I605" s="72"/>
      <c r="J605" s="150"/>
      <c r="K605" s="151"/>
      <c r="L605" s="265"/>
      <c r="M605" s="265"/>
      <c r="N605" s="400"/>
      <c r="O605" s="400"/>
      <c r="P605" s="101"/>
      <c r="Q605" s="150"/>
      <c r="R605" s="405"/>
      <c r="S605" s="405"/>
      <c r="T605" s="405"/>
      <c r="U605" s="405"/>
      <c r="V605" s="405"/>
      <c r="W605" s="405"/>
      <c r="X605" s="405"/>
      <c r="Y605" s="405"/>
      <c r="Z605" s="405"/>
      <c r="AA605" s="405"/>
      <c r="AB605" s="405"/>
      <c r="AC605" s="405"/>
      <c r="AD605" s="405"/>
      <c r="AE605" s="405"/>
      <c r="AF605" s="405"/>
      <c r="AG605" s="405"/>
      <c r="AH605" s="405"/>
      <c r="AI605" s="405"/>
      <c r="AJ605" s="405"/>
      <c r="AK605" s="405"/>
      <c r="AL605" s="405"/>
      <c r="AM605" s="405"/>
      <c r="AN605" s="405"/>
      <c r="AO605" s="405"/>
      <c r="AP605" s="405"/>
      <c r="AQ605" s="405"/>
      <c r="AR605" s="405"/>
      <c r="AS605" s="405"/>
      <c r="AT605" s="405"/>
      <c r="AU605" s="405"/>
      <c r="AV605" s="405"/>
      <c r="AW605" s="405"/>
      <c r="AX605" s="405"/>
      <c r="AY605" s="405"/>
      <c r="AZ605" s="405"/>
      <c r="BA605" s="405"/>
      <c r="BB605" s="405"/>
      <c r="BC605" s="405"/>
      <c r="BD605" s="405"/>
      <c r="BE605" s="405"/>
      <c r="BF605" s="405"/>
      <c r="BG605" s="405"/>
      <c r="BH605" s="405"/>
      <c r="BI605" s="405"/>
      <c r="BJ605" s="405"/>
      <c r="BK605" s="407"/>
      <c r="BL605" s="407"/>
      <c r="BM605" s="407"/>
      <c r="BN605" s="408"/>
      <c r="BO605" s="408"/>
      <c r="BP605" s="408"/>
      <c r="BQ605" s="405"/>
      <c r="BR605" s="405"/>
      <c r="BS605" s="405"/>
      <c r="BT605" s="405"/>
      <c r="BU605" s="405"/>
      <c r="BV605" s="405"/>
      <c r="BW605" s="406"/>
      <c r="BX605" s="406"/>
      <c r="BY605" s="406"/>
      <c r="BZ605" s="409"/>
      <c r="CA605" s="409"/>
      <c r="CB605" s="409"/>
    </row>
    <row r="606" spans="1:80" ht="30" customHeight="1" x14ac:dyDescent="0.2">
      <c r="A606" s="205"/>
      <c r="B606" s="205"/>
      <c r="C606" s="713"/>
      <c r="D606" s="707"/>
      <c r="E606" s="713"/>
      <c r="F606" s="713"/>
      <c r="G606" s="219">
        <v>43</v>
      </c>
      <c r="H606" s="80" t="s">
        <v>789</v>
      </c>
      <c r="I606" s="80"/>
      <c r="J606" s="80"/>
      <c r="K606" s="128"/>
      <c r="L606" s="128"/>
      <c r="M606" s="128"/>
      <c r="N606" s="173"/>
      <c r="O606" s="173"/>
      <c r="P606" s="80"/>
      <c r="Q606" s="80"/>
      <c r="R606" s="267"/>
      <c r="S606" s="267"/>
      <c r="T606" s="267"/>
      <c r="U606" s="267"/>
      <c r="V606" s="267"/>
      <c r="W606" s="267"/>
      <c r="X606" s="267"/>
      <c r="Y606" s="267"/>
      <c r="Z606" s="267"/>
      <c r="AA606" s="267"/>
      <c r="AB606" s="267"/>
      <c r="AC606" s="267"/>
      <c r="AD606" s="267"/>
      <c r="AE606" s="267"/>
      <c r="AF606" s="267"/>
      <c r="AG606" s="267"/>
      <c r="AH606" s="267"/>
      <c r="AI606" s="267"/>
      <c r="AJ606" s="267"/>
      <c r="AK606" s="267"/>
      <c r="AL606" s="267"/>
      <c r="AM606" s="267"/>
      <c r="AN606" s="267"/>
      <c r="AO606" s="267"/>
      <c r="AP606" s="267"/>
      <c r="AQ606" s="267"/>
      <c r="AR606" s="267"/>
      <c r="AS606" s="267"/>
      <c r="AT606" s="267"/>
      <c r="AU606" s="267"/>
      <c r="AV606" s="267"/>
      <c r="AW606" s="267"/>
      <c r="AX606" s="267"/>
      <c r="AY606" s="267"/>
      <c r="AZ606" s="267"/>
      <c r="BA606" s="267"/>
      <c r="BB606" s="267"/>
      <c r="BC606" s="267"/>
      <c r="BD606" s="267"/>
      <c r="BE606" s="267"/>
      <c r="BF606" s="267"/>
      <c r="BG606" s="267"/>
      <c r="BH606" s="267"/>
      <c r="BI606" s="267"/>
      <c r="BJ606" s="267"/>
      <c r="BK606" s="414"/>
      <c r="BL606" s="414"/>
      <c r="BM606" s="414"/>
      <c r="BN606" s="267"/>
      <c r="BO606" s="267"/>
      <c r="BP606" s="267"/>
      <c r="BQ606" s="267"/>
      <c r="BR606" s="267"/>
      <c r="BS606" s="267"/>
      <c r="BT606" s="267"/>
      <c r="BU606" s="267"/>
      <c r="BV606" s="267"/>
      <c r="BW606" s="267"/>
      <c r="BX606" s="267"/>
      <c r="BY606" s="267"/>
      <c r="BZ606" s="269"/>
      <c r="CA606" s="269"/>
      <c r="CB606" s="269"/>
    </row>
    <row r="607" spans="1:80" ht="90" customHeight="1" x14ac:dyDescent="0.2">
      <c r="A607" s="205"/>
      <c r="B607" s="205"/>
      <c r="C607" s="702" t="s">
        <v>748</v>
      </c>
      <c r="D607" s="883" t="s">
        <v>790</v>
      </c>
      <c r="E607" s="894">
        <v>0</v>
      </c>
      <c r="F607" s="894">
        <v>1</v>
      </c>
      <c r="G607" s="910"/>
      <c r="H607" s="57">
        <v>151</v>
      </c>
      <c r="I607" s="729" t="s">
        <v>791</v>
      </c>
      <c r="J607" s="57" t="s">
        <v>43</v>
      </c>
      <c r="K607" s="107">
        <v>12</v>
      </c>
      <c r="L607" s="107">
        <v>12</v>
      </c>
      <c r="M607" s="884">
        <v>2017003630068</v>
      </c>
      <c r="N607" s="895" t="s">
        <v>714</v>
      </c>
      <c r="O607" s="895" t="s">
        <v>792</v>
      </c>
      <c r="P607" s="895" t="s">
        <v>1013</v>
      </c>
      <c r="Q607" s="169" t="s">
        <v>52</v>
      </c>
      <c r="R607" s="401">
        <v>0</v>
      </c>
      <c r="S607" s="401"/>
      <c r="T607" s="401"/>
      <c r="U607" s="401">
        <v>0</v>
      </c>
      <c r="V607" s="401"/>
      <c r="W607" s="401"/>
      <c r="X607" s="401">
        <v>0</v>
      </c>
      <c r="Y607" s="401"/>
      <c r="Z607" s="401"/>
      <c r="AA607" s="401">
        <v>0</v>
      </c>
      <c r="AB607" s="401"/>
      <c r="AC607" s="401"/>
      <c r="AD607" s="401">
        <v>0</v>
      </c>
      <c r="AE607" s="401"/>
      <c r="AF607" s="401"/>
      <c r="AG607" s="401">
        <v>0</v>
      </c>
      <c r="AH607" s="401"/>
      <c r="AI607" s="401"/>
      <c r="AJ607" s="401">
        <v>0</v>
      </c>
      <c r="AK607" s="485"/>
      <c r="AL607" s="485"/>
      <c r="AM607" s="485">
        <f>42240000+18676711</f>
        <v>60916711</v>
      </c>
      <c r="AN607" s="485">
        <v>60066000</v>
      </c>
      <c r="AO607" s="485">
        <v>43980000</v>
      </c>
      <c r="AP607" s="485"/>
      <c r="AQ607" s="485"/>
      <c r="AR607" s="485"/>
      <c r="AS607" s="401">
        <v>10260000</v>
      </c>
      <c r="AT607" s="401">
        <v>8904000</v>
      </c>
      <c r="AU607" s="401">
        <v>2640000</v>
      </c>
      <c r="AV607" s="401"/>
      <c r="AW607" s="401"/>
      <c r="AX607" s="401"/>
      <c r="AY607" s="401"/>
      <c r="AZ607" s="401"/>
      <c r="BA607" s="401"/>
      <c r="BB607" s="401"/>
      <c r="BC607" s="401"/>
      <c r="BD607" s="401"/>
      <c r="BE607" s="401">
        <v>0</v>
      </c>
      <c r="BF607" s="401"/>
      <c r="BG607" s="401"/>
      <c r="BH607" s="401"/>
      <c r="BI607" s="401"/>
      <c r="BJ607" s="401"/>
      <c r="BK607" s="402">
        <v>60000000</v>
      </c>
      <c r="BL607" s="402">
        <v>51480000</v>
      </c>
      <c r="BM607" s="402">
        <v>31680000</v>
      </c>
      <c r="BN607" s="402"/>
      <c r="BO607" s="402"/>
      <c r="BP607" s="402"/>
      <c r="BQ607" s="401">
        <v>0</v>
      </c>
      <c r="BR607" s="401"/>
      <c r="BS607" s="401"/>
      <c r="BT607" s="401"/>
      <c r="BU607" s="401"/>
      <c r="BV607" s="401"/>
      <c r="BW607" s="401"/>
      <c r="BX607" s="401"/>
      <c r="BY607" s="401"/>
      <c r="BZ607" s="401">
        <f t="shared" ref="BZ607:CB609" si="270">R607+U607+X607+AA607+AD607+AG607+AJ607+AM607+AP607+AS607+AV607+AY607+BB607+BE607+BH607+BK607+BN607+BQ607+BT607+BW607</f>
        <v>131176711</v>
      </c>
      <c r="CA607" s="401">
        <f t="shared" si="270"/>
        <v>120450000</v>
      </c>
      <c r="CB607" s="401">
        <f t="shared" si="270"/>
        <v>78300000</v>
      </c>
    </row>
    <row r="608" spans="1:80" ht="57.75" customHeight="1" x14ac:dyDescent="0.2">
      <c r="A608" s="205"/>
      <c r="B608" s="205"/>
      <c r="C608" s="702"/>
      <c r="D608" s="883"/>
      <c r="E608" s="894"/>
      <c r="F608" s="894"/>
      <c r="G608" s="911"/>
      <c r="H608" s="57">
        <v>152</v>
      </c>
      <c r="I608" s="729" t="s">
        <v>794</v>
      </c>
      <c r="J608" s="57" t="s">
        <v>43</v>
      </c>
      <c r="K608" s="107">
        <v>1</v>
      </c>
      <c r="L608" s="107">
        <v>1</v>
      </c>
      <c r="M608" s="885"/>
      <c r="N608" s="883"/>
      <c r="O608" s="883"/>
      <c r="P608" s="883"/>
      <c r="Q608" s="169" t="s">
        <v>52</v>
      </c>
      <c r="R608" s="401">
        <v>0</v>
      </c>
      <c r="S608" s="401"/>
      <c r="T608" s="401"/>
      <c r="U608" s="401">
        <v>0</v>
      </c>
      <c r="V608" s="401"/>
      <c r="W608" s="401"/>
      <c r="X608" s="401">
        <v>0</v>
      </c>
      <c r="Y608" s="401"/>
      <c r="Z608" s="401"/>
      <c r="AA608" s="401">
        <v>0</v>
      </c>
      <c r="AB608" s="401"/>
      <c r="AC608" s="401"/>
      <c r="AD608" s="401">
        <v>0</v>
      </c>
      <c r="AE608" s="401"/>
      <c r="AF608" s="401"/>
      <c r="AG608" s="401">
        <v>0</v>
      </c>
      <c r="AH608" s="401"/>
      <c r="AI608" s="401"/>
      <c r="AJ608" s="401">
        <v>0</v>
      </c>
      <c r="AK608" s="401"/>
      <c r="AL608" s="401"/>
      <c r="AM608" s="401">
        <v>127760000</v>
      </c>
      <c r="AN608" s="401">
        <v>97500000</v>
      </c>
      <c r="AO608" s="401">
        <v>84300000</v>
      </c>
      <c r="AP608" s="402"/>
      <c r="AQ608" s="402"/>
      <c r="AR608" s="402"/>
      <c r="AS608" s="401">
        <v>34740000</v>
      </c>
      <c r="AT608" s="401">
        <v>32000000</v>
      </c>
      <c r="AU608" s="401">
        <v>5690000</v>
      </c>
      <c r="AV608" s="401"/>
      <c r="AW608" s="401"/>
      <c r="AX608" s="401"/>
      <c r="AY608" s="401"/>
      <c r="AZ608" s="401"/>
      <c r="BA608" s="401"/>
      <c r="BB608" s="401"/>
      <c r="BC608" s="401"/>
      <c r="BD608" s="401"/>
      <c r="BE608" s="401">
        <v>0</v>
      </c>
      <c r="BF608" s="401"/>
      <c r="BG608" s="401"/>
      <c r="BH608" s="401"/>
      <c r="BI608" s="401"/>
      <c r="BJ608" s="401"/>
      <c r="BK608" s="402"/>
      <c r="BL608" s="402"/>
      <c r="BM608" s="402"/>
      <c r="BN608" s="415"/>
      <c r="BO608" s="415"/>
      <c r="BP608" s="415"/>
      <c r="BQ608" s="401">
        <v>0</v>
      </c>
      <c r="BR608" s="403"/>
      <c r="BS608" s="403"/>
      <c r="BT608" s="403"/>
      <c r="BU608" s="403"/>
      <c r="BV608" s="403"/>
      <c r="BW608" s="403"/>
      <c r="BX608" s="403"/>
      <c r="BY608" s="403"/>
      <c r="BZ608" s="401">
        <f t="shared" si="270"/>
        <v>162500000</v>
      </c>
      <c r="CA608" s="401">
        <f t="shared" si="270"/>
        <v>129500000</v>
      </c>
      <c r="CB608" s="401">
        <f t="shared" si="270"/>
        <v>89990000</v>
      </c>
    </row>
    <row r="609" spans="1:80" ht="57.75" customHeight="1" x14ac:dyDescent="0.2">
      <c r="A609" s="205"/>
      <c r="B609" s="205"/>
      <c r="C609" s="713" t="s">
        <v>748</v>
      </c>
      <c r="D609" s="707" t="s">
        <v>795</v>
      </c>
      <c r="E609" s="731">
        <v>0</v>
      </c>
      <c r="F609" s="731">
        <v>1</v>
      </c>
      <c r="G609" s="720"/>
      <c r="H609" s="57">
        <v>153</v>
      </c>
      <c r="I609" s="729" t="s">
        <v>796</v>
      </c>
      <c r="J609" s="57" t="s">
        <v>43</v>
      </c>
      <c r="K609" s="107">
        <v>150</v>
      </c>
      <c r="L609" s="107">
        <v>110</v>
      </c>
      <c r="M609" s="886"/>
      <c r="N609" s="898"/>
      <c r="O609" s="898"/>
      <c r="P609" s="898"/>
      <c r="Q609" s="169" t="s">
        <v>52</v>
      </c>
      <c r="R609" s="401"/>
      <c r="S609" s="401"/>
      <c r="T609" s="401"/>
      <c r="U609" s="401"/>
      <c r="V609" s="401"/>
      <c r="W609" s="401"/>
      <c r="X609" s="401"/>
      <c r="Y609" s="401"/>
      <c r="Z609" s="401"/>
      <c r="AA609" s="401"/>
      <c r="AB609" s="401"/>
      <c r="AC609" s="401"/>
      <c r="AD609" s="401"/>
      <c r="AE609" s="401"/>
      <c r="AF609" s="401"/>
      <c r="AG609" s="401"/>
      <c r="AH609" s="401"/>
      <c r="AI609" s="401"/>
      <c r="AJ609" s="401"/>
      <c r="AK609" s="401"/>
      <c r="AL609" s="401"/>
      <c r="AM609" s="401">
        <v>0</v>
      </c>
      <c r="AN609" s="401"/>
      <c r="AO609" s="401"/>
      <c r="AP609" s="402"/>
      <c r="AQ609" s="402"/>
      <c r="AR609" s="402"/>
      <c r="AS609" s="401"/>
      <c r="AT609" s="401"/>
      <c r="AU609" s="401"/>
      <c r="AV609" s="401">
        <f>723669712+500977580</f>
        <v>1224647292</v>
      </c>
      <c r="AW609" s="401">
        <v>424400000</v>
      </c>
      <c r="AX609" s="401">
        <v>292275057</v>
      </c>
      <c r="AY609" s="401"/>
      <c r="AZ609" s="401"/>
      <c r="BA609" s="401"/>
      <c r="BB609" s="401"/>
      <c r="BC609" s="401"/>
      <c r="BD609" s="401"/>
      <c r="BE609" s="401"/>
      <c r="BF609" s="401"/>
      <c r="BG609" s="401"/>
      <c r="BH609" s="401"/>
      <c r="BI609" s="401"/>
      <c r="BJ609" s="401"/>
      <c r="BK609" s="402"/>
      <c r="BL609" s="402"/>
      <c r="BM609" s="402"/>
      <c r="BN609" s="415"/>
      <c r="BO609" s="415"/>
      <c r="BP609" s="415"/>
      <c r="BQ609" s="401"/>
      <c r="BR609" s="403"/>
      <c r="BS609" s="403"/>
      <c r="BT609" s="403"/>
      <c r="BU609" s="403"/>
      <c r="BV609" s="403"/>
      <c r="BW609" s="403"/>
      <c r="BX609" s="403"/>
      <c r="BY609" s="403"/>
      <c r="BZ609" s="401">
        <f t="shared" si="270"/>
        <v>1224647292</v>
      </c>
      <c r="CA609" s="401">
        <f t="shared" si="270"/>
        <v>424400000</v>
      </c>
      <c r="CB609" s="401">
        <f t="shared" si="270"/>
        <v>292275057</v>
      </c>
    </row>
    <row r="610" spans="1:80" ht="30" customHeight="1" x14ac:dyDescent="0.2">
      <c r="A610" s="205"/>
      <c r="B610" s="42"/>
      <c r="C610" s="714"/>
      <c r="D610" s="709"/>
      <c r="E610" s="714"/>
      <c r="F610" s="714"/>
      <c r="G610" s="58"/>
      <c r="H610" s="59"/>
      <c r="I610" s="58"/>
      <c r="J610" s="59"/>
      <c r="K610" s="113"/>
      <c r="L610" s="113"/>
      <c r="M610" s="113"/>
      <c r="N610" s="60"/>
      <c r="O610" s="59"/>
      <c r="P610" s="58"/>
      <c r="Q610" s="59"/>
      <c r="R610" s="410">
        <f t="shared" ref="R610:BY610" si="271">SUM(R607:R609)</f>
        <v>0</v>
      </c>
      <c r="S610" s="410">
        <f t="shared" si="271"/>
        <v>0</v>
      </c>
      <c r="T610" s="410">
        <f t="shared" si="271"/>
        <v>0</v>
      </c>
      <c r="U610" s="410">
        <f t="shared" si="271"/>
        <v>0</v>
      </c>
      <c r="V610" s="410">
        <f t="shared" si="271"/>
        <v>0</v>
      </c>
      <c r="W610" s="410">
        <f t="shared" si="271"/>
        <v>0</v>
      </c>
      <c r="X610" s="410">
        <f t="shared" si="271"/>
        <v>0</v>
      </c>
      <c r="Y610" s="410">
        <f t="shared" si="271"/>
        <v>0</v>
      </c>
      <c r="Z610" s="410">
        <f t="shared" si="271"/>
        <v>0</v>
      </c>
      <c r="AA610" s="410">
        <f t="shared" si="271"/>
        <v>0</v>
      </c>
      <c r="AB610" s="410">
        <f t="shared" si="271"/>
        <v>0</v>
      </c>
      <c r="AC610" s="410">
        <f t="shared" si="271"/>
        <v>0</v>
      </c>
      <c r="AD610" s="410">
        <f t="shared" si="271"/>
        <v>0</v>
      </c>
      <c r="AE610" s="410">
        <f t="shared" si="271"/>
        <v>0</v>
      </c>
      <c r="AF610" s="410">
        <f t="shared" si="271"/>
        <v>0</v>
      </c>
      <c r="AG610" s="410">
        <f t="shared" si="271"/>
        <v>0</v>
      </c>
      <c r="AH610" s="410">
        <f t="shared" si="271"/>
        <v>0</v>
      </c>
      <c r="AI610" s="410">
        <f t="shared" si="271"/>
        <v>0</v>
      </c>
      <c r="AJ610" s="410">
        <f t="shared" si="271"/>
        <v>0</v>
      </c>
      <c r="AK610" s="410">
        <f t="shared" si="271"/>
        <v>0</v>
      </c>
      <c r="AL610" s="410">
        <f t="shared" si="271"/>
        <v>0</v>
      </c>
      <c r="AM610" s="410">
        <f t="shared" si="271"/>
        <v>188676711</v>
      </c>
      <c r="AN610" s="410">
        <f t="shared" si="271"/>
        <v>157566000</v>
      </c>
      <c r="AO610" s="410">
        <f t="shared" si="271"/>
        <v>128280000</v>
      </c>
      <c r="AP610" s="410">
        <f t="shared" si="271"/>
        <v>0</v>
      </c>
      <c r="AQ610" s="410">
        <f t="shared" si="271"/>
        <v>0</v>
      </c>
      <c r="AR610" s="410">
        <f t="shared" si="271"/>
        <v>0</v>
      </c>
      <c r="AS610" s="410">
        <f t="shared" si="271"/>
        <v>45000000</v>
      </c>
      <c r="AT610" s="410">
        <f t="shared" si="271"/>
        <v>40904000</v>
      </c>
      <c r="AU610" s="410">
        <f t="shared" si="271"/>
        <v>8330000</v>
      </c>
      <c r="AV610" s="410">
        <f t="shared" si="271"/>
        <v>1224647292</v>
      </c>
      <c r="AW610" s="410">
        <f t="shared" si="271"/>
        <v>424400000</v>
      </c>
      <c r="AX610" s="410">
        <f t="shared" si="271"/>
        <v>292275057</v>
      </c>
      <c r="AY610" s="410">
        <f t="shared" si="271"/>
        <v>0</v>
      </c>
      <c r="AZ610" s="410">
        <f t="shared" si="271"/>
        <v>0</v>
      </c>
      <c r="BA610" s="410">
        <f t="shared" si="271"/>
        <v>0</v>
      </c>
      <c r="BB610" s="410">
        <f t="shared" si="271"/>
        <v>0</v>
      </c>
      <c r="BC610" s="410">
        <f t="shared" si="271"/>
        <v>0</v>
      </c>
      <c r="BD610" s="410">
        <f t="shared" si="271"/>
        <v>0</v>
      </c>
      <c r="BE610" s="410">
        <f t="shared" si="271"/>
        <v>0</v>
      </c>
      <c r="BF610" s="410">
        <f t="shared" si="271"/>
        <v>0</v>
      </c>
      <c r="BG610" s="410">
        <f t="shared" si="271"/>
        <v>0</v>
      </c>
      <c r="BH610" s="410">
        <f t="shared" si="271"/>
        <v>0</v>
      </c>
      <c r="BI610" s="410">
        <f t="shared" si="271"/>
        <v>0</v>
      </c>
      <c r="BJ610" s="410">
        <f t="shared" si="271"/>
        <v>0</v>
      </c>
      <c r="BK610" s="410">
        <f t="shared" si="271"/>
        <v>60000000</v>
      </c>
      <c r="BL610" s="410">
        <f t="shared" si="271"/>
        <v>51480000</v>
      </c>
      <c r="BM610" s="410">
        <f t="shared" si="271"/>
        <v>31680000</v>
      </c>
      <c r="BN610" s="410">
        <f t="shared" si="271"/>
        <v>0</v>
      </c>
      <c r="BO610" s="410">
        <f t="shared" si="271"/>
        <v>0</v>
      </c>
      <c r="BP610" s="410">
        <f t="shared" si="271"/>
        <v>0</v>
      </c>
      <c r="BQ610" s="410">
        <f t="shared" si="271"/>
        <v>0</v>
      </c>
      <c r="BR610" s="410">
        <f t="shared" si="271"/>
        <v>0</v>
      </c>
      <c r="BS610" s="410">
        <f t="shared" si="271"/>
        <v>0</v>
      </c>
      <c r="BT610" s="410">
        <f t="shared" si="271"/>
        <v>0</v>
      </c>
      <c r="BU610" s="410">
        <f t="shared" si="271"/>
        <v>0</v>
      </c>
      <c r="BV610" s="410">
        <f t="shared" si="271"/>
        <v>0</v>
      </c>
      <c r="BW610" s="410">
        <f t="shared" si="271"/>
        <v>0</v>
      </c>
      <c r="BX610" s="410">
        <f t="shared" si="271"/>
        <v>0</v>
      </c>
      <c r="BY610" s="410">
        <f t="shared" si="271"/>
        <v>0</v>
      </c>
      <c r="BZ610" s="410">
        <f>SUM(BZ607:BZ609)</f>
        <v>1518324003</v>
      </c>
      <c r="CA610" s="410">
        <f t="shared" ref="CA610:CB610" si="272">SUM(CA607:CA609)</f>
        <v>674350000</v>
      </c>
      <c r="CB610" s="410">
        <f t="shared" si="272"/>
        <v>460565057</v>
      </c>
    </row>
    <row r="611" spans="1:80" ht="30" customHeight="1" x14ac:dyDescent="0.2">
      <c r="A611" s="205"/>
      <c r="B611" s="42"/>
      <c r="C611" s="150"/>
      <c r="D611" s="72"/>
      <c r="E611" s="150"/>
      <c r="F611" s="150"/>
      <c r="G611" s="72"/>
      <c r="H611" s="150"/>
      <c r="I611" s="72"/>
      <c r="J611" s="150"/>
      <c r="K611" s="151"/>
      <c r="L611" s="265"/>
      <c r="M611" s="265"/>
      <c r="N611" s="400"/>
      <c r="O611" s="400"/>
      <c r="P611" s="101"/>
      <c r="Q611" s="150"/>
      <c r="R611" s="405"/>
      <c r="S611" s="405"/>
      <c r="T611" s="405"/>
      <c r="U611" s="405"/>
      <c r="V611" s="405"/>
      <c r="W611" s="405"/>
      <c r="X611" s="405"/>
      <c r="Y611" s="405"/>
      <c r="Z611" s="405"/>
      <c r="AA611" s="405"/>
      <c r="AB611" s="405"/>
      <c r="AC611" s="405"/>
      <c r="AD611" s="405"/>
      <c r="AE611" s="405"/>
      <c r="AF611" s="405"/>
      <c r="AG611" s="405"/>
      <c r="AH611" s="405"/>
      <c r="AI611" s="405"/>
      <c r="AJ611" s="405"/>
      <c r="AK611" s="405"/>
      <c r="AL611" s="405"/>
      <c r="AM611" s="405"/>
      <c r="AN611" s="405"/>
      <c r="AO611" s="405"/>
      <c r="AP611" s="405"/>
      <c r="AQ611" s="405"/>
      <c r="AR611" s="405"/>
      <c r="AS611" s="405"/>
      <c r="AT611" s="405"/>
      <c r="AU611" s="405"/>
      <c r="AV611" s="405"/>
      <c r="AW611" s="405"/>
      <c r="AX611" s="405"/>
      <c r="AY611" s="405"/>
      <c r="AZ611" s="405"/>
      <c r="BA611" s="405"/>
      <c r="BB611" s="405"/>
      <c r="BC611" s="405"/>
      <c r="BD611" s="405"/>
      <c r="BE611" s="405"/>
      <c r="BF611" s="405"/>
      <c r="BG611" s="405"/>
      <c r="BH611" s="405"/>
      <c r="BI611" s="405"/>
      <c r="BJ611" s="405"/>
      <c r="BK611" s="407" t="s">
        <v>69</v>
      </c>
      <c r="BL611" s="407"/>
      <c r="BM611" s="407"/>
      <c r="BN611" s="408"/>
      <c r="BO611" s="408"/>
      <c r="BP611" s="408"/>
      <c r="BQ611" s="405"/>
      <c r="BR611" s="405"/>
      <c r="BS611" s="405"/>
      <c r="BT611" s="405"/>
      <c r="BU611" s="405"/>
      <c r="BV611" s="405"/>
      <c r="BW611" s="405"/>
      <c r="BX611" s="405"/>
      <c r="BY611" s="405"/>
      <c r="BZ611" s="409"/>
      <c r="CA611" s="409"/>
      <c r="CB611" s="409"/>
    </row>
    <row r="612" spans="1:80" ht="30" customHeight="1" x14ac:dyDescent="0.2">
      <c r="A612" s="205"/>
      <c r="B612" s="42"/>
      <c r="C612" s="713"/>
      <c r="D612" s="707"/>
      <c r="E612" s="713"/>
      <c r="F612" s="713"/>
      <c r="G612" s="272">
        <v>44</v>
      </c>
      <c r="H612" s="80" t="s">
        <v>797</v>
      </c>
      <c r="I612" s="80"/>
      <c r="J612" s="80"/>
      <c r="K612" s="128"/>
      <c r="L612" s="128"/>
      <c r="M612" s="128"/>
      <c r="N612" s="173"/>
      <c r="O612" s="173"/>
      <c r="P612" s="80"/>
      <c r="Q612" s="80"/>
      <c r="R612" s="267"/>
      <c r="S612" s="267"/>
      <c r="T612" s="267"/>
      <c r="U612" s="267"/>
      <c r="V612" s="267"/>
      <c r="W612" s="267"/>
      <c r="X612" s="267"/>
      <c r="Y612" s="267"/>
      <c r="Z612" s="267"/>
      <c r="AA612" s="267"/>
      <c r="AB612" s="267"/>
      <c r="AC612" s="267"/>
      <c r="AD612" s="267"/>
      <c r="AE612" s="267"/>
      <c r="AF612" s="267"/>
      <c r="AG612" s="267"/>
      <c r="AH612" s="267"/>
      <c r="AI612" s="267"/>
      <c r="AJ612" s="267"/>
      <c r="AK612" s="267"/>
      <c r="AL612" s="267"/>
      <c r="AM612" s="267"/>
      <c r="AN612" s="267"/>
      <c r="AO612" s="267"/>
      <c r="AP612" s="267"/>
      <c r="AQ612" s="267"/>
      <c r="AR612" s="267"/>
      <c r="AS612" s="267"/>
      <c r="AT612" s="267"/>
      <c r="AU612" s="267"/>
      <c r="AV612" s="267"/>
      <c r="AW612" s="267"/>
      <c r="AX612" s="267"/>
      <c r="AY612" s="267"/>
      <c r="AZ612" s="267"/>
      <c r="BA612" s="267"/>
      <c r="BB612" s="267"/>
      <c r="BC612" s="267"/>
      <c r="BD612" s="267"/>
      <c r="BE612" s="267"/>
      <c r="BF612" s="267"/>
      <c r="BG612" s="267"/>
      <c r="BH612" s="267"/>
      <c r="BI612" s="267"/>
      <c r="BJ612" s="267"/>
      <c r="BK612" s="414"/>
      <c r="BL612" s="414"/>
      <c r="BM612" s="414"/>
      <c r="BN612" s="267"/>
      <c r="BO612" s="267"/>
      <c r="BP612" s="267"/>
      <c r="BQ612" s="267"/>
      <c r="BR612" s="267"/>
      <c r="BS612" s="267"/>
      <c r="BT612" s="267"/>
      <c r="BU612" s="267"/>
      <c r="BV612" s="267"/>
      <c r="BW612" s="267"/>
      <c r="BX612" s="267"/>
      <c r="BY612" s="267"/>
      <c r="BZ612" s="269"/>
      <c r="CA612" s="269"/>
      <c r="CB612" s="269"/>
    </row>
    <row r="613" spans="1:80" ht="69.75" customHeight="1" x14ac:dyDescent="0.2">
      <c r="A613" s="205"/>
      <c r="B613" s="205"/>
      <c r="C613" s="714">
        <v>37</v>
      </c>
      <c r="D613" s="709" t="s">
        <v>707</v>
      </c>
      <c r="E613" s="714" t="s">
        <v>73</v>
      </c>
      <c r="F613" s="715">
        <v>0.6</v>
      </c>
      <c r="G613" s="144"/>
      <c r="H613" s="57">
        <v>154</v>
      </c>
      <c r="I613" s="729" t="s">
        <v>798</v>
      </c>
      <c r="J613" s="57" t="s">
        <v>43</v>
      </c>
      <c r="K613" s="45">
        <v>5</v>
      </c>
      <c r="L613" s="45">
        <v>4</v>
      </c>
      <c r="M613" s="884">
        <v>2017003630107</v>
      </c>
      <c r="N613" s="887" t="s">
        <v>714</v>
      </c>
      <c r="O613" s="895" t="s">
        <v>799</v>
      </c>
      <c r="P613" s="890" t="s">
        <v>1014</v>
      </c>
      <c r="Q613" s="57" t="s">
        <v>52</v>
      </c>
      <c r="R613" s="401">
        <v>0</v>
      </c>
      <c r="S613" s="401"/>
      <c r="T613" s="401"/>
      <c r="U613" s="401">
        <v>0</v>
      </c>
      <c r="V613" s="401"/>
      <c r="W613" s="401"/>
      <c r="X613" s="401">
        <v>0</v>
      </c>
      <c r="Y613" s="401"/>
      <c r="Z613" s="401"/>
      <c r="AA613" s="401">
        <v>0</v>
      </c>
      <c r="AB613" s="401"/>
      <c r="AC613" s="401"/>
      <c r="AD613" s="401">
        <v>0</v>
      </c>
      <c r="AE613" s="401"/>
      <c r="AF613" s="401"/>
      <c r="AG613" s="401">
        <v>0</v>
      </c>
      <c r="AH613" s="401"/>
      <c r="AI613" s="401"/>
      <c r="AJ613" s="401">
        <v>0</v>
      </c>
      <c r="AK613" s="401"/>
      <c r="AL613" s="401"/>
      <c r="AM613" s="401">
        <f>80000000+6385271</f>
        <v>86385271</v>
      </c>
      <c r="AN613" s="401">
        <v>76564000</v>
      </c>
      <c r="AO613" s="401">
        <v>37950000</v>
      </c>
      <c r="AP613" s="402"/>
      <c r="AQ613" s="402"/>
      <c r="AR613" s="402"/>
      <c r="AS613" s="401">
        <v>0</v>
      </c>
      <c r="AT613" s="401"/>
      <c r="AU613" s="401"/>
      <c r="AV613" s="401">
        <v>0</v>
      </c>
      <c r="AW613" s="401"/>
      <c r="AX613" s="401"/>
      <c r="AY613" s="401"/>
      <c r="AZ613" s="401"/>
      <c r="BA613" s="401"/>
      <c r="BB613" s="401"/>
      <c r="BC613" s="401"/>
      <c r="BD613" s="401"/>
      <c r="BE613" s="401">
        <v>0</v>
      </c>
      <c r="BF613" s="401"/>
      <c r="BG613" s="401"/>
      <c r="BH613" s="401">
        <v>0</v>
      </c>
      <c r="BI613" s="401"/>
      <c r="BJ613" s="401"/>
      <c r="BK613" s="402">
        <v>0</v>
      </c>
      <c r="BL613" s="402"/>
      <c r="BM613" s="402"/>
      <c r="BN613" s="415"/>
      <c r="BO613" s="415"/>
      <c r="BP613" s="415"/>
      <c r="BQ613" s="401">
        <v>0</v>
      </c>
      <c r="BR613" s="403"/>
      <c r="BS613" s="403"/>
      <c r="BT613" s="403"/>
      <c r="BU613" s="403"/>
      <c r="BV613" s="403"/>
      <c r="BW613" s="403"/>
      <c r="BX613" s="403"/>
      <c r="BY613" s="403"/>
      <c r="BZ613" s="401">
        <f t="shared" ref="BZ613:CB616" si="273">R613+U613+X613+AA613+AD613+AG613+AJ613+AM613+AP613+AS613+AV613+AY613+BB613+BE613+BH613+BK613+BN613+BQ613+BT613+BW613</f>
        <v>86385271</v>
      </c>
      <c r="CA613" s="401">
        <f t="shared" si="273"/>
        <v>76564000</v>
      </c>
      <c r="CB613" s="401">
        <f t="shared" si="273"/>
        <v>37950000</v>
      </c>
    </row>
    <row r="614" spans="1:80" ht="69.75" customHeight="1" x14ac:dyDescent="0.2">
      <c r="A614" s="205"/>
      <c r="B614" s="205"/>
      <c r="C614" s="714">
        <v>13</v>
      </c>
      <c r="D614" s="709" t="s">
        <v>801</v>
      </c>
      <c r="E614" s="57">
        <v>71.040000000000006</v>
      </c>
      <c r="F614" s="263">
        <v>0.88170000000000004</v>
      </c>
      <c r="G614" s="144"/>
      <c r="H614" s="57">
        <v>155</v>
      </c>
      <c r="I614" s="729" t="s">
        <v>802</v>
      </c>
      <c r="J614" s="57">
        <v>0</v>
      </c>
      <c r="K614" s="45">
        <v>1</v>
      </c>
      <c r="L614" s="45">
        <v>1</v>
      </c>
      <c r="M614" s="885"/>
      <c r="N614" s="888"/>
      <c r="O614" s="883"/>
      <c r="P614" s="891"/>
      <c r="Q614" s="169" t="s">
        <v>52</v>
      </c>
      <c r="R614" s="401">
        <v>0</v>
      </c>
      <c r="S614" s="401"/>
      <c r="T614" s="401"/>
      <c r="U614" s="401">
        <v>0</v>
      </c>
      <c r="V614" s="401"/>
      <c r="W614" s="401"/>
      <c r="X614" s="401">
        <v>0</v>
      </c>
      <c r="Y614" s="401"/>
      <c r="Z614" s="401"/>
      <c r="AA614" s="401">
        <v>0</v>
      </c>
      <c r="AB614" s="401"/>
      <c r="AC614" s="401"/>
      <c r="AD614" s="401">
        <v>0</v>
      </c>
      <c r="AE614" s="401"/>
      <c r="AF614" s="401"/>
      <c r="AG614" s="401">
        <v>0</v>
      </c>
      <c r="AH614" s="401"/>
      <c r="AI614" s="401"/>
      <c r="AJ614" s="401">
        <v>0</v>
      </c>
      <c r="AK614" s="401"/>
      <c r="AL614" s="401"/>
      <c r="AM614" s="401">
        <f>50500000+2300000</f>
        <v>52800000</v>
      </c>
      <c r="AN614" s="401">
        <v>52800000</v>
      </c>
      <c r="AO614" s="401">
        <v>47520000</v>
      </c>
      <c r="AP614" s="402"/>
      <c r="AQ614" s="402"/>
      <c r="AR614" s="402"/>
      <c r="AS614" s="401">
        <v>0</v>
      </c>
      <c r="AT614" s="401"/>
      <c r="AU614" s="401"/>
      <c r="AV614" s="401">
        <v>0</v>
      </c>
      <c r="AW614" s="401"/>
      <c r="AX614" s="401"/>
      <c r="AY614" s="401"/>
      <c r="AZ614" s="401"/>
      <c r="BA614" s="401"/>
      <c r="BB614" s="401"/>
      <c r="BC614" s="401"/>
      <c r="BD614" s="401"/>
      <c r="BE614" s="401">
        <v>0</v>
      </c>
      <c r="BF614" s="401"/>
      <c r="BG614" s="401"/>
      <c r="BH614" s="401">
        <v>0</v>
      </c>
      <c r="BI614" s="401"/>
      <c r="BJ614" s="401"/>
      <c r="BK614" s="402">
        <v>0</v>
      </c>
      <c r="BL614" s="402"/>
      <c r="BM614" s="402"/>
      <c r="BN614" s="415"/>
      <c r="BO614" s="415"/>
      <c r="BP614" s="415"/>
      <c r="BQ614" s="401">
        <v>0</v>
      </c>
      <c r="BR614" s="403"/>
      <c r="BS614" s="403"/>
      <c r="BT614" s="403"/>
      <c r="BU614" s="403"/>
      <c r="BV614" s="403"/>
      <c r="BW614" s="403"/>
      <c r="BX614" s="403"/>
      <c r="BY614" s="403"/>
      <c r="BZ614" s="401">
        <f t="shared" si="273"/>
        <v>52800000</v>
      </c>
      <c r="CA614" s="401">
        <f t="shared" si="273"/>
        <v>52800000</v>
      </c>
      <c r="CB614" s="401">
        <f t="shared" si="273"/>
        <v>47520000</v>
      </c>
    </row>
    <row r="615" spans="1:80" ht="207.75" customHeight="1" x14ac:dyDescent="0.2">
      <c r="A615" s="205"/>
      <c r="B615" s="205"/>
      <c r="C615" s="714" t="s">
        <v>803</v>
      </c>
      <c r="D615" s="709" t="s">
        <v>804</v>
      </c>
      <c r="E615" s="714" t="s">
        <v>805</v>
      </c>
      <c r="F615" s="714" t="s">
        <v>806</v>
      </c>
      <c r="G615" s="51"/>
      <c r="H615" s="57">
        <v>156</v>
      </c>
      <c r="I615" s="729" t="s">
        <v>807</v>
      </c>
      <c r="J615" s="57">
        <v>12</v>
      </c>
      <c r="K615" s="45">
        <v>12</v>
      </c>
      <c r="L615" s="45">
        <v>12</v>
      </c>
      <c r="M615" s="885"/>
      <c r="N615" s="888"/>
      <c r="O615" s="883"/>
      <c r="P615" s="891"/>
      <c r="Q615" s="169" t="s">
        <v>52</v>
      </c>
      <c r="R615" s="401">
        <v>0</v>
      </c>
      <c r="S615" s="401"/>
      <c r="T615" s="401"/>
      <c r="U615" s="401">
        <v>0</v>
      </c>
      <c r="V615" s="401"/>
      <c r="W615" s="401"/>
      <c r="X615" s="401">
        <v>0</v>
      </c>
      <c r="Y615" s="401"/>
      <c r="Z615" s="401"/>
      <c r="AA615" s="401">
        <v>0</v>
      </c>
      <c r="AB615" s="401"/>
      <c r="AC615" s="401"/>
      <c r="AD615" s="401">
        <v>0</v>
      </c>
      <c r="AE615" s="401"/>
      <c r="AF615" s="401"/>
      <c r="AG615" s="401">
        <v>0</v>
      </c>
      <c r="AH615" s="401"/>
      <c r="AI615" s="401"/>
      <c r="AJ615" s="401">
        <v>0</v>
      </c>
      <c r="AK615" s="401"/>
      <c r="AL615" s="401"/>
      <c r="AM615" s="401">
        <f>74000000+8000000</f>
        <v>82000000</v>
      </c>
      <c r="AN615" s="401">
        <f>[7]METAS!$P$75+[7]METAS!$P$76</f>
        <v>81920000</v>
      </c>
      <c r="AO615" s="401">
        <v>57390000</v>
      </c>
      <c r="AP615" s="401"/>
      <c r="AQ615" s="401"/>
      <c r="AR615" s="401"/>
      <c r="AS615" s="401">
        <v>0</v>
      </c>
      <c r="AT615" s="401"/>
      <c r="AU615" s="401"/>
      <c r="AV615" s="401">
        <v>0</v>
      </c>
      <c r="AW615" s="401"/>
      <c r="AX615" s="401"/>
      <c r="AY615" s="401"/>
      <c r="AZ615" s="401"/>
      <c r="BA615" s="401"/>
      <c r="BB615" s="401"/>
      <c r="BC615" s="401"/>
      <c r="BD615" s="401"/>
      <c r="BE615" s="401">
        <v>0</v>
      </c>
      <c r="BF615" s="401"/>
      <c r="BG615" s="401"/>
      <c r="BH615" s="401">
        <v>0</v>
      </c>
      <c r="BI615" s="401"/>
      <c r="BJ615" s="401"/>
      <c r="BK615" s="402"/>
      <c r="BL615" s="402"/>
      <c r="BM615" s="402"/>
      <c r="BN615" s="415"/>
      <c r="BO615" s="415"/>
      <c r="BP615" s="415"/>
      <c r="BQ615" s="401">
        <v>0</v>
      </c>
      <c r="BR615" s="403"/>
      <c r="BS615" s="403"/>
      <c r="BT615" s="403"/>
      <c r="BU615" s="403"/>
      <c r="BV615" s="403"/>
      <c r="BW615" s="403"/>
      <c r="BX615" s="403"/>
      <c r="BY615" s="403"/>
      <c r="BZ615" s="401">
        <f t="shared" si="273"/>
        <v>82000000</v>
      </c>
      <c r="CA615" s="401">
        <f t="shared" si="273"/>
        <v>81920000</v>
      </c>
      <c r="CB615" s="401">
        <f t="shared" si="273"/>
        <v>57390000</v>
      </c>
    </row>
    <row r="616" spans="1:80" ht="69.75" customHeight="1" x14ac:dyDescent="0.2">
      <c r="A616" s="205"/>
      <c r="B616" s="205"/>
      <c r="C616" s="713">
        <v>34</v>
      </c>
      <c r="D616" s="707" t="s">
        <v>808</v>
      </c>
      <c r="E616" s="713" t="s">
        <v>43</v>
      </c>
      <c r="F616" s="731">
        <v>0.4</v>
      </c>
      <c r="G616" s="51"/>
      <c r="H616" s="57">
        <v>157</v>
      </c>
      <c r="I616" s="729" t="s">
        <v>809</v>
      </c>
      <c r="J616" s="57">
        <v>12</v>
      </c>
      <c r="K616" s="45">
        <v>12</v>
      </c>
      <c r="L616" s="54">
        <v>12</v>
      </c>
      <c r="M616" s="886"/>
      <c r="N616" s="889"/>
      <c r="O616" s="898"/>
      <c r="P616" s="892"/>
      <c r="Q616" s="169" t="s">
        <v>52</v>
      </c>
      <c r="R616" s="401">
        <v>0</v>
      </c>
      <c r="S616" s="401"/>
      <c r="T616" s="401"/>
      <c r="U616" s="401">
        <v>0</v>
      </c>
      <c r="V616" s="401"/>
      <c r="W616" s="401"/>
      <c r="X616" s="401">
        <v>0</v>
      </c>
      <c r="Y616" s="401"/>
      <c r="Z616" s="401"/>
      <c r="AA616" s="401">
        <v>0</v>
      </c>
      <c r="AB616" s="401"/>
      <c r="AC616" s="401"/>
      <c r="AD616" s="401">
        <v>0</v>
      </c>
      <c r="AE616" s="401"/>
      <c r="AF616" s="401"/>
      <c r="AG616" s="401">
        <v>0</v>
      </c>
      <c r="AH616" s="401"/>
      <c r="AI616" s="401"/>
      <c r="AJ616" s="401">
        <v>0</v>
      </c>
      <c r="AK616" s="401"/>
      <c r="AL616" s="401"/>
      <c r="AM616" s="401">
        <f>49542081+3200000</f>
        <v>52742081</v>
      </c>
      <c r="AN616" s="401">
        <v>36960000</v>
      </c>
      <c r="AO616" s="401">
        <v>29040000</v>
      </c>
      <c r="AP616" s="402"/>
      <c r="AQ616" s="402"/>
      <c r="AR616" s="402"/>
      <c r="AS616" s="401">
        <v>0</v>
      </c>
      <c r="AT616" s="401"/>
      <c r="AU616" s="401"/>
      <c r="AV616" s="401">
        <v>0</v>
      </c>
      <c r="AW616" s="401"/>
      <c r="AX616" s="401"/>
      <c r="AY616" s="401"/>
      <c r="AZ616" s="401"/>
      <c r="BA616" s="401"/>
      <c r="BB616" s="401"/>
      <c r="BC616" s="401"/>
      <c r="BD616" s="401"/>
      <c r="BE616" s="401">
        <v>0</v>
      </c>
      <c r="BF616" s="401"/>
      <c r="BG616" s="401"/>
      <c r="BH616" s="401">
        <v>0</v>
      </c>
      <c r="BI616" s="401"/>
      <c r="BJ616" s="401"/>
      <c r="BK616" s="402">
        <v>0</v>
      </c>
      <c r="BL616" s="402"/>
      <c r="BM616" s="402"/>
      <c r="BN616" s="415"/>
      <c r="BO616" s="415"/>
      <c r="BP616" s="415"/>
      <c r="BQ616" s="401">
        <v>0</v>
      </c>
      <c r="BR616" s="403"/>
      <c r="BS616" s="403"/>
      <c r="BT616" s="403"/>
      <c r="BU616" s="403"/>
      <c r="BV616" s="403"/>
      <c r="BW616" s="403"/>
      <c r="BX616" s="403"/>
      <c r="BY616" s="403"/>
      <c r="BZ616" s="401">
        <f t="shared" si="273"/>
        <v>52742081</v>
      </c>
      <c r="CA616" s="401">
        <f t="shared" si="273"/>
        <v>36960000</v>
      </c>
      <c r="CB616" s="401">
        <f t="shared" si="273"/>
        <v>29040000</v>
      </c>
    </row>
    <row r="617" spans="1:80" ht="30" customHeight="1" x14ac:dyDescent="0.2">
      <c r="A617" s="205"/>
      <c r="B617" s="42"/>
      <c r="C617" s="714"/>
      <c r="D617" s="709"/>
      <c r="E617" s="714"/>
      <c r="F617" s="714"/>
      <c r="G617" s="58"/>
      <c r="H617" s="59"/>
      <c r="I617" s="58"/>
      <c r="J617" s="59"/>
      <c r="K617" s="113"/>
      <c r="L617" s="113"/>
      <c r="M617" s="113"/>
      <c r="N617" s="60"/>
      <c r="O617" s="59"/>
      <c r="P617" s="58"/>
      <c r="Q617" s="59"/>
      <c r="R617" s="410">
        <f t="shared" ref="R617:BZ617" si="274">SUM(R613:R616)</f>
        <v>0</v>
      </c>
      <c r="S617" s="410">
        <f t="shared" si="274"/>
        <v>0</v>
      </c>
      <c r="T617" s="410">
        <f t="shared" si="274"/>
        <v>0</v>
      </c>
      <c r="U617" s="410">
        <f t="shared" si="274"/>
        <v>0</v>
      </c>
      <c r="V617" s="410">
        <f t="shared" si="274"/>
        <v>0</v>
      </c>
      <c r="W617" s="410">
        <f t="shared" si="274"/>
        <v>0</v>
      </c>
      <c r="X617" s="410">
        <f t="shared" si="274"/>
        <v>0</v>
      </c>
      <c r="Y617" s="410">
        <f t="shared" si="274"/>
        <v>0</v>
      </c>
      <c r="Z617" s="410">
        <f t="shared" si="274"/>
        <v>0</v>
      </c>
      <c r="AA617" s="410">
        <f t="shared" si="274"/>
        <v>0</v>
      </c>
      <c r="AB617" s="410">
        <f t="shared" si="274"/>
        <v>0</v>
      </c>
      <c r="AC617" s="410">
        <f t="shared" si="274"/>
        <v>0</v>
      </c>
      <c r="AD617" s="410">
        <f t="shared" si="274"/>
        <v>0</v>
      </c>
      <c r="AE617" s="410">
        <f t="shared" si="274"/>
        <v>0</v>
      </c>
      <c r="AF617" s="410">
        <f t="shared" si="274"/>
        <v>0</v>
      </c>
      <c r="AG617" s="410">
        <f t="shared" si="274"/>
        <v>0</v>
      </c>
      <c r="AH617" s="410">
        <f t="shared" si="274"/>
        <v>0</v>
      </c>
      <c r="AI617" s="410">
        <f t="shared" si="274"/>
        <v>0</v>
      </c>
      <c r="AJ617" s="410">
        <f t="shared" si="274"/>
        <v>0</v>
      </c>
      <c r="AK617" s="410">
        <f t="shared" si="274"/>
        <v>0</v>
      </c>
      <c r="AL617" s="410">
        <f t="shared" si="274"/>
        <v>0</v>
      </c>
      <c r="AM617" s="410">
        <f t="shared" si="274"/>
        <v>273927352</v>
      </c>
      <c r="AN617" s="410">
        <f t="shared" si="274"/>
        <v>248244000</v>
      </c>
      <c r="AO617" s="410">
        <f t="shared" si="274"/>
        <v>171900000</v>
      </c>
      <c r="AP617" s="410">
        <f t="shared" si="274"/>
        <v>0</v>
      </c>
      <c r="AQ617" s="410">
        <f t="shared" si="274"/>
        <v>0</v>
      </c>
      <c r="AR617" s="410">
        <f t="shared" si="274"/>
        <v>0</v>
      </c>
      <c r="AS617" s="410">
        <f t="shared" si="274"/>
        <v>0</v>
      </c>
      <c r="AT617" s="410">
        <f t="shared" si="274"/>
        <v>0</v>
      </c>
      <c r="AU617" s="410">
        <f t="shared" si="274"/>
        <v>0</v>
      </c>
      <c r="AV617" s="410">
        <f t="shared" si="274"/>
        <v>0</v>
      </c>
      <c r="AW617" s="410">
        <f t="shared" si="274"/>
        <v>0</v>
      </c>
      <c r="AX617" s="410">
        <f t="shared" si="274"/>
        <v>0</v>
      </c>
      <c r="AY617" s="410">
        <f t="shared" si="274"/>
        <v>0</v>
      </c>
      <c r="AZ617" s="410">
        <f t="shared" si="274"/>
        <v>0</v>
      </c>
      <c r="BA617" s="410">
        <f t="shared" si="274"/>
        <v>0</v>
      </c>
      <c r="BB617" s="410">
        <f t="shared" si="274"/>
        <v>0</v>
      </c>
      <c r="BC617" s="410">
        <f t="shared" si="274"/>
        <v>0</v>
      </c>
      <c r="BD617" s="410">
        <f t="shared" si="274"/>
        <v>0</v>
      </c>
      <c r="BE617" s="410">
        <f t="shared" si="274"/>
        <v>0</v>
      </c>
      <c r="BF617" s="410">
        <f t="shared" si="274"/>
        <v>0</v>
      </c>
      <c r="BG617" s="410">
        <f t="shared" si="274"/>
        <v>0</v>
      </c>
      <c r="BH617" s="410">
        <f t="shared" si="274"/>
        <v>0</v>
      </c>
      <c r="BI617" s="410">
        <f t="shared" si="274"/>
        <v>0</v>
      </c>
      <c r="BJ617" s="410">
        <f t="shared" si="274"/>
        <v>0</v>
      </c>
      <c r="BK617" s="410">
        <f t="shared" si="274"/>
        <v>0</v>
      </c>
      <c r="BL617" s="410">
        <f t="shared" si="274"/>
        <v>0</v>
      </c>
      <c r="BM617" s="410">
        <f t="shared" si="274"/>
        <v>0</v>
      </c>
      <c r="BN617" s="410">
        <f t="shared" si="274"/>
        <v>0</v>
      </c>
      <c r="BO617" s="410">
        <f t="shared" si="274"/>
        <v>0</v>
      </c>
      <c r="BP617" s="410">
        <f t="shared" si="274"/>
        <v>0</v>
      </c>
      <c r="BQ617" s="410">
        <f t="shared" si="274"/>
        <v>0</v>
      </c>
      <c r="BR617" s="410">
        <f t="shared" si="274"/>
        <v>0</v>
      </c>
      <c r="BS617" s="410">
        <f t="shared" si="274"/>
        <v>0</v>
      </c>
      <c r="BT617" s="410">
        <f t="shared" si="274"/>
        <v>0</v>
      </c>
      <c r="BU617" s="410">
        <f t="shared" si="274"/>
        <v>0</v>
      </c>
      <c r="BV617" s="410">
        <f t="shared" si="274"/>
        <v>0</v>
      </c>
      <c r="BW617" s="410">
        <f t="shared" si="274"/>
        <v>0</v>
      </c>
      <c r="BX617" s="410">
        <f t="shared" si="274"/>
        <v>0</v>
      </c>
      <c r="BY617" s="410">
        <f t="shared" si="274"/>
        <v>0</v>
      </c>
      <c r="BZ617" s="410">
        <f t="shared" si="274"/>
        <v>273927352</v>
      </c>
      <c r="CA617" s="410">
        <f t="shared" ref="CA617:CB617" si="275">SUM(CA613:CA616)</f>
        <v>248244000</v>
      </c>
      <c r="CB617" s="410">
        <f t="shared" si="275"/>
        <v>171900000</v>
      </c>
    </row>
    <row r="618" spans="1:80" ht="30" customHeight="1" x14ac:dyDescent="0.2">
      <c r="A618" s="205"/>
      <c r="B618" s="42"/>
      <c r="C618" s="150"/>
      <c r="D618" s="72"/>
      <c r="E618" s="150"/>
      <c r="F618" s="150"/>
      <c r="G618" s="72"/>
      <c r="H618" s="150"/>
      <c r="I618" s="72"/>
      <c r="J618" s="150"/>
      <c r="K618" s="151"/>
      <c r="L618" s="265"/>
      <c r="M618" s="265"/>
      <c r="N618" s="400"/>
      <c r="O618" s="400"/>
      <c r="P618" s="101"/>
      <c r="Q618" s="150"/>
      <c r="R618" s="405"/>
      <c r="S618" s="405"/>
      <c r="T618" s="405"/>
      <c r="U618" s="405"/>
      <c r="V618" s="405"/>
      <c r="W618" s="405"/>
      <c r="X618" s="405"/>
      <c r="Y618" s="405"/>
      <c r="Z618" s="405"/>
      <c r="AA618" s="405"/>
      <c r="AB618" s="405"/>
      <c r="AC618" s="405"/>
      <c r="AD618" s="405"/>
      <c r="AE618" s="405"/>
      <c r="AF618" s="405"/>
      <c r="AG618" s="405"/>
      <c r="AH618" s="405"/>
      <c r="AI618" s="405"/>
      <c r="AJ618" s="405"/>
      <c r="AK618" s="405"/>
      <c r="AL618" s="405"/>
      <c r="AM618" s="405"/>
      <c r="AN618" s="405"/>
      <c r="AO618" s="405"/>
      <c r="AP618" s="405"/>
      <c r="AQ618" s="405"/>
      <c r="AR618" s="405"/>
      <c r="AS618" s="405"/>
      <c r="AT618" s="405"/>
      <c r="AU618" s="405"/>
      <c r="AV618" s="405"/>
      <c r="AW618" s="405"/>
      <c r="AX618" s="405"/>
      <c r="AY618" s="405"/>
      <c r="AZ618" s="405"/>
      <c r="BA618" s="405"/>
      <c r="BB618" s="405"/>
      <c r="BC618" s="405"/>
      <c r="BD618" s="405"/>
      <c r="BE618" s="405"/>
      <c r="BF618" s="405"/>
      <c r="BG618" s="405"/>
      <c r="BH618" s="405"/>
      <c r="BI618" s="405"/>
      <c r="BJ618" s="405"/>
      <c r="BK618" s="407"/>
      <c r="BL618" s="407"/>
      <c r="BM618" s="407"/>
      <c r="BN618" s="408"/>
      <c r="BO618" s="408"/>
      <c r="BP618" s="408"/>
      <c r="BQ618" s="405"/>
      <c r="BR618" s="405"/>
      <c r="BS618" s="405"/>
      <c r="BT618" s="405"/>
      <c r="BU618" s="405"/>
      <c r="BV618" s="405"/>
      <c r="BW618" s="405"/>
      <c r="BX618" s="405"/>
      <c r="BY618" s="405"/>
      <c r="BZ618" s="409"/>
      <c r="CA618" s="409"/>
      <c r="CB618" s="409"/>
    </row>
    <row r="619" spans="1:80" ht="30" customHeight="1" x14ac:dyDescent="0.2">
      <c r="A619" s="205"/>
      <c r="B619" s="42"/>
      <c r="C619" s="713"/>
      <c r="D619" s="707"/>
      <c r="E619" s="713"/>
      <c r="F619" s="713"/>
      <c r="G619" s="219">
        <v>45</v>
      </c>
      <c r="H619" s="80" t="s">
        <v>810</v>
      </c>
      <c r="I619" s="80"/>
      <c r="J619" s="80"/>
      <c r="K619" s="128"/>
      <c r="L619" s="128"/>
      <c r="M619" s="128"/>
      <c r="N619" s="173"/>
      <c r="O619" s="173"/>
      <c r="P619" s="80"/>
      <c r="Q619" s="80"/>
      <c r="R619" s="267"/>
      <c r="S619" s="267"/>
      <c r="T619" s="267"/>
      <c r="U619" s="267"/>
      <c r="V619" s="267"/>
      <c r="W619" s="267"/>
      <c r="X619" s="267"/>
      <c r="Y619" s="267"/>
      <c r="Z619" s="267"/>
      <c r="AA619" s="267"/>
      <c r="AB619" s="267"/>
      <c r="AC619" s="267"/>
      <c r="AD619" s="267"/>
      <c r="AE619" s="267"/>
      <c r="AF619" s="267"/>
      <c r="AG619" s="267"/>
      <c r="AH619" s="267"/>
      <c r="AI619" s="267"/>
      <c r="AJ619" s="267"/>
      <c r="AK619" s="267"/>
      <c r="AL619" s="267"/>
      <c r="AM619" s="267"/>
      <c r="AN619" s="267"/>
      <c r="AO619" s="267"/>
      <c r="AP619" s="267"/>
      <c r="AQ619" s="267"/>
      <c r="AR619" s="267"/>
      <c r="AS619" s="267"/>
      <c r="AT619" s="267"/>
      <c r="AU619" s="267"/>
      <c r="AV619" s="267"/>
      <c r="AW619" s="267"/>
      <c r="AX619" s="267"/>
      <c r="AY619" s="267"/>
      <c r="AZ619" s="267"/>
      <c r="BA619" s="267"/>
      <c r="BB619" s="267"/>
      <c r="BC619" s="267"/>
      <c r="BD619" s="267"/>
      <c r="BE619" s="267"/>
      <c r="BF619" s="267"/>
      <c r="BG619" s="267"/>
      <c r="BH619" s="267"/>
      <c r="BI619" s="267"/>
      <c r="BJ619" s="267"/>
      <c r="BK619" s="414"/>
      <c r="BL619" s="414"/>
      <c r="BM619" s="414"/>
      <c r="BN619" s="267"/>
      <c r="BO619" s="267"/>
      <c r="BP619" s="267"/>
      <c r="BQ619" s="267"/>
      <c r="BR619" s="267"/>
      <c r="BS619" s="267"/>
      <c r="BT619" s="267"/>
      <c r="BU619" s="267"/>
      <c r="BV619" s="267"/>
      <c r="BW619" s="267"/>
      <c r="BX619" s="267"/>
      <c r="BY619" s="267"/>
      <c r="BZ619" s="269"/>
      <c r="CA619" s="269"/>
      <c r="CB619" s="269"/>
    </row>
    <row r="620" spans="1:80" ht="63.75" customHeight="1" x14ac:dyDescent="0.2">
      <c r="A620" s="205"/>
      <c r="B620" s="42"/>
      <c r="C620" s="883" t="s">
        <v>811</v>
      </c>
      <c r="D620" s="891" t="s">
        <v>812</v>
      </c>
      <c r="E620" s="883" t="s">
        <v>813</v>
      </c>
      <c r="F620" s="883" t="s">
        <v>814</v>
      </c>
      <c r="G620" s="887"/>
      <c r="H620" s="44">
        <v>158</v>
      </c>
      <c r="I620" s="729" t="s">
        <v>815</v>
      </c>
      <c r="J620" s="44" t="s">
        <v>43</v>
      </c>
      <c r="K620" s="107">
        <v>11</v>
      </c>
      <c r="L620" s="107">
        <v>11</v>
      </c>
      <c r="M620" s="884">
        <v>2017003630067</v>
      </c>
      <c r="N620" s="895" t="s">
        <v>714</v>
      </c>
      <c r="O620" s="895" t="s">
        <v>816</v>
      </c>
      <c r="P620" s="890" t="s">
        <v>1015</v>
      </c>
      <c r="Q620" s="57" t="s">
        <v>52</v>
      </c>
      <c r="R620" s="401">
        <v>0</v>
      </c>
      <c r="S620" s="401"/>
      <c r="T620" s="401"/>
      <c r="U620" s="401">
        <v>0</v>
      </c>
      <c r="V620" s="401"/>
      <c r="W620" s="401"/>
      <c r="X620" s="401">
        <v>0</v>
      </c>
      <c r="Y620" s="401"/>
      <c r="Z620" s="401"/>
      <c r="AA620" s="401">
        <v>0</v>
      </c>
      <c r="AB620" s="401"/>
      <c r="AC620" s="401"/>
      <c r="AD620" s="401">
        <v>0</v>
      </c>
      <c r="AE620" s="401"/>
      <c r="AF620" s="401"/>
      <c r="AG620" s="401">
        <v>0</v>
      </c>
      <c r="AH620" s="401"/>
      <c r="AI620" s="401"/>
      <c r="AJ620" s="401">
        <v>0</v>
      </c>
      <c r="AK620" s="401"/>
      <c r="AL620" s="401"/>
      <c r="AM620" s="401">
        <f>1175000000+109098541</f>
        <v>1284098541</v>
      </c>
      <c r="AN620" s="401">
        <v>907790900</v>
      </c>
      <c r="AO620" s="401">
        <v>532465800</v>
      </c>
      <c r="AP620" s="402"/>
      <c r="AQ620" s="402"/>
      <c r="AR620" s="402"/>
      <c r="AS620" s="401">
        <v>0</v>
      </c>
      <c r="AT620" s="401"/>
      <c r="AU620" s="401"/>
      <c r="AV620" s="401">
        <v>0</v>
      </c>
      <c r="AW620" s="401"/>
      <c r="AX620" s="401"/>
      <c r="AY620" s="401"/>
      <c r="AZ620" s="401"/>
      <c r="BA620" s="401"/>
      <c r="BB620" s="401"/>
      <c r="BC620" s="401"/>
      <c r="BD620" s="401"/>
      <c r="BE620" s="401">
        <v>0</v>
      </c>
      <c r="BF620" s="401"/>
      <c r="BG620" s="401"/>
      <c r="BH620" s="401">
        <v>0</v>
      </c>
      <c r="BI620" s="401"/>
      <c r="BJ620" s="401"/>
      <c r="BK620" s="402">
        <v>0</v>
      </c>
      <c r="BL620" s="402"/>
      <c r="BM620" s="402"/>
      <c r="BN620" s="415"/>
      <c r="BO620" s="415"/>
      <c r="BP620" s="415"/>
      <c r="BQ620" s="401">
        <v>0</v>
      </c>
      <c r="BR620" s="403"/>
      <c r="BS620" s="403"/>
      <c r="BT620" s="403"/>
      <c r="BU620" s="403"/>
      <c r="BV620" s="403"/>
      <c r="BW620" s="403"/>
      <c r="BX620" s="403"/>
      <c r="BY620" s="403"/>
      <c r="BZ620" s="401">
        <f t="shared" ref="BZ620:CB621" si="276">R620+U620+X620+AA620+AD620+AG620+AJ620+AM620+AP620+AS620+AV620+AY620+BB620+BE620+BH620+BK620+BN620+BQ620+BT620+BW620</f>
        <v>1284098541</v>
      </c>
      <c r="CA620" s="401">
        <f t="shared" si="276"/>
        <v>907790900</v>
      </c>
      <c r="CB620" s="401">
        <f t="shared" si="276"/>
        <v>532465800</v>
      </c>
    </row>
    <row r="621" spans="1:80" ht="63.75" customHeight="1" x14ac:dyDescent="0.2">
      <c r="A621" s="205"/>
      <c r="B621" s="42"/>
      <c r="C621" s="883"/>
      <c r="D621" s="891"/>
      <c r="E621" s="883"/>
      <c r="F621" s="883"/>
      <c r="G621" s="889"/>
      <c r="H621" s="44">
        <v>159</v>
      </c>
      <c r="I621" s="729" t="s">
        <v>818</v>
      </c>
      <c r="J621" s="44" t="s">
        <v>43</v>
      </c>
      <c r="K621" s="107">
        <v>8</v>
      </c>
      <c r="L621" s="107">
        <v>6</v>
      </c>
      <c r="M621" s="886"/>
      <c r="N621" s="898"/>
      <c r="O621" s="898"/>
      <c r="P621" s="892"/>
      <c r="Q621" s="57" t="s">
        <v>52</v>
      </c>
      <c r="R621" s="401">
        <v>0</v>
      </c>
      <c r="S621" s="401"/>
      <c r="T621" s="401"/>
      <c r="U621" s="401">
        <v>0</v>
      </c>
      <c r="V621" s="401"/>
      <c r="W621" s="401"/>
      <c r="X621" s="401">
        <v>0</v>
      </c>
      <c r="Y621" s="401"/>
      <c r="Z621" s="401"/>
      <c r="AA621" s="401">
        <v>0</v>
      </c>
      <c r="AB621" s="401"/>
      <c r="AC621" s="401"/>
      <c r="AD621" s="401">
        <v>0</v>
      </c>
      <c r="AE621" s="401"/>
      <c r="AF621" s="401"/>
      <c r="AG621" s="401">
        <v>0</v>
      </c>
      <c r="AH621" s="401"/>
      <c r="AI621" s="401"/>
      <c r="AJ621" s="401">
        <v>0</v>
      </c>
      <c r="AK621" s="401"/>
      <c r="AL621" s="401"/>
      <c r="AM621" s="401">
        <v>0</v>
      </c>
      <c r="AN621" s="401"/>
      <c r="AO621" s="401"/>
      <c r="AP621" s="401"/>
      <c r="AQ621" s="401"/>
      <c r="AR621" s="401"/>
      <c r="AS621" s="401">
        <v>0</v>
      </c>
      <c r="AT621" s="401"/>
      <c r="AU621" s="401"/>
      <c r="AV621" s="401">
        <v>0</v>
      </c>
      <c r="AW621" s="401"/>
      <c r="AX621" s="401"/>
      <c r="AY621" s="401"/>
      <c r="AZ621" s="401"/>
      <c r="BA621" s="401"/>
      <c r="BB621" s="401"/>
      <c r="BC621" s="401"/>
      <c r="BD621" s="401"/>
      <c r="BE621" s="401">
        <v>0</v>
      </c>
      <c r="BF621" s="401"/>
      <c r="BG621" s="401"/>
      <c r="BH621" s="401">
        <v>0</v>
      </c>
      <c r="BI621" s="401"/>
      <c r="BJ621" s="401"/>
      <c r="BK621" s="402">
        <v>0</v>
      </c>
      <c r="BL621" s="402"/>
      <c r="BM621" s="402"/>
      <c r="BN621" s="415"/>
      <c r="BO621" s="415"/>
      <c r="BP621" s="415"/>
      <c r="BQ621" s="401">
        <v>0</v>
      </c>
      <c r="BR621" s="403"/>
      <c r="BS621" s="403"/>
      <c r="BT621" s="403"/>
      <c r="BU621" s="403"/>
      <c r="BV621" s="403"/>
      <c r="BW621" s="403"/>
      <c r="BX621" s="403"/>
      <c r="BY621" s="403"/>
      <c r="BZ621" s="401">
        <f t="shared" si="276"/>
        <v>0</v>
      </c>
      <c r="CA621" s="401">
        <f t="shared" si="276"/>
        <v>0</v>
      </c>
      <c r="CB621" s="401">
        <f t="shared" si="276"/>
        <v>0</v>
      </c>
    </row>
    <row r="622" spans="1:80" ht="30" customHeight="1" x14ac:dyDescent="0.2">
      <c r="A622" s="205"/>
      <c r="B622" s="42"/>
      <c r="C622" s="714"/>
      <c r="D622" s="709"/>
      <c r="E622" s="714"/>
      <c r="F622" s="714"/>
      <c r="G622" s="188"/>
      <c r="H622" s="60"/>
      <c r="I622" s="58"/>
      <c r="J622" s="60"/>
      <c r="K622" s="136"/>
      <c r="L622" s="136"/>
      <c r="M622" s="136"/>
      <c r="N622" s="59"/>
      <c r="O622" s="59"/>
      <c r="P622" s="58"/>
      <c r="Q622" s="59"/>
      <c r="R622" s="410">
        <f t="shared" ref="R622:BY622" si="277">SUM(R620:R621)</f>
        <v>0</v>
      </c>
      <c r="S622" s="410">
        <f t="shared" si="277"/>
        <v>0</v>
      </c>
      <c r="T622" s="410">
        <f t="shared" si="277"/>
        <v>0</v>
      </c>
      <c r="U622" s="410">
        <f t="shared" si="277"/>
        <v>0</v>
      </c>
      <c r="V622" s="410">
        <f t="shared" si="277"/>
        <v>0</v>
      </c>
      <c r="W622" s="410">
        <f t="shared" si="277"/>
        <v>0</v>
      </c>
      <c r="X622" s="410">
        <f t="shared" si="277"/>
        <v>0</v>
      </c>
      <c r="Y622" s="410">
        <f t="shared" si="277"/>
        <v>0</v>
      </c>
      <c r="Z622" s="410">
        <f t="shared" si="277"/>
        <v>0</v>
      </c>
      <c r="AA622" s="410">
        <f t="shared" si="277"/>
        <v>0</v>
      </c>
      <c r="AB622" s="410">
        <f t="shared" si="277"/>
        <v>0</v>
      </c>
      <c r="AC622" s="410">
        <f t="shared" si="277"/>
        <v>0</v>
      </c>
      <c r="AD622" s="410">
        <f t="shared" si="277"/>
        <v>0</v>
      </c>
      <c r="AE622" s="410">
        <f t="shared" si="277"/>
        <v>0</v>
      </c>
      <c r="AF622" s="410">
        <f t="shared" si="277"/>
        <v>0</v>
      </c>
      <c r="AG622" s="410">
        <f t="shared" si="277"/>
        <v>0</v>
      </c>
      <c r="AH622" s="410">
        <f t="shared" si="277"/>
        <v>0</v>
      </c>
      <c r="AI622" s="410">
        <f t="shared" si="277"/>
        <v>0</v>
      </c>
      <c r="AJ622" s="410">
        <f t="shared" si="277"/>
        <v>0</v>
      </c>
      <c r="AK622" s="410">
        <f t="shared" si="277"/>
        <v>0</v>
      </c>
      <c r="AL622" s="410">
        <f t="shared" si="277"/>
        <v>0</v>
      </c>
      <c r="AM622" s="410">
        <f t="shared" si="277"/>
        <v>1284098541</v>
      </c>
      <c r="AN622" s="410">
        <f t="shared" si="277"/>
        <v>907790900</v>
      </c>
      <c r="AO622" s="410">
        <f t="shared" si="277"/>
        <v>532465800</v>
      </c>
      <c r="AP622" s="410">
        <f t="shared" si="277"/>
        <v>0</v>
      </c>
      <c r="AQ622" s="410">
        <f t="shared" si="277"/>
        <v>0</v>
      </c>
      <c r="AR622" s="410">
        <f t="shared" si="277"/>
        <v>0</v>
      </c>
      <c r="AS622" s="410">
        <f t="shared" si="277"/>
        <v>0</v>
      </c>
      <c r="AT622" s="410">
        <f t="shared" si="277"/>
        <v>0</v>
      </c>
      <c r="AU622" s="410">
        <f t="shared" si="277"/>
        <v>0</v>
      </c>
      <c r="AV622" s="410">
        <f t="shared" si="277"/>
        <v>0</v>
      </c>
      <c r="AW622" s="410">
        <f t="shared" si="277"/>
        <v>0</v>
      </c>
      <c r="AX622" s="410">
        <f t="shared" si="277"/>
        <v>0</v>
      </c>
      <c r="AY622" s="410">
        <f t="shared" si="277"/>
        <v>0</v>
      </c>
      <c r="AZ622" s="410">
        <f t="shared" si="277"/>
        <v>0</v>
      </c>
      <c r="BA622" s="410">
        <f t="shared" si="277"/>
        <v>0</v>
      </c>
      <c r="BB622" s="410">
        <f t="shared" si="277"/>
        <v>0</v>
      </c>
      <c r="BC622" s="410">
        <f t="shared" si="277"/>
        <v>0</v>
      </c>
      <c r="BD622" s="410">
        <f t="shared" si="277"/>
        <v>0</v>
      </c>
      <c r="BE622" s="410">
        <f t="shared" si="277"/>
        <v>0</v>
      </c>
      <c r="BF622" s="410">
        <f t="shared" si="277"/>
        <v>0</v>
      </c>
      <c r="BG622" s="410">
        <f t="shared" si="277"/>
        <v>0</v>
      </c>
      <c r="BH622" s="410">
        <f t="shared" si="277"/>
        <v>0</v>
      </c>
      <c r="BI622" s="410">
        <f t="shared" si="277"/>
        <v>0</v>
      </c>
      <c r="BJ622" s="410">
        <f t="shared" si="277"/>
        <v>0</v>
      </c>
      <c r="BK622" s="410">
        <f t="shared" si="277"/>
        <v>0</v>
      </c>
      <c r="BL622" s="410">
        <f t="shared" si="277"/>
        <v>0</v>
      </c>
      <c r="BM622" s="410">
        <f t="shared" si="277"/>
        <v>0</v>
      </c>
      <c r="BN622" s="410">
        <f t="shared" si="277"/>
        <v>0</v>
      </c>
      <c r="BO622" s="410">
        <f t="shared" si="277"/>
        <v>0</v>
      </c>
      <c r="BP622" s="410">
        <f t="shared" si="277"/>
        <v>0</v>
      </c>
      <c r="BQ622" s="410">
        <f t="shared" si="277"/>
        <v>0</v>
      </c>
      <c r="BR622" s="410">
        <f t="shared" si="277"/>
        <v>0</v>
      </c>
      <c r="BS622" s="410">
        <f t="shared" si="277"/>
        <v>0</v>
      </c>
      <c r="BT622" s="410">
        <f t="shared" si="277"/>
        <v>0</v>
      </c>
      <c r="BU622" s="410">
        <f t="shared" si="277"/>
        <v>0</v>
      </c>
      <c r="BV622" s="410">
        <f t="shared" si="277"/>
        <v>0</v>
      </c>
      <c r="BW622" s="410">
        <f t="shared" si="277"/>
        <v>0</v>
      </c>
      <c r="BX622" s="410">
        <f t="shared" si="277"/>
        <v>0</v>
      </c>
      <c r="BY622" s="410">
        <f t="shared" si="277"/>
        <v>0</v>
      </c>
      <c r="BZ622" s="410">
        <f>SUM(BZ620:BZ621)</f>
        <v>1284098541</v>
      </c>
      <c r="CA622" s="410">
        <f t="shared" ref="CA622:CB622" si="278">SUM(CA620:CA621)</f>
        <v>907790900</v>
      </c>
      <c r="CB622" s="410">
        <f t="shared" si="278"/>
        <v>532465800</v>
      </c>
    </row>
    <row r="623" spans="1:80" ht="30" customHeight="1" x14ac:dyDescent="0.2">
      <c r="A623" s="205"/>
      <c r="B623" s="42"/>
      <c r="C623" s="150"/>
      <c r="D623" s="72"/>
      <c r="E623" s="150"/>
      <c r="F623" s="150"/>
      <c r="G623" s="72"/>
      <c r="H623" s="150"/>
      <c r="I623" s="72"/>
      <c r="J623" s="150"/>
      <c r="K623" s="151"/>
      <c r="L623" s="265"/>
      <c r="M623" s="265"/>
      <c r="N623" s="400"/>
      <c r="O623" s="400"/>
      <c r="P623" s="101"/>
      <c r="Q623" s="150"/>
      <c r="R623" s="405"/>
      <c r="S623" s="405"/>
      <c r="T623" s="405"/>
      <c r="U623" s="405"/>
      <c r="V623" s="405"/>
      <c r="W623" s="405"/>
      <c r="X623" s="405"/>
      <c r="Y623" s="405"/>
      <c r="Z623" s="405"/>
      <c r="AA623" s="405"/>
      <c r="AB623" s="405"/>
      <c r="AC623" s="405"/>
      <c r="AD623" s="405"/>
      <c r="AE623" s="405"/>
      <c r="AF623" s="405"/>
      <c r="AG623" s="405"/>
      <c r="AH623" s="405"/>
      <c r="AI623" s="405"/>
      <c r="AJ623" s="405"/>
      <c r="AK623" s="405"/>
      <c r="AL623" s="405"/>
      <c r="AM623" s="405"/>
      <c r="AN623" s="405"/>
      <c r="AO623" s="405"/>
      <c r="AP623" s="405"/>
      <c r="AQ623" s="405"/>
      <c r="AR623" s="405"/>
      <c r="AS623" s="405"/>
      <c r="AT623" s="405"/>
      <c r="AU623" s="405"/>
      <c r="AV623" s="405"/>
      <c r="AW623" s="405"/>
      <c r="AX623" s="405"/>
      <c r="AY623" s="405"/>
      <c r="AZ623" s="405"/>
      <c r="BA623" s="405"/>
      <c r="BB623" s="405"/>
      <c r="BC623" s="405"/>
      <c r="BD623" s="405"/>
      <c r="BE623" s="405"/>
      <c r="BF623" s="405"/>
      <c r="BG623" s="405"/>
      <c r="BH623" s="405"/>
      <c r="BI623" s="405"/>
      <c r="BJ623" s="405"/>
      <c r="BK623" s="407"/>
      <c r="BL623" s="407"/>
      <c r="BM623" s="407"/>
      <c r="BN623" s="408"/>
      <c r="BO623" s="408"/>
      <c r="BP623" s="408"/>
      <c r="BQ623" s="405"/>
      <c r="BR623" s="405"/>
      <c r="BS623" s="405"/>
      <c r="BT623" s="405"/>
      <c r="BU623" s="405"/>
      <c r="BV623" s="405"/>
      <c r="BW623" s="405"/>
      <c r="BX623" s="405"/>
      <c r="BY623" s="405"/>
      <c r="BZ623" s="409"/>
      <c r="CA623" s="409"/>
      <c r="CB623" s="409"/>
    </row>
    <row r="624" spans="1:80" ht="30" customHeight="1" x14ac:dyDescent="0.2">
      <c r="A624" s="205"/>
      <c r="B624" s="42"/>
      <c r="C624" s="713"/>
      <c r="D624" s="707"/>
      <c r="E624" s="713"/>
      <c r="F624" s="713"/>
      <c r="G624" s="219">
        <v>46</v>
      </c>
      <c r="H624" s="79" t="s">
        <v>819</v>
      </c>
      <c r="I624" s="79"/>
      <c r="J624" s="79"/>
      <c r="K624" s="334"/>
      <c r="L624" s="334"/>
      <c r="M624" s="334"/>
      <c r="N624" s="173"/>
      <c r="O624" s="173"/>
      <c r="P624" s="79"/>
      <c r="Q624" s="79"/>
      <c r="R624" s="507"/>
      <c r="S624" s="507"/>
      <c r="T624" s="507"/>
      <c r="U624" s="507"/>
      <c r="V624" s="507"/>
      <c r="W624" s="507"/>
      <c r="X624" s="267"/>
      <c r="Y624" s="267"/>
      <c r="Z624" s="267"/>
      <c r="AA624" s="267"/>
      <c r="AB624" s="267"/>
      <c r="AC624" s="267"/>
      <c r="AD624" s="267"/>
      <c r="AE624" s="267"/>
      <c r="AF624" s="267"/>
      <c r="AG624" s="267"/>
      <c r="AH624" s="267"/>
      <c r="AI624" s="267"/>
      <c r="AJ624" s="267"/>
      <c r="AK624" s="267"/>
      <c r="AL624" s="267"/>
      <c r="AM624" s="267"/>
      <c r="AN624" s="267"/>
      <c r="AO624" s="267"/>
      <c r="AP624" s="267"/>
      <c r="AQ624" s="267"/>
      <c r="AR624" s="267"/>
      <c r="AS624" s="267"/>
      <c r="AT624" s="267"/>
      <c r="AU624" s="267"/>
      <c r="AV624" s="267"/>
      <c r="AW624" s="267"/>
      <c r="AX624" s="267"/>
      <c r="AY624" s="267"/>
      <c r="AZ624" s="267"/>
      <c r="BA624" s="267"/>
      <c r="BB624" s="267"/>
      <c r="BC624" s="267"/>
      <c r="BD624" s="267"/>
      <c r="BE624" s="267"/>
      <c r="BF624" s="267"/>
      <c r="BG624" s="267"/>
      <c r="BH624" s="267"/>
      <c r="BI624" s="267"/>
      <c r="BJ624" s="267"/>
      <c r="BK624" s="414"/>
      <c r="BL624" s="414"/>
      <c r="BM624" s="414"/>
      <c r="BN624" s="267"/>
      <c r="BO624" s="267"/>
      <c r="BP624" s="267"/>
      <c r="BQ624" s="267"/>
      <c r="BR624" s="267"/>
      <c r="BS624" s="267"/>
      <c r="BT624" s="267"/>
      <c r="BU624" s="267"/>
      <c r="BV624" s="267"/>
      <c r="BW624" s="267"/>
      <c r="BX624" s="267"/>
      <c r="BY624" s="267"/>
      <c r="BZ624" s="269"/>
      <c r="CA624" s="269"/>
      <c r="CB624" s="269"/>
    </row>
    <row r="625" spans="1:80" ht="74.25" customHeight="1" x14ac:dyDescent="0.2">
      <c r="A625" s="205"/>
      <c r="B625" s="42"/>
      <c r="C625" s="714">
        <v>26</v>
      </c>
      <c r="D625" s="709" t="s">
        <v>820</v>
      </c>
      <c r="E625" s="714" t="s">
        <v>754</v>
      </c>
      <c r="F625" s="714" t="s">
        <v>821</v>
      </c>
      <c r="G625" s="43"/>
      <c r="H625" s="57">
        <v>160</v>
      </c>
      <c r="I625" s="47" t="s">
        <v>822</v>
      </c>
      <c r="J625" s="57">
        <v>250</v>
      </c>
      <c r="K625" s="107">
        <v>300</v>
      </c>
      <c r="L625" s="107">
        <v>872</v>
      </c>
      <c r="M625" s="46">
        <v>2017003630066</v>
      </c>
      <c r="N625" s="57" t="s">
        <v>714</v>
      </c>
      <c r="O625" s="57" t="s">
        <v>823</v>
      </c>
      <c r="P625" s="729" t="s">
        <v>1016</v>
      </c>
      <c r="Q625" s="57" t="s">
        <v>52</v>
      </c>
      <c r="R625" s="401">
        <v>0</v>
      </c>
      <c r="S625" s="401"/>
      <c r="T625" s="401"/>
      <c r="U625" s="401">
        <v>0</v>
      </c>
      <c r="V625" s="401"/>
      <c r="W625" s="401"/>
      <c r="X625" s="401">
        <v>0</v>
      </c>
      <c r="Y625" s="401"/>
      <c r="Z625" s="401"/>
      <c r="AA625" s="401">
        <v>0</v>
      </c>
      <c r="AB625" s="401"/>
      <c r="AC625" s="401"/>
      <c r="AD625" s="401">
        <v>0</v>
      </c>
      <c r="AE625" s="401"/>
      <c r="AF625" s="401"/>
      <c r="AG625" s="401">
        <v>0</v>
      </c>
      <c r="AH625" s="401"/>
      <c r="AI625" s="401"/>
      <c r="AJ625" s="401">
        <v>0</v>
      </c>
      <c r="AK625" s="401"/>
      <c r="AL625" s="401"/>
      <c r="AM625" s="680">
        <f>970000000+32822900+134293814-229410811</f>
        <v>907705903</v>
      </c>
      <c r="AN625" s="401">
        <v>846407105</v>
      </c>
      <c r="AO625" s="401">
        <v>340718053</v>
      </c>
      <c r="AP625" s="402"/>
      <c r="AQ625" s="402"/>
      <c r="AR625" s="402"/>
      <c r="AS625" s="401">
        <v>66328505</v>
      </c>
      <c r="AT625" s="401">
        <v>66290115</v>
      </c>
      <c r="AU625" s="401">
        <v>71851</v>
      </c>
      <c r="AV625" s="401">
        <v>0</v>
      </c>
      <c r="AW625" s="401"/>
      <c r="AX625" s="401"/>
      <c r="AY625" s="401"/>
      <c r="AZ625" s="401"/>
      <c r="BA625" s="401"/>
      <c r="BB625" s="401"/>
      <c r="BC625" s="401"/>
      <c r="BD625" s="401"/>
      <c r="BE625" s="401">
        <v>0</v>
      </c>
      <c r="BF625" s="401"/>
      <c r="BG625" s="401"/>
      <c r="BH625" s="401">
        <v>0</v>
      </c>
      <c r="BI625" s="401"/>
      <c r="BJ625" s="401"/>
      <c r="BK625" s="402">
        <v>0</v>
      </c>
      <c r="BL625" s="402"/>
      <c r="BM625" s="402"/>
      <c r="BN625" s="415"/>
      <c r="BO625" s="415"/>
      <c r="BP625" s="415"/>
      <c r="BQ625" s="401">
        <v>0</v>
      </c>
      <c r="BR625" s="403"/>
      <c r="BS625" s="403"/>
      <c r="BT625" s="403"/>
      <c r="BU625" s="403"/>
      <c r="BV625" s="403"/>
      <c r="BW625" s="403">
        <v>36818951</v>
      </c>
      <c r="BX625" s="403">
        <v>36818951</v>
      </c>
      <c r="BY625" s="403">
        <v>36818951</v>
      </c>
      <c r="BZ625" s="401">
        <f t="shared" ref="BZ625:CB627" si="279">R625+U625+X625+AA625+AD625+AG625+AJ625+AM625+AP625+AS625+AV625+AY625+BB625+BE625+BH625+BK625+BN625+BQ625+BT625+BW625</f>
        <v>1010853359</v>
      </c>
      <c r="CA625" s="401">
        <f t="shared" si="279"/>
        <v>949516171</v>
      </c>
      <c r="CB625" s="401">
        <f t="shared" si="279"/>
        <v>377608855</v>
      </c>
    </row>
    <row r="626" spans="1:80" ht="106.5" customHeight="1" x14ac:dyDescent="0.2">
      <c r="A626" s="205"/>
      <c r="B626" s="42"/>
      <c r="C626" s="895" t="s">
        <v>1094</v>
      </c>
      <c r="D626" s="890" t="s">
        <v>825</v>
      </c>
      <c r="E626" s="895" t="s">
        <v>826</v>
      </c>
      <c r="F626" s="895" t="s">
        <v>827</v>
      </c>
      <c r="G626" s="49"/>
      <c r="H626" s="57">
        <v>161</v>
      </c>
      <c r="I626" s="729" t="s">
        <v>828</v>
      </c>
      <c r="J626" s="57">
        <v>90</v>
      </c>
      <c r="K626" s="107">
        <v>100</v>
      </c>
      <c r="L626" s="107">
        <v>100</v>
      </c>
      <c r="M626" s="884">
        <v>2017003630110</v>
      </c>
      <c r="N626" s="895" t="s">
        <v>714</v>
      </c>
      <c r="O626" s="895" t="s">
        <v>829</v>
      </c>
      <c r="P626" s="890" t="s">
        <v>830</v>
      </c>
      <c r="Q626" s="57" t="s">
        <v>52</v>
      </c>
      <c r="R626" s="401">
        <v>0</v>
      </c>
      <c r="S626" s="401"/>
      <c r="T626" s="401"/>
      <c r="U626" s="401">
        <v>0</v>
      </c>
      <c r="V626" s="401"/>
      <c r="W626" s="401"/>
      <c r="X626" s="401">
        <v>0</v>
      </c>
      <c r="Y626" s="401"/>
      <c r="Z626" s="401"/>
      <c r="AA626" s="401">
        <v>0</v>
      </c>
      <c r="AB626" s="401"/>
      <c r="AC626" s="401"/>
      <c r="AD626" s="401">
        <v>0</v>
      </c>
      <c r="AE626" s="401"/>
      <c r="AF626" s="401"/>
      <c r="AG626" s="401">
        <v>0</v>
      </c>
      <c r="AH626" s="401"/>
      <c r="AI626" s="401"/>
      <c r="AJ626" s="401">
        <v>0</v>
      </c>
      <c r="AK626" s="401"/>
      <c r="AL626" s="401"/>
      <c r="AM626" s="401">
        <f>90000000</f>
        <v>90000000</v>
      </c>
      <c r="AN626" s="401">
        <v>86700000</v>
      </c>
      <c r="AO626" s="401">
        <v>86700000</v>
      </c>
      <c r="AP626" s="402"/>
      <c r="AQ626" s="402"/>
      <c r="AR626" s="402"/>
      <c r="AS626" s="401">
        <v>46340000</v>
      </c>
      <c r="AT626" s="401">
        <v>22760000</v>
      </c>
      <c r="AU626" s="401"/>
      <c r="AV626" s="401">
        <v>0</v>
      </c>
      <c r="AW626" s="401"/>
      <c r="AX626" s="401"/>
      <c r="AY626" s="401"/>
      <c r="AZ626" s="401"/>
      <c r="BA626" s="401"/>
      <c r="BB626" s="401"/>
      <c r="BC626" s="401"/>
      <c r="BD626" s="401"/>
      <c r="BE626" s="401">
        <v>0</v>
      </c>
      <c r="BF626" s="401"/>
      <c r="BG626" s="401"/>
      <c r="BH626" s="401">
        <v>0</v>
      </c>
      <c r="BI626" s="401"/>
      <c r="BJ626" s="401"/>
      <c r="BK626" s="402">
        <v>0</v>
      </c>
      <c r="BL626" s="402"/>
      <c r="BM626" s="402"/>
      <c r="BN626" s="415"/>
      <c r="BO626" s="415"/>
      <c r="BP626" s="415"/>
      <c r="BQ626" s="401">
        <v>0</v>
      </c>
      <c r="BR626" s="403"/>
      <c r="BS626" s="403"/>
      <c r="BT626" s="403"/>
      <c r="BU626" s="403"/>
      <c r="BV626" s="403"/>
      <c r="BW626" s="403"/>
      <c r="BX626" s="403"/>
      <c r="BY626" s="403"/>
      <c r="BZ626" s="401">
        <f t="shared" si="279"/>
        <v>136340000</v>
      </c>
      <c r="CA626" s="401">
        <f t="shared" si="279"/>
        <v>109460000</v>
      </c>
      <c r="CB626" s="401">
        <f t="shared" si="279"/>
        <v>86700000</v>
      </c>
    </row>
    <row r="627" spans="1:80" ht="106.5" customHeight="1" x14ac:dyDescent="0.2">
      <c r="A627" s="205"/>
      <c r="B627" s="42"/>
      <c r="C627" s="883"/>
      <c r="D627" s="891"/>
      <c r="E627" s="883"/>
      <c r="F627" s="883"/>
      <c r="G627" s="92"/>
      <c r="H627" s="57">
        <v>162</v>
      </c>
      <c r="I627" s="729" t="s">
        <v>831</v>
      </c>
      <c r="J627" s="57">
        <v>83</v>
      </c>
      <c r="K627" s="107">
        <v>83</v>
      </c>
      <c r="L627" s="107">
        <v>83</v>
      </c>
      <c r="M627" s="886"/>
      <c r="N627" s="898"/>
      <c r="O627" s="898"/>
      <c r="P627" s="892"/>
      <c r="Q627" s="57" t="s">
        <v>52</v>
      </c>
      <c r="R627" s="401">
        <v>0</v>
      </c>
      <c r="S627" s="401"/>
      <c r="T627" s="401"/>
      <c r="U627" s="401">
        <v>0</v>
      </c>
      <c r="V627" s="401"/>
      <c r="W627" s="401"/>
      <c r="X627" s="401">
        <v>0</v>
      </c>
      <c r="Y627" s="401"/>
      <c r="Z627" s="401"/>
      <c r="AA627" s="401">
        <v>0</v>
      </c>
      <c r="AB627" s="401"/>
      <c r="AC627" s="401"/>
      <c r="AD627" s="401">
        <v>0</v>
      </c>
      <c r="AE627" s="401"/>
      <c r="AF627" s="401"/>
      <c r="AG627" s="401">
        <v>0</v>
      </c>
      <c r="AH627" s="401"/>
      <c r="AI627" s="401"/>
      <c r="AJ627" s="401">
        <v>0</v>
      </c>
      <c r="AK627" s="401"/>
      <c r="AL627" s="401"/>
      <c r="AM627" s="48">
        <f>225000000+27584843</f>
        <v>252584843</v>
      </c>
      <c r="AN627" s="48">
        <v>226051000</v>
      </c>
      <c r="AO627" s="48">
        <v>165602000</v>
      </c>
      <c r="AP627" s="402"/>
      <c r="AQ627" s="402"/>
      <c r="AR627" s="402"/>
      <c r="AS627" s="401">
        <v>40702000</v>
      </c>
      <c r="AT627" s="401">
        <v>27720000</v>
      </c>
      <c r="AU627" s="401">
        <v>7920000</v>
      </c>
      <c r="AV627" s="401">
        <v>0</v>
      </c>
      <c r="AW627" s="401"/>
      <c r="AX627" s="401"/>
      <c r="AY627" s="401"/>
      <c r="AZ627" s="401"/>
      <c r="BA627" s="401"/>
      <c r="BB627" s="401"/>
      <c r="BC627" s="401"/>
      <c r="BD627" s="401"/>
      <c r="BE627" s="401">
        <v>0</v>
      </c>
      <c r="BF627" s="401"/>
      <c r="BG627" s="401"/>
      <c r="BH627" s="401">
        <v>0</v>
      </c>
      <c r="BI627" s="401"/>
      <c r="BJ627" s="401"/>
      <c r="BK627" s="402">
        <v>0</v>
      </c>
      <c r="BL627" s="402"/>
      <c r="BM627" s="402"/>
      <c r="BN627" s="415"/>
      <c r="BO627" s="415"/>
      <c r="BP627" s="415"/>
      <c r="BQ627" s="401">
        <v>0</v>
      </c>
      <c r="BR627" s="403"/>
      <c r="BS627" s="403"/>
      <c r="BT627" s="403"/>
      <c r="BU627" s="403"/>
      <c r="BV627" s="403"/>
      <c r="BW627" s="403">
        <v>30000000</v>
      </c>
      <c r="BX627" s="403">
        <v>6072000</v>
      </c>
      <c r="BY627" s="403"/>
      <c r="BZ627" s="401">
        <f t="shared" si="279"/>
        <v>323286843</v>
      </c>
      <c r="CA627" s="401">
        <f t="shared" si="279"/>
        <v>259843000</v>
      </c>
      <c r="CB627" s="401">
        <f t="shared" si="279"/>
        <v>173522000</v>
      </c>
    </row>
    <row r="628" spans="1:80" ht="30.75" customHeight="1" x14ac:dyDescent="0.2">
      <c r="A628" s="42"/>
      <c r="B628" s="55"/>
      <c r="C628" s="714"/>
      <c r="D628" s="709"/>
      <c r="E628" s="714"/>
      <c r="F628" s="714"/>
      <c r="G628" s="58"/>
      <c r="H628" s="59"/>
      <c r="I628" s="58"/>
      <c r="J628" s="59"/>
      <c r="K628" s="136"/>
      <c r="L628" s="136"/>
      <c r="M628" s="136"/>
      <c r="N628" s="59"/>
      <c r="O628" s="59"/>
      <c r="P628" s="58"/>
      <c r="Q628" s="59"/>
      <c r="R628" s="410">
        <f t="shared" ref="R628:BY628" si="280">SUM(R625:R627)</f>
        <v>0</v>
      </c>
      <c r="S628" s="410">
        <f t="shared" si="280"/>
        <v>0</v>
      </c>
      <c r="T628" s="410">
        <f t="shared" si="280"/>
        <v>0</v>
      </c>
      <c r="U628" s="410">
        <f t="shared" si="280"/>
        <v>0</v>
      </c>
      <c r="V628" s="410">
        <f t="shared" si="280"/>
        <v>0</v>
      </c>
      <c r="W628" s="410">
        <f t="shared" si="280"/>
        <v>0</v>
      </c>
      <c r="X628" s="410">
        <f t="shared" si="280"/>
        <v>0</v>
      </c>
      <c r="Y628" s="410">
        <f t="shared" si="280"/>
        <v>0</v>
      </c>
      <c r="Z628" s="410">
        <f t="shared" si="280"/>
        <v>0</v>
      </c>
      <c r="AA628" s="410">
        <f t="shared" si="280"/>
        <v>0</v>
      </c>
      <c r="AB628" s="410">
        <f t="shared" si="280"/>
        <v>0</v>
      </c>
      <c r="AC628" s="410">
        <f t="shared" si="280"/>
        <v>0</v>
      </c>
      <c r="AD628" s="410">
        <f t="shared" si="280"/>
        <v>0</v>
      </c>
      <c r="AE628" s="410">
        <f t="shared" si="280"/>
        <v>0</v>
      </c>
      <c r="AF628" s="410">
        <f t="shared" si="280"/>
        <v>0</v>
      </c>
      <c r="AG628" s="410">
        <f t="shared" si="280"/>
        <v>0</v>
      </c>
      <c r="AH628" s="410">
        <f t="shared" si="280"/>
        <v>0</v>
      </c>
      <c r="AI628" s="410">
        <f t="shared" si="280"/>
        <v>0</v>
      </c>
      <c r="AJ628" s="410">
        <f t="shared" si="280"/>
        <v>0</v>
      </c>
      <c r="AK628" s="410">
        <f t="shared" si="280"/>
        <v>0</v>
      </c>
      <c r="AL628" s="410">
        <f t="shared" si="280"/>
        <v>0</v>
      </c>
      <c r="AM628" s="410">
        <f t="shared" si="280"/>
        <v>1250290746</v>
      </c>
      <c r="AN628" s="410">
        <f t="shared" si="280"/>
        <v>1159158105</v>
      </c>
      <c r="AO628" s="410">
        <f t="shared" si="280"/>
        <v>593020053</v>
      </c>
      <c r="AP628" s="410">
        <f t="shared" si="280"/>
        <v>0</v>
      </c>
      <c r="AQ628" s="410">
        <f t="shared" si="280"/>
        <v>0</v>
      </c>
      <c r="AR628" s="410">
        <f t="shared" si="280"/>
        <v>0</v>
      </c>
      <c r="AS628" s="410">
        <f t="shared" si="280"/>
        <v>153370505</v>
      </c>
      <c r="AT628" s="410">
        <f t="shared" si="280"/>
        <v>116770115</v>
      </c>
      <c r="AU628" s="410">
        <f t="shared" si="280"/>
        <v>7991851</v>
      </c>
      <c r="AV628" s="410">
        <f t="shared" si="280"/>
        <v>0</v>
      </c>
      <c r="AW628" s="410">
        <f t="shared" si="280"/>
        <v>0</v>
      </c>
      <c r="AX628" s="410">
        <f t="shared" si="280"/>
        <v>0</v>
      </c>
      <c r="AY628" s="410">
        <f t="shared" si="280"/>
        <v>0</v>
      </c>
      <c r="AZ628" s="410">
        <f t="shared" si="280"/>
        <v>0</v>
      </c>
      <c r="BA628" s="410">
        <f t="shared" si="280"/>
        <v>0</v>
      </c>
      <c r="BB628" s="410">
        <f t="shared" si="280"/>
        <v>0</v>
      </c>
      <c r="BC628" s="410">
        <f t="shared" si="280"/>
        <v>0</v>
      </c>
      <c r="BD628" s="410">
        <f t="shared" si="280"/>
        <v>0</v>
      </c>
      <c r="BE628" s="410">
        <f t="shared" si="280"/>
        <v>0</v>
      </c>
      <c r="BF628" s="410">
        <f t="shared" si="280"/>
        <v>0</v>
      </c>
      <c r="BG628" s="410">
        <f t="shared" si="280"/>
        <v>0</v>
      </c>
      <c r="BH628" s="410">
        <f t="shared" si="280"/>
        <v>0</v>
      </c>
      <c r="BI628" s="410">
        <f t="shared" si="280"/>
        <v>0</v>
      </c>
      <c r="BJ628" s="410">
        <f t="shared" si="280"/>
        <v>0</v>
      </c>
      <c r="BK628" s="410">
        <f t="shared" si="280"/>
        <v>0</v>
      </c>
      <c r="BL628" s="410">
        <f t="shared" si="280"/>
        <v>0</v>
      </c>
      <c r="BM628" s="410">
        <f t="shared" si="280"/>
        <v>0</v>
      </c>
      <c r="BN628" s="410">
        <f t="shared" si="280"/>
        <v>0</v>
      </c>
      <c r="BO628" s="410">
        <f t="shared" si="280"/>
        <v>0</v>
      </c>
      <c r="BP628" s="410">
        <f t="shared" si="280"/>
        <v>0</v>
      </c>
      <c r="BQ628" s="410">
        <f t="shared" si="280"/>
        <v>0</v>
      </c>
      <c r="BR628" s="410">
        <f t="shared" si="280"/>
        <v>0</v>
      </c>
      <c r="BS628" s="410">
        <f t="shared" si="280"/>
        <v>0</v>
      </c>
      <c r="BT628" s="410">
        <f t="shared" si="280"/>
        <v>0</v>
      </c>
      <c r="BU628" s="410">
        <f t="shared" si="280"/>
        <v>0</v>
      </c>
      <c r="BV628" s="410">
        <f t="shared" si="280"/>
        <v>0</v>
      </c>
      <c r="BW628" s="410">
        <f t="shared" si="280"/>
        <v>66818951</v>
      </c>
      <c r="BX628" s="410">
        <f t="shared" si="280"/>
        <v>42890951</v>
      </c>
      <c r="BY628" s="410">
        <f t="shared" si="280"/>
        <v>36818951</v>
      </c>
      <c r="BZ628" s="410">
        <f>SUM(BZ625:BZ627)</f>
        <v>1470480202</v>
      </c>
      <c r="CA628" s="410">
        <f t="shared" ref="CA628:CB628" si="281">SUM(CA625:CA627)</f>
        <v>1318819171</v>
      </c>
      <c r="CB628" s="410">
        <f t="shared" si="281"/>
        <v>637830855</v>
      </c>
    </row>
    <row r="629" spans="1:80" ht="30" customHeight="1" x14ac:dyDescent="0.2">
      <c r="A629" s="42"/>
      <c r="B629" s="95"/>
      <c r="C629" s="63"/>
      <c r="D629" s="62"/>
      <c r="E629" s="63"/>
      <c r="F629" s="63"/>
      <c r="G629" s="62"/>
      <c r="H629" s="63"/>
      <c r="I629" s="62"/>
      <c r="J629" s="63"/>
      <c r="K629" s="147"/>
      <c r="L629" s="147"/>
      <c r="M629" s="147"/>
      <c r="N629" s="63"/>
      <c r="O629" s="63"/>
      <c r="P629" s="62"/>
      <c r="Q629" s="63"/>
      <c r="R629" s="416">
        <f t="shared" ref="R629:BY629" si="282">R628+R622+R617+R610+R604+R599+R594+R586+R580+R574+R567</f>
        <v>0</v>
      </c>
      <c r="S629" s="416">
        <f t="shared" si="282"/>
        <v>0</v>
      </c>
      <c r="T629" s="416">
        <f t="shared" si="282"/>
        <v>0</v>
      </c>
      <c r="U629" s="416">
        <f t="shared" si="282"/>
        <v>0</v>
      </c>
      <c r="V629" s="416">
        <f t="shared" si="282"/>
        <v>0</v>
      </c>
      <c r="W629" s="416">
        <f t="shared" si="282"/>
        <v>0</v>
      </c>
      <c r="X629" s="416">
        <f t="shared" si="282"/>
        <v>0</v>
      </c>
      <c r="Y629" s="416">
        <f t="shared" si="282"/>
        <v>0</v>
      </c>
      <c r="Z629" s="416">
        <f t="shared" si="282"/>
        <v>0</v>
      </c>
      <c r="AA629" s="416">
        <f t="shared" si="282"/>
        <v>0</v>
      </c>
      <c r="AB629" s="416">
        <f t="shared" si="282"/>
        <v>0</v>
      </c>
      <c r="AC629" s="416">
        <f t="shared" si="282"/>
        <v>0</v>
      </c>
      <c r="AD629" s="416">
        <f t="shared" si="282"/>
        <v>0</v>
      </c>
      <c r="AE629" s="416">
        <f t="shared" si="282"/>
        <v>0</v>
      </c>
      <c r="AF629" s="416">
        <f t="shared" si="282"/>
        <v>0</v>
      </c>
      <c r="AG629" s="416">
        <f t="shared" si="282"/>
        <v>0</v>
      </c>
      <c r="AH629" s="416">
        <f t="shared" si="282"/>
        <v>0</v>
      </c>
      <c r="AI629" s="416">
        <f t="shared" si="282"/>
        <v>0</v>
      </c>
      <c r="AJ629" s="416">
        <f t="shared" si="282"/>
        <v>0</v>
      </c>
      <c r="AK629" s="416">
        <f t="shared" si="282"/>
        <v>0</v>
      </c>
      <c r="AL629" s="416">
        <f t="shared" si="282"/>
        <v>0</v>
      </c>
      <c r="AM629" s="416">
        <f t="shared" si="282"/>
        <v>3974477812</v>
      </c>
      <c r="AN629" s="416">
        <f t="shared" si="282"/>
        <v>3260629965</v>
      </c>
      <c r="AO629" s="416">
        <f t="shared" si="282"/>
        <v>2072280364</v>
      </c>
      <c r="AP629" s="416">
        <f t="shared" si="282"/>
        <v>0</v>
      </c>
      <c r="AQ629" s="416">
        <f t="shared" si="282"/>
        <v>0</v>
      </c>
      <c r="AR629" s="416">
        <f t="shared" si="282"/>
        <v>0</v>
      </c>
      <c r="AS629" s="416">
        <f t="shared" si="282"/>
        <v>359370505</v>
      </c>
      <c r="AT629" s="416">
        <f t="shared" si="282"/>
        <v>278002448</v>
      </c>
      <c r="AU629" s="416">
        <f t="shared" si="282"/>
        <v>31521851</v>
      </c>
      <c r="AV629" s="416">
        <f t="shared" si="282"/>
        <v>1224647292</v>
      </c>
      <c r="AW629" s="416">
        <f t="shared" si="282"/>
        <v>424400000</v>
      </c>
      <c r="AX629" s="416">
        <f t="shared" si="282"/>
        <v>292275057</v>
      </c>
      <c r="AY629" s="416">
        <f t="shared" si="282"/>
        <v>0</v>
      </c>
      <c r="AZ629" s="416">
        <f t="shared" si="282"/>
        <v>0</v>
      </c>
      <c r="BA629" s="416">
        <f t="shared" si="282"/>
        <v>0</v>
      </c>
      <c r="BB629" s="416">
        <f t="shared" si="282"/>
        <v>0</v>
      </c>
      <c r="BC629" s="416">
        <f t="shared" si="282"/>
        <v>0</v>
      </c>
      <c r="BD629" s="416">
        <f t="shared" si="282"/>
        <v>0</v>
      </c>
      <c r="BE629" s="416">
        <f t="shared" si="282"/>
        <v>0</v>
      </c>
      <c r="BF629" s="416">
        <f t="shared" si="282"/>
        <v>0</v>
      </c>
      <c r="BG629" s="416">
        <f t="shared" si="282"/>
        <v>0</v>
      </c>
      <c r="BH629" s="416">
        <f t="shared" si="282"/>
        <v>0</v>
      </c>
      <c r="BI629" s="416">
        <f t="shared" si="282"/>
        <v>0</v>
      </c>
      <c r="BJ629" s="416">
        <f t="shared" si="282"/>
        <v>0</v>
      </c>
      <c r="BK629" s="416">
        <f t="shared" si="282"/>
        <v>60000000</v>
      </c>
      <c r="BL629" s="416">
        <f t="shared" si="282"/>
        <v>51480000</v>
      </c>
      <c r="BM629" s="416">
        <f t="shared" si="282"/>
        <v>31680000</v>
      </c>
      <c r="BN629" s="416">
        <f t="shared" si="282"/>
        <v>0</v>
      </c>
      <c r="BO629" s="416">
        <f t="shared" si="282"/>
        <v>0</v>
      </c>
      <c r="BP629" s="416">
        <f t="shared" si="282"/>
        <v>0</v>
      </c>
      <c r="BQ629" s="416">
        <f t="shared" si="282"/>
        <v>0</v>
      </c>
      <c r="BR629" s="416">
        <f t="shared" si="282"/>
        <v>0</v>
      </c>
      <c r="BS629" s="416">
        <f t="shared" si="282"/>
        <v>0</v>
      </c>
      <c r="BT629" s="416">
        <f t="shared" si="282"/>
        <v>0</v>
      </c>
      <c r="BU629" s="416">
        <f t="shared" si="282"/>
        <v>0</v>
      </c>
      <c r="BV629" s="416">
        <f t="shared" si="282"/>
        <v>0</v>
      </c>
      <c r="BW629" s="416">
        <f t="shared" si="282"/>
        <v>730568461</v>
      </c>
      <c r="BX629" s="416">
        <f t="shared" si="282"/>
        <v>355149802</v>
      </c>
      <c r="BY629" s="416">
        <f t="shared" si="282"/>
        <v>221495987</v>
      </c>
      <c r="BZ629" s="416">
        <f>BZ628+BZ622+BZ617+BZ610+BZ604+BZ599+BZ594+BZ586+BZ580+BZ574+BZ567</f>
        <v>6349064070</v>
      </c>
      <c r="CA629" s="416">
        <f t="shared" ref="CA629:CB629" si="283">CA628+CA622+CA617+CA610+CA604+CA599+CA594+CA586+CA580+CA574+CA567</f>
        <v>4369662215</v>
      </c>
      <c r="CB629" s="416">
        <f t="shared" si="283"/>
        <v>2649253259</v>
      </c>
    </row>
    <row r="630" spans="1:80" ht="30" customHeight="1" x14ac:dyDescent="0.2">
      <c r="A630" s="42"/>
      <c r="B630" s="72"/>
      <c r="C630" s="150"/>
      <c r="D630" s="72"/>
      <c r="E630" s="150"/>
      <c r="F630" s="150"/>
      <c r="G630" s="72"/>
      <c r="H630" s="150"/>
      <c r="I630" s="72"/>
      <c r="J630" s="150"/>
      <c r="K630" s="151"/>
      <c r="L630" s="265"/>
      <c r="M630" s="265"/>
      <c r="N630" s="400"/>
      <c r="O630" s="400"/>
      <c r="P630" s="101"/>
      <c r="Q630" s="150"/>
      <c r="R630" s="405"/>
      <c r="S630" s="405"/>
      <c r="T630" s="405"/>
      <c r="U630" s="405"/>
      <c r="V630" s="405"/>
      <c r="W630" s="405"/>
      <c r="X630" s="405"/>
      <c r="Y630" s="405"/>
      <c r="Z630" s="405"/>
      <c r="AA630" s="405"/>
      <c r="AB630" s="405"/>
      <c r="AC630" s="405"/>
      <c r="AD630" s="405"/>
      <c r="AE630" s="405"/>
      <c r="AF630" s="405"/>
      <c r="AG630" s="405"/>
      <c r="AH630" s="405"/>
      <c r="AI630" s="405"/>
      <c r="AJ630" s="405"/>
      <c r="AK630" s="405"/>
      <c r="AL630" s="405"/>
      <c r="AM630" s="405"/>
      <c r="AN630" s="405"/>
      <c r="AO630" s="405"/>
      <c r="AP630" s="405"/>
      <c r="AQ630" s="405"/>
      <c r="AR630" s="405"/>
      <c r="AS630" s="405"/>
      <c r="AT630" s="405"/>
      <c r="AU630" s="405"/>
      <c r="AV630" s="405"/>
      <c r="AW630" s="405"/>
      <c r="AX630" s="405"/>
      <c r="AY630" s="405"/>
      <c r="AZ630" s="405"/>
      <c r="BA630" s="405"/>
      <c r="BB630" s="405"/>
      <c r="BC630" s="405"/>
      <c r="BD630" s="405"/>
      <c r="BE630" s="405"/>
      <c r="BF630" s="405"/>
      <c r="BG630" s="405"/>
      <c r="BH630" s="405"/>
      <c r="BI630" s="405"/>
      <c r="BJ630" s="405"/>
      <c r="BK630" s="407"/>
      <c r="BL630" s="407"/>
      <c r="BM630" s="407"/>
      <c r="BN630" s="405"/>
      <c r="BO630" s="405"/>
      <c r="BP630" s="405"/>
      <c r="BQ630" s="405"/>
      <c r="BR630" s="405"/>
      <c r="BS630" s="405"/>
      <c r="BT630" s="405"/>
      <c r="BU630" s="405"/>
      <c r="BV630" s="405"/>
      <c r="BW630" s="406"/>
      <c r="BX630" s="406"/>
      <c r="BY630" s="406"/>
      <c r="BZ630" s="409"/>
      <c r="CA630" s="409"/>
      <c r="CB630" s="409"/>
    </row>
    <row r="631" spans="1:80" ht="30" customHeight="1" x14ac:dyDescent="0.2">
      <c r="A631" s="42"/>
      <c r="B631" s="327">
        <v>13</v>
      </c>
      <c r="C631" s="38" t="s">
        <v>832</v>
      </c>
      <c r="D631" s="39"/>
      <c r="E631" s="39"/>
      <c r="F631" s="39"/>
      <c r="G631" s="39"/>
      <c r="H631" s="40"/>
      <c r="I631" s="39"/>
      <c r="J631" s="39"/>
      <c r="K631" s="126"/>
      <c r="L631" s="126"/>
      <c r="M631" s="126"/>
      <c r="N631" s="40"/>
      <c r="O631" s="40"/>
      <c r="P631" s="39"/>
      <c r="Q631" s="39"/>
      <c r="R631" s="412"/>
      <c r="S631" s="412"/>
      <c r="T631" s="412"/>
      <c r="U631" s="412"/>
      <c r="V631" s="412"/>
      <c r="W631" s="412"/>
      <c r="X631" s="412"/>
      <c r="Y631" s="412"/>
      <c r="Z631" s="412"/>
      <c r="AA631" s="412"/>
      <c r="AB631" s="412"/>
      <c r="AC631" s="412"/>
      <c r="AD631" s="412"/>
      <c r="AE631" s="412"/>
      <c r="AF631" s="412"/>
      <c r="AG631" s="412"/>
      <c r="AH631" s="412"/>
      <c r="AI631" s="412"/>
      <c r="AJ631" s="412"/>
      <c r="AK631" s="412"/>
      <c r="AL631" s="412"/>
      <c r="AM631" s="412"/>
      <c r="AN631" s="412"/>
      <c r="AO631" s="412"/>
      <c r="AP631" s="412"/>
      <c r="AQ631" s="412"/>
      <c r="AR631" s="412"/>
      <c r="AS631" s="412"/>
      <c r="AT631" s="412"/>
      <c r="AU631" s="412"/>
      <c r="AV631" s="412"/>
      <c r="AW631" s="412"/>
      <c r="AX631" s="412"/>
      <c r="AY631" s="412"/>
      <c r="AZ631" s="412"/>
      <c r="BA631" s="412"/>
      <c r="BB631" s="412"/>
      <c r="BC631" s="412"/>
      <c r="BD631" s="412"/>
      <c r="BE631" s="412"/>
      <c r="BF631" s="412"/>
      <c r="BG631" s="412"/>
      <c r="BH631" s="412"/>
      <c r="BI631" s="412"/>
      <c r="BJ631" s="412"/>
      <c r="BK631" s="413"/>
      <c r="BL631" s="413"/>
      <c r="BM631" s="413"/>
      <c r="BN631" s="412"/>
      <c r="BO631" s="412"/>
      <c r="BP631" s="412"/>
      <c r="BQ631" s="412"/>
      <c r="BR631" s="412"/>
      <c r="BS631" s="412"/>
      <c r="BT631" s="412"/>
      <c r="BU631" s="412"/>
      <c r="BV631" s="412"/>
      <c r="BW631" s="412"/>
      <c r="BX631" s="412"/>
      <c r="BY631" s="412"/>
      <c r="BZ631" s="417"/>
      <c r="CA631" s="417"/>
      <c r="CB631" s="417"/>
    </row>
    <row r="632" spans="1:80" ht="30" customHeight="1" x14ac:dyDescent="0.2">
      <c r="A632" s="205"/>
      <c r="B632" s="42"/>
      <c r="C632" s="713"/>
      <c r="D632" s="707"/>
      <c r="E632" s="713"/>
      <c r="F632" s="713"/>
      <c r="G632" s="219">
        <v>47</v>
      </c>
      <c r="H632" s="79" t="s">
        <v>833</v>
      </c>
      <c r="I632" s="79"/>
      <c r="J632" s="79"/>
      <c r="K632" s="334"/>
      <c r="L632" s="334"/>
      <c r="M632" s="334"/>
      <c r="N632" s="173"/>
      <c r="O632" s="173"/>
      <c r="P632" s="79"/>
      <c r="Q632" s="79"/>
      <c r="R632" s="267"/>
      <c r="S632" s="267"/>
      <c r="T632" s="267"/>
      <c r="U632" s="267"/>
      <c r="V632" s="267"/>
      <c r="W632" s="267"/>
      <c r="X632" s="267"/>
      <c r="Y632" s="267"/>
      <c r="Z632" s="267"/>
      <c r="AA632" s="267"/>
      <c r="AB632" s="267"/>
      <c r="AC632" s="267"/>
      <c r="AD632" s="267"/>
      <c r="AE632" s="267"/>
      <c r="AF632" s="267"/>
      <c r="AG632" s="267"/>
      <c r="AH632" s="267"/>
      <c r="AI632" s="267"/>
      <c r="AJ632" s="267"/>
      <c r="AK632" s="267"/>
      <c r="AL632" s="267"/>
      <c r="AM632" s="267"/>
      <c r="AN632" s="267"/>
      <c r="AO632" s="267"/>
      <c r="AP632" s="267"/>
      <c r="AQ632" s="267"/>
      <c r="AR632" s="267"/>
      <c r="AS632" s="267"/>
      <c r="AT632" s="267"/>
      <c r="AU632" s="267"/>
      <c r="AV632" s="267"/>
      <c r="AW632" s="267"/>
      <c r="AX632" s="267"/>
      <c r="AY632" s="267"/>
      <c r="AZ632" s="267"/>
      <c r="BA632" s="267"/>
      <c r="BB632" s="267"/>
      <c r="BC632" s="267"/>
      <c r="BD632" s="267"/>
      <c r="BE632" s="267"/>
      <c r="BF632" s="267"/>
      <c r="BG632" s="267"/>
      <c r="BH632" s="267"/>
      <c r="BI632" s="267"/>
      <c r="BJ632" s="267"/>
      <c r="BK632" s="414"/>
      <c r="BL632" s="414"/>
      <c r="BM632" s="414"/>
      <c r="BN632" s="267"/>
      <c r="BO632" s="267"/>
      <c r="BP632" s="267"/>
      <c r="BQ632" s="267"/>
      <c r="BR632" s="267"/>
      <c r="BS632" s="267"/>
      <c r="BT632" s="267"/>
      <c r="BU632" s="267"/>
      <c r="BV632" s="267"/>
      <c r="BW632" s="267"/>
      <c r="BX632" s="267"/>
      <c r="BY632" s="267"/>
      <c r="BZ632" s="269"/>
      <c r="CA632" s="269"/>
      <c r="CB632" s="269"/>
    </row>
    <row r="633" spans="1:80" ht="84" customHeight="1" x14ac:dyDescent="0.2">
      <c r="A633" s="205"/>
      <c r="B633" s="42"/>
      <c r="C633" s="702">
        <v>27</v>
      </c>
      <c r="D633" s="49" t="s">
        <v>834</v>
      </c>
      <c r="E633" s="716">
        <v>0.89949999999999997</v>
      </c>
      <c r="F633" s="712">
        <v>0.92</v>
      </c>
      <c r="G633" s="729"/>
      <c r="H633" s="57">
        <v>163</v>
      </c>
      <c r="I633" s="729" t="s">
        <v>835</v>
      </c>
      <c r="J633" s="57">
        <v>12</v>
      </c>
      <c r="K633" s="107">
        <v>12</v>
      </c>
      <c r="L633" s="107">
        <v>12</v>
      </c>
      <c r="M633" s="46">
        <v>2017003630064</v>
      </c>
      <c r="N633" s="57" t="s">
        <v>714</v>
      </c>
      <c r="O633" s="57" t="s">
        <v>836</v>
      </c>
      <c r="P633" s="729" t="s">
        <v>837</v>
      </c>
      <c r="Q633" s="57" t="s">
        <v>52</v>
      </c>
      <c r="R633" s="401">
        <v>0</v>
      </c>
      <c r="S633" s="401"/>
      <c r="T633" s="401"/>
      <c r="U633" s="401">
        <v>0</v>
      </c>
      <c r="V633" s="401"/>
      <c r="W633" s="401"/>
      <c r="X633" s="401">
        <v>0</v>
      </c>
      <c r="Y633" s="401"/>
      <c r="Z633" s="401"/>
      <c r="AA633" s="401">
        <v>0</v>
      </c>
      <c r="AB633" s="401"/>
      <c r="AC633" s="401"/>
      <c r="AD633" s="401">
        <v>0</v>
      </c>
      <c r="AE633" s="401"/>
      <c r="AF633" s="401"/>
      <c r="AG633" s="401">
        <v>0</v>
      </c>
      <c r="AH633" s="401"/>
      <c r="AI633" s="401"/>
      <c r="AJ633" s="401">
        <v>0</v>
      </c>
      <c r="AK633" s="401"/>
      <c r="AL633" s="401"/>
      <c r="AM633" s="401"/>
      <c r="AN633" s="401"/>
      <c r="AO633" s="401"/>
      <c r="AP633" s="401"/>
      <c r="AQ633" s="401"/>
      <c r="AR633" s="401"/>
      <c r="AS633" s="401">
        <v>29046000</v>
      </c>
      <c r="AT633" s="402">
        <v>15840000</v>
      </c>
      <c r="AU633" s="402">
        <v>5280000</v>
      </c>
      <c r="AV633" s="401">
        <v>0</v>
      </c>
      <c r="AW633" s="401"/>
      <c r="AX633" s="401"/>
      <c r="AY633" s="401"/>
      <c r="AZ633" s="401"/>
      <c r="BA633" s="401"/>
      <c r="BB633" s="401"/>
      <c r="BC633" s="401"/>
      <c r="BD633" s="401"/>
      <c r="BE633" s="401">
        <v>0</v>
      </c>
      <c r="BF633" s="401"/>
      <c r="BG633" s="401"/>
      <c r="BH633" s="401">
        <v>0</v>
      </c>
      <c r="BI633" s="401"/>
      <c r="BJ633" s="401"/>
      <c r="BK633" s="402">
        <v>0</v>
      </c>
      <c r="BL633" s="402"/>
      <c r="BM633" s="402"/>
      <c r="BN633" s="415"/>
      <c r="BO633" s="415"/>
      <c r="BP633" s="415"/>
      <c r="BQ633" s="401">
        <v>0</v>
      </c>
      <c r="BR633" s="403"/>
      <c r="BS633" s="403"/>
      <c r="BT633" s="403"/>
      <c r="BU633" s="403"/>
      <c r="BV633" s="403"/>
      <c r="BW633" s="403"/>
      <c r="BX633" s="403"/>
      <c r="BY633" s="403"/>
      <c r="BZ633" s="401">
        <f t="shared" ref="BZ633:CB633" si="284">R633+U633+X633+AA633+AD633+AG633+AJ633+AM633+AP633+AS633+AV633+AY633+BB633+BE633+BH633+BK633+BN633+BQ633+BT633+BW633</f>
        <v>29046000</v>
      </c>
      <c r="CA633" s="401">
        <f t="shared" si="284"/>
        <v>15840000</v>
      </c>
      <c r="CB633" s="401">
        <f t="shared" si="284"/>
        <v>5280000</v>
      </c>
    </row>
    <row r="634" spans="1:80" ht="30" customHeight="1" x14ac:dyDescent="0.2">
      <c r="A634" s="205"/>
      <c r="B634" s="42"/>
      <c r="C634" s="714"/>
      <c r="D634" s="709"/>
      <c r="E634" s="714"/>
      <c r="F634" s="714"/>
      <c r="G634" s="58"/>
      <c r="H634" s="59"/>
      <c r="I634" s="58"/>
      <c r="J634" s="59"/>
      <c r="K634" s="136"/>
      <c r="L634" s="136"/>
      <c r="M634" s="136"/>
      <c r="N634" s="59"/>
      <c r="O634" s="59"/>
      <c r="P634" s="59"/>
      <c r="Q634" s="59"/>
      <c r="R634" s="410">
        <f t="shared" ref="R634:CB634" si="285">SUM(R633)</f>
        <v>0</v>
      </c>
      <c r="S634" s="410">
        <f t="shared" si="285"/>
        <v>0</v>
      </c>
      <c r="T634" s="410">
        <f t="shared" si="285"/>
        <v>0</v>
      </c>
      <c r="U634" s="410">
        <f t="shared" si="285"/>
        <v>0</v>
      </c>
      <c r="V634" s="410">
        <f t="shared" si="285"/>
        <v>0</v>
      </c>
      <c r="W634" s="410">
        <f t="shared" si="285"/>
        <v>0</v>
      </c>
      <c r="X634" s="410">
        <f t="shared" si="285"/>
        <v>0</v>
      </c>
      <c r="Y634" s="410">
        <f t="shared" si="285"/>
        <v>0</v>
      </c>
      <c r="Z634" s="410">
        <f t="shared" si="285"/>
        <v>0</v>
      </c>
      <c r="AA634" s="410">
        <f t="shared" si="285"/>
        <v>0</v>
      </c>
      <c r="AB634" s="410">
        <f t="shared" si="285"/>
        <v>0</v>
      </c>
      <c r="AC634" s="410">
        <f t="shared" si="285"/>
        <v>0</v>
      </c>
      <c r="AD634" s="410">
        <f t="shared" si="285"/>
        <v>0</v>
      </c>
      <c r="AE634" s="410">
        <f t="shared" si="285"/>
        <v>0</v>
      </c>
      <c r="AF634" s="410">
        <f t="shared" si="285"/>
        <v>0</v>
      </c>
      <c r="AG634" s="410">
        <f t="shared" si="285"/>
        <v>0</v>
      </c>
      <c r="AH634" s="410">
        <f t="shared" si="285"/>
        <v>0</v>
      </c>
      <c r="AI634" s="410">
        <f t="shared" si="285"/>
        <v>0</v>
      </c>
      <c r="AJ634" s="410">
        <f t="shared" si="285"/>
        <v>0</v>
      </c>
      <c r="AK634" s="410">
        <f t="shared" si="285"/>
        <v>0</v>
      </c>
      <c r="AL634" s="410">
        <f t="shared" si="285"/>
        <v>0</v>
      </c>
      <c r="AM634" s="410">
        <f t="shared" si="285"/>
        <v>0</v>
      </c>
      <c r="AN634" s="410">
        <f t="shared" si="285"/>
        <v>0</v>
      </c>
      <c r="AO634" s="410">
        <f t="shared" si="285"/>
        <v>0</v>
      </c>
      <c r="AP634" s="410">
        <f t="shared" si="285"/>
        <v>0</v>
      </c>
      <c r="AQ634" s="410">
        <f t="shared" si="285"/>
        <v>0</v>
      </c>
      <c r="AR634" s="410">
        <f t="shared" si="285"/>
        <v>0</v>
      </c>
      <c r="AS634" s="410">
        <f t="shared" si="285"/>
        <v>29046000</v>
      </c>
      <c r="AT634" s="410">
        <f t="shared" si="285"/>
        <v>15840000</v>
      </c>
      <c r="AU634" s="410">
        <f t="shared" si="285"/>
        <v>5280000</v>
      </c>
      <c r="AV634" s="410">
        <f t="shared" si="285"/>
        <v>0</v>
      </c>
      <c r="AW634" s="410">
        <f t="shared" si="285"/>
        <v>0</v>
      </c>
      <c r="AX634" s="410">
        <f t="shared" si="285"/>
        <v>0</v>
      </c>
      <c r="AY634" s="410">
        <f t="shared" si="285"/>
        <v>0</v>
      </c>
      <c r="AZ634" s="410">
        <f t="shared" si="285"/>
        <v>0</v>
      </c>
      <c r="BA634" s="410">
        <f t="shared" si="285"/>
        <v>0</v>
      </c>
      <c r="BB634" s="410">
        <f t="shared" si="285"/>
        <v>0</v>
      </c>
      <c r="BC634" s="410">
        <f t="shared" si="285"/>
        <v>0</v>
      </c>
      <c r="BD634" s="410">
        <f t="shared" si="285"/>
        <v>0</v>
      </c>
      <c r="BE634" s="410">
        <f t="shared" si="285"/>
        <v>0</v>
      </c>
      <c r="BF634" s="410">
        <f t="shared" si="285"/>
        <v>0</v>
      </c>
      <c r="BG634" s="410">
        <f t="shared" si="285"/>
        <v>0</v>
      </c>
      <c r="BH634" s="410">
        <f t="shared" si="285"/>
        <v>0</v>
      </c>
      <c r="BI634" s="410">
        <f t="shared" si="285"/>
        <v>0</v>
      </c>
      <c r="BJ634" s="410">
        <f t="shared" si="285"/>
        <v>0</v>
      </c>
      <c r="BK634" s="410">
        <f t="shared" si="285"/>
        <v>0</v>
      </c>
      <c r="BL634" s="410">
        <f t="shared" si="285"/>
        <v>0</v>
      </c>
      <c r="BM634" s="410">
        <f t="shared" si="285"/>
        <v>0</v>
      </c>
      <c r="BN634" s="410">
        <f t="shared" si="285"/>
        <v>0</v>
      </c>
      <c r="BO634" s="410">
        <f t="shared" si="285"/>
        <v>0</v>
      </c>
      <c r="BP634" s="410">
        <f t="shared" si="285"/>
        <v>0</v>
      </c>
      <c r="BQ634" s="410">
        <f t="shared" si="285"/>
        <v>0</v>
      </c>
      <c r="BR634" s="410">
        <f t="shared" si="285"/>
        <v>0</v>
      </c>
      <c r="BS634" s="410">
        <f t="shared" si="285"/>
        <v>0</v>
      </c>
      <c r="BT634" s="410">
        <f t="shared" si="285"/>
        <v>0</v>
      </c>
      <c r="BU634" s="410">
        <f t="shared" si="285"/>
        <v>0</v>
      </c>
      <c r="BV634" s="410">
        <f t="shared" si="285"/>
        <v>0</v>
      </c>
      <c r="BW634" s="410">
        <f t="shared" si="285"/>
        <v>0</v>
      </c>
      <c r="BX634" s="410">
        <f t="shared" si="285"/>
        <v>0</v>
      </c>
      <c r="BY634" s="410">
        <f t="shared" si="285"/>
        <v>0</v>
      </c>
      <c r="BZ634" s="410">
        <f t="shared" si="285"/>
        <v>29046000</v>
      </c>
      <c r="CA634" s="410">
        <f t="shared" si="285"/>
        <v>15840000</v>
      </c>
      <c r="CB634" s="410">
        <f t="shared" si="285"/>
        <v>5280000</v>
      </c>
    </row>
    <row r="635" spans="1:80" ht="30" customHeight="1" x14ac:dyDescent="0.2">
      <c r="A635" s="205"/>
      <c r="B635" s="42"/>
      <c r="C635" s="150"/>
      <c r="D635" s="72"/>
      <c r="E635" s="150"/>
      <c r="F635" s="150"/>
      <c r="G635" s="72"/>
      <c r="H635" s="150"/>
      <c r="I635" s="72"/>
      <c r="J635" s="150"/>
      <c r="K635" s="151"/>
      <c r="L635" s="265"/>
      <c r="M635" s="265"/>
      <c r="N635" s="400"/>
      <c r="O635" s="400"/>
      <c r="P635" s="400"/>
      <c r="Q635" s="150"/>
      <c r="R635" s="405"/>
      <c r="S635" s="405"/>
      <c r="T635" s="405"/>
      <c r="U635" s="406"/>
      <c r="V635" s="406"/>
      <c r="W635" s="406"/>
      <c r="X635" s="405"/>
      <c r="Y635" s="405"/>
      <c r="Z635" s="405"/>
      <c r="AA635" s="405"/>
      <c r="AB635" s="405"/>
      <c r="AC635" s="405"/>
      <c r="AD635" s="405"/>
      <c r="AE635" s="405"/>
      <c r="AF635" s="405"/>
      <c r="AG635" s="405"/>
      <c r="AH635" s="405"/>
      <c r="AI635" s="405"/>
      <c r="AJ635" s="405"/>
      <c r="AK635" s="405"/>
      <c r="AL635" s="405"/>
      <c r="AM635" s="405"/>
      <c r="AN635" s="405"/>
      <c r="AO635" s="405"/>
      <c r="AP635" s="405"/>
      <c r="AQ635" s="405"/>
      <c r="AR635" s="405"/>
      <c r="AS635" s="405"/>
      <c r="AT635" s="405"/>
      <c r="AU635" s="405"/>
      <c r="AV635" s="405"/>
      <c r="AW635" s="405"/>
      <c r="AX635" s="405"/>
      <c r="AY635" s="405"/>
      <c r="AZ635" s="405"/>
      <c r="BA635" s="405"/>
      <c r="BB635" s="405"/>
      <c r="BC635" s="405"/>
      <c r="BD635" s="405"/>
      <c r="BE635" s="405"/>
      <c r="BF635" s="405"/>
      <c r="BG635" s="405"/>
      <c r="BH635" s="405"/>
      <c r="BI635" s="405"/>
      <c r="BJ635" s="405"/>
      <c r="BK635" s="407"/>
      <c r="BL635" s="407"/>
      <c r="BM635" s="407"/>
      <c r="BN635" s="408"/>
      <c r="BO635" s="408"/>
      <c r="BP635" s="408"/>
      <c r="BQ635" s="405"/>
      <c r="BR635" s="405"/>
      <c r="BS635" s="405"/>
      <c r="BT635" s="405"/>
      <c r="BU635" s="405"/>
      <c r="BV635" s="405"/>
      <c r="BW635" s="405"/>
      <c r="BX635" s="405"/>
      <c r="BY635" s="405"/>
      <c r="BZ635" s="409"/>
      <c r="CA635" s="409"/>
      <c r="CB635" s="409"/>
    </row>
    <row r="636" spans="1:80" ht="30" customHeight="1" x14ac:dyDescent="0.2">
      <c r="A636" s="205"/>
      <c r="B636" s="42"/>
      <c r="C636" s="713"/>
      <c r="D636" s="707"/>
      <c r="E636" s="713"/>
      <c r="F636" s="713"/>
      <c r="G636" s="219">
        <v>48</v>
      </c>
      <c r="H636" s="79" t="s">
        <v>838</v>
      </c>
      <c r="I636" s="79"/>
      <c r="J636" s="79"/>
      <c r="K636" s="334"/>
      <c r="L636" s="334"/>
      <c r="M636" s="334"/>
      <c r="N636" s="173"/>
      <c r="O636" s="173"/>
      <c r="P636" s="79"/>
      <c r="Q636" s="79"/>
      <c r="R636" s="267"/>
      <c r="S636" s="267"/>
      <c r="T636" s="267"/>
      <c r="U636" s="267"/>
      <c r="V636" s="267"/>
      <c r="W636" s="267"/>
      <c r="X636" s="267"/>
      <c r="Y636" s="267"/>
      <c r="Z636" s="267"/>
      <c r="AA636" s="267"/>
      <c r="AB636" s="267"/>
      <c r="AC636" s="267"/>
      <c r="AD636" s="267"/>
      <c r="AE636" s="267"/>
      <c r="AF636" s="267"/>
      <c r="AG636" s="267"/>
      <c r="AH636" s="267"/>
      <c r="AI636" s="267"/>
      <c r="AJ636" s="267"/>
      <c r="AK636" s="267"/>
      <c r="AL636" s="267"/>
      <c r="AM636" s="267"/>
      <c r="AN636" s="267"/>
      <c r="AO636" s="267"/>
      <c r="AP636" s="267"/>
      <c r="AQ636" s="267"/>
      <c r="AR636" s="267"/>
      <c r="AS636" s="267"/>
      <c r="AT636" s="267"/>
      <c r="AU636" s="267"/>
      <c r="AV636" s="267"/>
      <c r="AW636" s="267"/>
      <c r="AX636" s="267"/>
      <c r="AY636" s="267"/>
      <c r="AZ636" s="267"/>
      <c r="BA636" s="267"/>
      <c r="BB636" s="267"/>
      <c r="BC636" s="267"/>
      <c r="BD636" s="267"/>
      <c r="BE636" s="267"/>
      <c r="BF636" s="267"/>
      <c r="BG636" s="267"/>
      <c r="BH636" s="267"/>
      <c r="BI636" s="267"/>
      <c r="BJ636" s="267"/>
      <c r="BK636" s="414"/>
      <c r="BL636" s="414"/>
      <c r="BM636" s="414"/>
      <c r="BN636" s="267"/>
      <c r="BO636" s="267"/>
      <c r="BP636" s="267"/>
      <c r="BQ636" s="267"/>
      <c r="BR636" s="267"/>
      <c r="BS636" s="267"/>
      <c r="BT636" s="267"/>
      <c r="BU636" s="267"/>
      <c r="BV636" s="267"/>
      <c r="BW636" s="267"/>
      <c r="BX636" s="267"/>
      <c r="BY636" s="267"/>
      <c r="BZ636" s="269"/>
      <c r="CA636" s="269"/>
      <c r="CB636" s="269"/>
    </row>
    <row r="637" spans="1:80" ht="96.75" customHeight="1" x14ac:dyDescent="0.2">
      <c r="A637" s="205"/>
      <c r="B637" s="42"/>
      <c r="C637" s="702">
        <v>27</v>
      </c>
      <c r="D637" s="49" t="s">
        <v>834</v>
      </c>
      <c r="E637" s="716">
        <v>0.89949999999999997</v>
      </c>
      <c r="F637" s="712">
        <v>0.92</v>
      </c>
      <c r="G637" s="729"/>
      <c r="H637" s="57">
        <v>164</v>
      </c>
      <c r="I637" s="729" t="s">
        <v>839</v>
      </c>
      <c r="J637" s="57">
        <v>12</v>
      </c>
      <c r="K637" s="107">
        <v>12</v>
      </c>
      <c r="L637" s="107">
        <v>12</v>
      </c>
      <c r="M637" s="46">
        <v>2017003630064</v>
      </c>
      <c r="N637" s="57" t="s">
        <v>714</v>
      </c>
      <c r="O637" s="57" t="s">
        <v>836</v>
      </c>
      <c r="P637" s="729" t="s">
        <v>837</v>
      </c>
      <c r="Q637" s="57" t="s">
        <v>52</v>
      </c>
      <c r="R637" s="401">
        <v>0</v>
      </c>
      <c r="S637" s="401"/>
      <c r="T637" s="401"/>
      <c r="U637" s="401">
        <v>0</v>
      </c>
      <c r="V637" s="401"/>
      <c r="W637" s="401"/>
      <c r="X637" s="401">
        <v>0</v>
      </c>
      <c r="Y637" s="401"/>
      <c r="Z637" s="401"/>
      <c r="AA637" s="401">
        <v>0</v>
      </c>
      <c r="AB637" s="401"/>
      <c r="AC637" s="401"/>
      <c r="AD637" s="401">
        <v>0</v>
      </c>
      <c r="AE637" s="401"/>
      <c r="AF637" s="401"/>
      <c r="AG637" s="401">
        <v>0</v>
      </c>
      <c r="AH637" s="401"/>
      <c r="AI637" s="401"/>
      <c r="AJ637" s="401">
        <v>0</v>
      </c>
      <c r="AK637" s="401"/>
      <c r="AL637" s="401"/>
      <c r="AM637" s="401">
        <v>0</v>
      </c>
      <c r="AN637" s="401"/>
      <c r="AO637" s="401"/>
      <c r="AP637" s="401">
        <v>0</v>
      </c>
      <c r="AQ637" s="401"/>
      <c r="AR637" s="401"/>
      <c r="AS637" s="680">
        <f>11806581808+3187568+1422058375+230956319-3171493028+7997365247</f>
        <v>18288656289</v>
      </c>
      <c r="AT637" s="401">
        <v>2335676611</v>
      </c>
      <c r="AU637" s="401">
        <v>1118117900</v>
      </c>
      <c r="AV637" s="680">
        <f>7953000000-4825872219</f>
        <v>3127127781</v>
      </c>
      <c r="AW637" s="401">
        <v>1571927195</v>
      </c>
      <c r="AX637" s="401">
        <v>1325890696</v>
      </c>
      <c r="AY637" s="401">
        <v>0</v>
      </c>
      <c r="AZ637" s="401"/>
      <c r="BA637" s="401"/>
      <c r="BB637" s="401">
        <v>0</v>
      </c>
      <c r="BC637" s="401"/>
      <c r="BD637" s="401"/>
      <c r="BE637" s="401">
        <v>0</v>
      </c>
      <c r="BF637" s="401"/>
      <c r="BG637" s="401"/>
      <c r="BH637" s="401">
        <v>0</v>
      </c>
      <c r="BI637" s="401"/>
      <c r="BJ637" s="401"/>
      <c r="BK637" s="402">
        <v>0</v>
      </c>
      <c r="BL637" s="402"/>
      <c r="BM637" s="402"/>
      <c r="BN637" s="415">
        <v>0</v>
      </c>
      <c r="BO637" s="415"/>
      <c r="BP637" s="415"/>
      <c r="BQ637" s="401"/>
      <c r="BR637" s="403"/>
      <c r="BS637" s="403"/>
      <c r="BT637" s="403"/>
      <c r="BU637" s="403"/>
      <c r="BV637" s="403"/>
      <c r="BW637" s="676">
        <f>9668755704+149174070-9241365080+149505234</f>
        <v>726069928</v>
      </c>
      <c r="BX637" s="403">
        <v>149174070</v>
      </c>
      <c r="BY637" s="403">
        <v>149174070</v>
      </c>
      <c r="BZ637" s="401">
        <f t="shared" ref="BZ637:CB637" si="286">R637+U637+X637+AA637+AD637+AG637+AJ637+AM637+AP637+AS637+AV637+AY637+BB637+BE637+BH637+BK637+BN637+BQ637+BT637+BW637</f>
        <v>22141853998</v>
      </c>
      <c r="CA637" s="401">
        <f t="shared" si="286"/>
        <v>4056777876</v>
      </c>
      <c r="CB637" s="401">
        <f t="shared" si="286"/>
        <v>2593182666</v>
      </c>
    </row>
    <row r="638" spans="1:80" ht="30" customHeight="1" x14ac:dyDescent="0.2">
      <c r="A638" s="205"/>
      <c r="B638" s="42"/>
      <c r="C638" s="714"/>
      <c r="D638" s="709"/>
      <c r="E638" s="714"/>
      <c r="F638" s="714"/>
      <c r="G638" s="58"/>
      <c r="H638" s="59"/>
      <c r="I638" s="58"/>
      <c r="J638" s="59"/>
      <c r="K638" s="136"/>
      <c r="L638" s="136"/>
      <c r="M638" s="136"/>
      <c r="N638" s="59"/>
      <c r="O638" s="59"/>
      <c r="P638" s="58"/>
      <c r="Q638" s="59"/>
      <c r="R638" s="410">
        <f t="shared" ref="R638:BY638" si="287">SUM(R637)</f>
        <v>0</v>
      </c>
      <c r="S638" s="410">
        <f t="shared" si="287"/>
        <v>0</v>
      </c>
      <c r="T638" s="410">
        <f t="shared" si="287"/>
        <v>0</v>
      </c>
      <c r="U638" s="410">
        <f t="shared" si="287"/>
        <v>0</v>
      </c>
      <c r="V638" s="410">
        <f t="shared" si="287"/>
        <v>0</v>
      </c>
      <c r="W638" s="410">
        <f t="shared" si="287"/>
        <v>0</v>
      </c>
      <c r="X638" s="410">
        <f t="shared" si="287"/>
        <v>0</v>
      </c>
      <c r="Y638" s="410">
        <f t="shared" si="287"/>
        <v>0</v>
      </c>
      <c r="Z638" s="410">
        <f t="shared" si="287"/>
        <v>0</v>
      </c>
      <c r="AA638" s="410">
        <f t="shared" si="287"/>
        <v>0</v>
      </c>
      <c r="AB638" s="410">
        <f t="shared" si="287"/>
        <v>0</v>
      </c>
      <c r="AC638" s="410">
        <f t="shared" si="287"/>
        <v>0</v>
      </c>
      <c r="AD638" s="410">
        <f t="shared" si="287"/>
        <v>0</v>
      </c>
      <c r="AE638" s="410">
        <f t="shared" si="287"/>
        <v>0</v>
      </c>
      <c r="AF638" s="410">
        <f t="shared" si="287"/>
        <v>0</v>
      </c>
      <c r="AG638" s="410">
        <f t="shared" si="287"/>
        <v>0</v>
      </c>
      <c r="AH638" s="410">
        <f t="shared" si="287"/>
        <v>0</v>
      </c>
      <c r="AI638" s="410">
        <f t="shared" si="287"/>
        <v>0</v>
      </c>
      <c r="AJ638" s="410">
        <f t="shared" si="287"/>
        <v>0</v>
      </c>
      <c r="AK638" s="410">
        <f t="shared" si="287"/>
        <v>0</v>
      </c>
      <c r="AL638" s="410">
        <f t="shared" si="287"/>
        <v>0</v>
      </c>
      <c r="AM638" s="410">
        <f t="shared" si="287"/>
        <v>0</v>
      </c>
      <c r="AN638" s="410">
        <f t="shared" si="287"/>
        <v>0</v>
      </c>
      <c r="AO638" s="410">
        <f t="shared" si="287"/>
        <v>0</v>
      </c>
      <c r="AP638" s="410">
        <f t="shared" si="287"/>
        <v>0</v>
      </c>
      <c r="AQ638" s="410">
        <f t="shared" si="287"/>
        <v>0</v>
      </c>
      <c r="AR638" s="410">
        <f t="shared" si="287"/>
        <v>0</v>
      </c>
      <c r="AS638" s="410">
        <f t="shared" si="287"/>
        <v>18288656289</v>
      </c>
      <c r="AT638" s="410">
        <f t="shared" si="287"/>
        <v>2335676611</v>
      </c>
      <c r="AU638" s="410">
        <f t="shared" si="287"/>
        <v>1118117900</v>
      </c>
      <c r="AV638" s="410">
        <f t="shared" si="287"/>
        <v>3127127781</v>
      </c>
      <c r="AW638" s="410">
        <f t="shared" si="287"/>
        <v>1571927195</v>
      </c>
      <c r="AX638" s="410">
        <f t="shared" si="287"/>
        <v>1325890696</v>
      </c>
      <c r="AY638" s="410">
        <f t="shared" si="287"/>
        <v>0</v>
      </c>
      <c r="AZ638" s="410">
        <f t="shared" si="287"/>
        <v>0</v>
      </c>
      <c r="BA638" s="410">
        <f t="shared" si="287"/>
        <v>0</v>
      </c>
      <c r="BB638" s="410">
        <f t="shared" si="287"/>
        <v>0</v>
      </c>
      <c r="BC638" s="410">
        <f t="shared" si="287"/>
        <v>0</v>
      </c>
      <c r="BD638" s="410">
        <f t="shared" si="287"/>
        <v>0</v>
      </c>
      <c r="BE638" s="410">
        <f t="shared" si="287"/>
        <v>0</v>
      </c>
      <c r="BF638" s="410">
        <f t="shared" si="287"/>
        <v>0</v>
      </c>
      <c r="BG638" s="410">
        <f t="shared" si="287"/>
        <v>0</v>
      </c>
      <c r="BH638" s="410">
        <f t="shared" si="287"/>
        <v>0</v>
      </c>
      <c r="BI638" s="410">
        <f t="shared" si="287"/>
        <v>0</v>
      </c>
      <c r="BJ638" s="410">
        <f t="shared" si="287"/>
        <v>0</v>
      </c>
      <c r="BK638" s="410">
        <f t="shared" si="287"/>
        <v>0</v>
      </c>
      <c r="BL638" s="410">
        <f t="shared" si="287"/>
        <v>0</v>
      </c>
      <c r="BM638" s="410">
        <f t="shared" si="287"/>
        <v>0</v>
      </c>
      <c r="BN638" s="410">
        <f t="shared" si="287"/>
        <v>0</v>
      </c>
      <c r="BO638" s="410">
        <f t="shared" si="287"/>
        <v>0</v>
      </c>
      <c r="BP638" s="410">
        <f t="shared" si="287"/>
        <v>0</v>
      </c>
      <c r="BQ638" s="410">
        <f t="shared" si="287"/>
        <v>0</v>
      </c>
      <c r="BR638" s="410">
        <f t="shared" si="287"/>
        <v>0</v>
      </c>
      <c r="BS638" s="410">
        <f t="shared" si="287"/>
        <v>0</v>
      </c>
      <c r="BT638" s="410">
        <f t="shared" si="287"/>
        <v>0</v>
      </c>
      <c r="BU638" s="410">
        <f t="shared" si="287"/>
        <v>0</v>
      </c>
      <c r="BV638" s="410">
        <f t="shared" si="287"/>
        <v>0</v>
      </c>
      <c r="BW638" s="410">
        <f t="shared" si="287"/>
        <v>726069928</v>
      </c>
      <c r="BX638" s="410">
        <f t="shared" si="287"/>
        <v>149174070</v>
      </c>
      <c r="BY638" s="410">
        <f t="shared" si="287"/>
        <v>149174070</v>
      </c>
      <c r="BZ638" s="410">
        <f>SUM(BZ637)</f>
        <v>22141853998</v>
      </c>
      <c r="CA638" s="410">
        <f t="shared" ref="CA638:CB638" si="288">SUM(CA637)</f>
        <v>4056777876</v>
      </c>
      <c r="CB638" s="410">
        <f t="shared" si="288"/>
        <v>2593182666</v>
      </c>
    </row>
    <row r="639" spans="1:80" ht="30" customHeight="1" x14ac:dyDescent="0.2">
      <c r="A639" s="205"/>
      <c r="B639" s="42"/>
      <c r="C639" s="150"/>
      <c r="D639" s="72"/>
      <c r="E639" s="150"/>
      <c r="F639" s="150"/>
      <c r="G639" s="72"/>
      <c r="H639" s="150"/>
      <c r="I639" s="72"/>
      <c r="J639" s="150"/>
      <c r="K639" s="151"/>
      <c r="L639" s="265"/>
      <c r="M639" s="265"/>
      <c r="N639" s="400"/>
      <c r="O639" s="400"/>
      <c r="P639" s="101"/>
      <c r="Q639" s="150"/>
      <c r="R639" s="405"/>
      <c r="S639" s="405"/>
      <c r="T639" s="405"/>
      <c r="U639" s="406"/>
      <c r="V639" s="406"/>
      <c r="W639" s="406"/>
      <c r="X639" s="405"/>
      <c r="Y639" s="405"/>
      <c r="Z639" s="405"/>
      <c r="AA639" s="405"/>
      <c r="AB639" s="405"/>
      <c r="AC639" s="405"/>
      <c r="AD639" s="405"/>
      <c r="AE639" s="405"/>
      <c r="AF639" s="405"/>
      <c r="AG639" s="405"/>
      <c r="AH639" s="405"/>
      <c r="AI639" s="405"/>
      <c r="AJ639" s="405"/>
      <c r="AK639" s="405"/>
      <c r="AL639" s="405"/>
      <c r="AM639" s="405"/>
      <c r="AN639" s="405"/>
      <c r="AO639" s="405"/>
      <c r="AP639" s="405"/>
      <c r="AQ639" s="405"/>
      <c r="AR639" s="405"/>
      <c r="AS639" s="405"/>
      <c r="AT639" s="405"/>
      <c r="AU639" s="405"/>
      <c r="AV639" s="405"/>
      <c r="AW639" s="405"/>
      <c r="AX639" s="405"/>
      <c r="AY639" s="405"/>
      <c r="AZ639" s="405"/>
      <c r="BA639" s="405"/>
      <c r="BB639" s="405"/>
      <c r="BC639" s="405"/>
      <c r="BD639" s="405"/>
      <c r="BE639" s="405"/>
      <c r="BF639" s="405"/>
      <c r="BG639" s="405"/>
      <c r="BH639" s="405"/>
      <c r="BI639" s="405"/>
      <c r="BJ639" s="405"/>
      <c r="BK639" s="407"/>
      <c r="BL639" s="407"/>
      <c r="BM639" s="407"/>
      <c r="BN639" s="408"/>
      <c r="BO639" s="408"/>
      <c r="BP639" s="408"/>
      <c r="BQ639" s="405"/>
      <c r="BR639" s="405"/>
      <c r="BS639" s="405"/>
      <c r="BT639" s="405"/>
      <c r="BU639" s="405"/>
      <c r="BV639" s="405"/>
      <c r="BW639" s="405"/>
      <c r="BX639" s="405"/>
      <c r="BY639" s="405"/>
      <c r="BZ639" s="409"/>
      <c r="CA639" s="409"/>
      <c r="CB639" s="409"/>
    </row>
    <row r="640" spans="1:80" ht="30" customHeight="1" x14ac:dyDescent="0.2">
      <c r="A640" s="205"/>
      <c r="B640" s="42"/>
      <c r="C640" s="713"/>
      <c r="D640" s="707"/>
      <c r="E640" s="713"/>
      <c r="F640" s="713"/>
      <c r="G640" s="219">
        <v>49</v>
      </c>
      <c r="H640" s="79" t="s">
        <v>840</v>
      </c>
      <c r="I640" s="79"/>
      <c r="J640" s="79"/>
      <c r="K640" s="334"/>
      <c r="L640" s="334"/>
      <c r="M640" s="334"/>
      <c r="N640" s="173"/>
      <c r="O640" s="173"/>
      <c r="P640" s="79"/>
      <c r="Q640" s="79"/>
      <c r="R640" s="267"/>
      <c r="S640" s="267"/>
      <c r="T640" s="267"/>
      <c r="U640" s="267"/>
      <c r="V640" s="267"/>
      <c r="W640" s="267"/>
      <c r="X640" s="267"/>
      <c r="Y640" s="267"/>
      <c r="Z640" s="267"/>
      <c r="AA640" s="267"/>
      <c r="AB640" s="267"/>
      <c r="AC640" s="267"/>
      <c r="AD640" s="267"/>
      <c r="AE640" s="267"/>
      <c r="AF640" s="267"/>
      <c r="AG640" s="267"/>
      <c r="AH640" s="267"/>
      <c r="AI640" s="267"/>
      <c r="AJ640" s="267"/>
      <c r="AK640" s="267"/>
      <c r="AL640" s="267"/>
      <c r="AM640" s="267"/>
      <c r="AN640" s="267"/>
      <c r="AO640" s="267"/>
      <c r="AP640" s="267"/>
      <c r="AQ640" s="267"/>
      <c r="AR640" s="267"/>
      <c r="AS640" s="267"/>
      <c r="AT640" s="267"/>
      <c r="AU640" s="267"/>
      <c r="AV640" s="267"/>
      <c r="AW640" s="267"/>
      <c r="AX640" s="267"/>
      <c r="AY640" s="267"/>
      <c r="AZ640" s="267"/>
      <c r="BA640" s="267"/>
      <c r="BB640" s="267"/>
      <c r="BC640" s="267"/>
      <c r="BD640" s="267"/>
      <c r="BE640" s="267"/>
      <c r="BF640" s="267"/>
      <c r="BG640" s="267"/>
      <c r="BH640" s="267"/>
      <c r="BI640" s="267"/>
      <c r="BJ640" s="267"/>
      <c r="BK640" s="414"/>
      <c r="BL640" s="414"/>
      <c r="BM640" s="414"/>
      <c r="BN640" s="267"/>
      <c r="BO640" s="267"/>
      <c r="BP640" s="267"/>
      <c r="BQ640" s="267"/>
      <c r="BR640" s="267"/>
      <c r="BS640" s="267"/>
      <c r="BT640" s="267"/>
      <c r="BU640" s="267"/>
      <c r="BV640" s="267"/>
      <c r="BW640" s="267"/>
      <c r="BX640" s="267"/>
      <c r="BY640" s="267"/>
      <c r="BZ640" s="269"/>
      <c r="CA640" s="269"/>
      <c r="CB640" s="269"/>
    </row>
    <row r="641" spans="1:80" ht="71.25" customHeight="1" x14ac:dyDescent="0.2">
      <c r="A641" s="205"/>
      <c r="B641" s="42"/>
      <c r="C641" s="702">
        <v>27</v>
      </c>
      <c r="D641" s="49" t="s">
        <v>834</v>
      </c>
      <c r="E641" s="716">
        <v>0.89949999999999997</v>
      </c>
      <c r="F641" s="712">
        <v>0.92</v>
      </c>
      <c r="G641" s="729"/>
      <c r="H641" s="57">
        <v>165</v>
      </c>
      <c r="I641" s="729" t="s">
        <v>841</v>
      </c>
      <c r="J641" s="107">
        <v>12</v>
      </c>
      <c r="K641" s="107">
        <v>12</v>
      </c>
      <c r="L641" s="107">
        <v>12</v>
      </c>
      <c r="M641" s="46">
        <v>2017003630064</v>
      </c>
      <c r="N641" s="107" t="s">
        <v>714</v>
      </c>
      <c r="O641" s="57" t="s">
        <v>836</v>
      </c>
      <c r="P641" s="729" t="s">
        <v>837</v>
      </c>
      <c r="Q641" s="57" t="s">
        <v>52</v>
      </c>
      <c r="R641" s="401">
        <v>0</v>
      </c>
      <c r="S641" s="401"/>
      <c r="T641" s="401"/>
      <c r="U641" s="401">
        <v>0</v>
      </c>
      <c r="V641" s="401"/>
      <c r="W641" s="401"/>
      <c r="X641" s="401">
        <v>0</v>
      </c>
      <c r="Y641" s="401"/>
      <c r="Z641" s="401"/>
      <c r="AA641" s="401">
        <v>0</v>
      </c>
      <c r="AB641" s="401"/>
      <c r="AC641" s="401"/>
      <c r="AD641" s="401">
        <v>0</v>
      </c>
      <c r="AE641" s="401"/>
      <c r="AF641" s="401"/>
      <c r="AG641" s="401">
        <v>0</v>
      </c>
      <c r="AH641" s="401"/>
      <c r="AI641" s="401"/>
      <c r="AJ641" s="401">
        <v>0</v>
      </c>
      <c r="AK641" s="401"/>
      <c r="AL641" s="401"/>
      <c r="AM641" s="401"/>
      <c r="AN641" s="401"/>
      <c r="AO641" s="401"/>
      <c r="AP641" s="401"/>
      <c r="AQ641" s="401"/>
      <c r="AR641" s="401"/>
      <c r="AS641" s="401">
        <f>20913120</f>
        <v>20913120</v>
      </c>
      <c r="AT641" s="402"/>
      <c r="AU641" s="402"/>
      <c r="AV641" s="401">
        <v>0</v>
      </c>
      <c r="AW641" s="401"/>
      <c r="AX641" s="401"/>
      <c r="AY641" s="401"/>
      <c r="AZ641" s="401"/>
      <c r="BA641" s="401"/>
      <c r="BB641" s="401"/>
      <c r="BC641" s="401"/>
      <c r="BD641" s="401"/>
      <c r="BE641" s="401">
        <v>0</v>
      </c>
      <c r="BF641" s="401"/>
      <c r="BG641" s="401"/>
      <c r="BH641" s="401">
        <v>0</v>
      </c>
      <c r="BI641" s="401"/>
      <c r="BJ641" s="401"/>
      <c r="BK641" s="402">
        <v>0</v>
      </c>
      <c r="BL641" s="402"/>
      <c r="BM641" s="402"/>
      <c r="BN641" s="415"/>
      <c r="BO641" s="415"/>
      <c r="BP641" s="415"/>
      <c r="BQ641" s="401">
        <v>0</v>
      </c>
      <c r="BR641" s="403"/>
      <c r="BS641" s="403"/>
      <c r="BT641" s="403"/>
      <c r="BU641" s="403"/>
      <c r="BV641" s="403"/>
      <c r="BW641" s="403"/>
      <c r="BX641" s="403"/>
      <c r="BY641" s="403"/>
      <c r="BZ641" s="401">
        <f t="shared" ref="BZ641:CB641" si="289">R641+U641+X641+AA641+AD641+AG641+AJ641+AM641+AP641+AS641+AV641+AY641+BB641+BE641+BH641+BK641+BN641+BQ641+BT641+BW641</f>
        <v>20913120</v>
      </c>
      <c r="CA641" s="401">
        <f t="shared" si="289"/>
        <v>0</v>
      </c>
      <c r="CB641" s="401">
        <f t="shared" si="289"/>
        <v>0</v>
      </c>
    </row>
    <row r="642" spans="1:80" ht="30" customHeight="1" x14ac:dyDescent="0.2">
      <c r="A642" s="205"/>
      <c r="B642" s="42"/>
      <c r="C642" s="714"/>
      <c r="D642" s="709"/>
      <c r="E642" s="714"/>
      <c r="F642" s="714"/>
      <c r="G642" s="58"/>
      <c r="H642" s="59"/>
      <c r="I642" s="58"/>
      <c r="J642" s="136"/>
      <c r="K642" s="136"/>
      <c r="L642" s="136"/>
      <c r="M642" s="136"/>
      <c r="N642" s="136"/>
      <c r="O642" s="59"/>
      <c r="P642" s="58"/>
      <c r="Q642" s="59"/>
      <c r="R642" s="410">
        <f t="shared" ref="R642:CB642" si="290">SUM(R641)</f>
        <v>0</v>
      </c>
      <c r="S642" s="410">
        <f t="shared" si="290"/>
        <v>0</v>
      </c>
      <c r="T642" s="410">
        <f t="shared" si="290"/>
        <v>0</v>
      </c>
      <c r="U642" s="410">
        <f t="shared" si="290"/>
        <v>0</v>
      </c>
      <c r="V642" s="410">
        <f t="shared" si="290"/>
        <v>0</v>
      </c>
      <c r="W642" s="410">
        <f t="shared" si="290"/>
        <v>0</v>
      </c>
      <c r="X642" s="410">
        <f t="shared" si="290"/>
        <v>0</v>
      </c>
      <c r="Y642" s="410">
        <f t="shared" si="290"/>
        <v>0</v>
      </c>
      <c r="Z642" s="410">
        <f t="shared" si="290"/>
        <v>0</v>
      </c>
      <c r="AA642" s="410">
        <f t="shared" si="290"/>
        <v>0</v>
      </c>
      <c r="AB642" s="410">
        <f t="shared" si="290"/>
        <v>0</v>
      </c>
      <c r="AC642" s="410">
        <f t="shared" si="290"/>
        <v>0</v>
      </c>
      <c r="AD642" s="410">
        <f t="shared" si="290"/>
        <v>0</v>
      </c>
      <c r="AE642" s="410">
        <f t="shared" si="290"/>
        <v>0</v>
      </c>
      <c r="AF642" s="410">
        <f t="shared" si="290"/>
        <v>0</v>
      </c>
      <c r="AG642" s="410">
        <f t="shared" si="290"/>
        <v>0</v>
      </c>
      <c r="AH642" s="410">
        <f t="shared" si="290"/>
        <v>0</v>
      </c>
      <c r="AI642" s="410">
        <f t="shared" si="290"/>
        <v>0</v>
      </c>
      <c r="AJ642" s="410">
        <f t="shared" si="290"/>
        <v>0</v>
      </c>
      <c r="AK642" s="410">
        <f t="shared" si="290"/>
        <v>0</v>
      </c>
      <c r="AL642" s="410">
        <f t="shared" si="290"/>
        <v>0</v>
      </c>
      <c r="AM642" s="410">
        <f t="shared" si="290"/>
        <v>0</v>
      </c>
      <c r="AN642" s="410">
        <f t="shared" si="290"/>
        <v>0</v>
      </c>
      <c r="AO642" s="410">
        <f t="shared" si="290"/>
        <v>0</v>
      </c>
      <c r="AP642" s="410">
        <f t="shared" si="290"/>
        <v>0</v>
      </c>
      <c r="AQ642" s="410">
        <f t="shared" si="290"/>
        <v>0</v>
      </c>
      <c r="AR642" s="410">
        <f t="shared" si="290"/>
        <v>0</v>
      </c>
      <c r="AS642" s="410">
        <f t="shared" si="290"/>
        <v>20913120</v>
      </c>
      <c r="AT642" s="410">
        <f t="shared" si="290"/>
        <v>0</v>
      </c>
      <c r="AU642" s="410">
        <f t="shared" si="290"/>
        <v>0</v>
      </c>
      <c r="AV642" s="410">
        <f t="shared" si="290"/>
        <v>0</v>
      </c>
      <c r="AW642" s="410">
        <f t="shared" si="290"/>
        <v>0</v>
      </c>
      <c r="AX642" s="410">
        <f t="shared" si="290"/>
        <v>0</v>
      </c>
      <c r="AY642" s="410">
        <f t="shared" si="290"/>
        <v>0</v>
      </c>
      <c r="AZ642" s="410">
        <f t="shared" si="290"/>
        <v>0</v>
      </c>
      <c r="BA642" s="410">
        <f t="shared" si="290"/>
        <v>0</v>
      </c>
      <c r="BB642" s="410">
        <f t="shared" si="290"/>
        <v>0</v>
      </c>
      <c r="BC642" s="410">
        <f t="shared" si="290"/>
        <v>0</v>
      </c>
      <c r="BD642" s="410">
        <f t="shared" si="290"/>
        <v>0</v>
      </c>
      <c r="BE642" s="410">
        <f t="shared" si="290"/>
        <v>0</v>
      </c>
      <c r="BF642" s="410">
        <f t="shared" si="290"/>
        <v>0</v>
      </c>
      <c r="BG642" s="410">
        <f t="shared" si="290"/>
        <v>0</v>
      </c>
      <c r="BH642" s="410">
        <f t="shared" si="290"/>
        <v>0</v>
      </c>
      <c r="BI642" s="410">
        <f t="shared" si="290"/>
        <v>0</v>
      </c>
      <c r="BJ642" s="410">
        <f t="shared" si="290"/>
        <v>0</v>
      </c>
      <c r="BK642" s="410">
        <f t="shared" si="290"/>
        <v>0</v>
      </c>
      <c r="BL642" s="410">
        <f t="shared" si="290"/>
        <v>0</v>
      </c>
      <c r="BM642" s="410">
        <f t="shared" si="290"/>
        <v>0</v>
      </c>
      <c r="BN642" s="410">
        <f t="shared" si="290"/>
        <v>0</v>
      </c>
      <c r="BO642" s="410">
        <f t="shared" si="290"/>
        <v>0</v>
      </c>
      <c r="BP642" s="410">
        <f t="shared" si="290"/>
        <v>0</v>
      </c>
      <c r="BQ642" s="410">
        <f t="shared" si="290"/>
        <v>0</v>
      </c>
      <c r="BR642" s="410">
        <f t="shared" si="290"/>
        <v>0</v>
      </c>
      <c r="BS642" s="410">
        <f t="shared" si="290"/>
        <v>0</v>
      </c>
      <c r="BT642" s="410">
        <f t="shared" si="290"/>
        <v>0</v>
      </c>
      <c r="BU642" s="410">
        <f t="shared" si="290"/>
        <v>0</v>
      </c>
      <c r="BV642" s="410">
        <f t="shared" si="290"/>
        <v>0</v>
      </c>
      <c r="BW642" s="410">
        <f t="shared" si="290"/>
        <v>0</v>
      </c>
      <c r="BX642" s="410">
        <f t="shared" si="290"/>
        <v>0</v>
      </c>
      <c r="BY642" s="410">
        <f t="shared" si="290"/>
        <v>0</v>
      </c>
      <c r="BZ642" s="410">
        <f t="shared" si="290"/>
        <v>20913120</v>
      </c>
      <c r="CA642" s="410">
        <f t="shared" si="290"/>
        <v>0</v>
      </c>
      <c r="CB642" s="410">
        <f t="shared" si="290"/>
        <v>0</v>
      </c>
    </row>
    <row r="643" spans="1:80" ht="30" customHeight="1" x14ac:dyDescent="0.2">
      <c r="A643" s="42"/>
      <c r="B643" s="292"/>
      <c r="C643" s="63"/>
      <c r="D643" s="62"/>
      <c r="E643" s="63"/>
      <c r="F643" s="63"/>
      <c r="G643" s="62"/>
      <c r="H643" s="63"/>
      <c r="I643" s="62"/>
      <c r="J643" s="147"/>
      <c r="K643" s="147"/>
      <c r="L643" s="147"/>
      <c r="M643" s="147"/>
      <c r="N643" s="147"/>
      <c r="O643" s="63"/>
      <c r="P643" s="62"/>
      <c r="Q643" s="63"/>
      <c r="R643" s="416">
        <f t="shared" ref="R643:CB643" si="291">R642+R638+R634</f>
        <v>0</v>
      </c>
      <c r="S643" s="416">
        <f t="shared" si="291"/>
        <v>0</v>
      </c>
      <c r="T643" s="416">
        <f t="shared" si="291"/>
        <v>0</v>
      </c>
      <c r="U643" s="416">
        <f t="shared" si="291"/>
        <v>0</v>
      </c>
      <c r="V643" s="416">
        <f t="shared" si="291"/>
        <v>0</v>
      </c>
      <c r="W643" s="416">
        <f t="shared" si="291"/>
        <v>0</v>
      </c>
      <c r="X643" s="416">
        <f t="shared" si="291"/>
        <v>0</v>
      </c>
      <c r="Y643" s="416">
        <f t="shared" si="291"/>
        <v>0</v>
      </c>
      <c r="Z643" s="416">
        <f t="shared" si="291"/>
        <v>0</v>
      </c>
      <c r="AA643" s="416">
        <f t="shared" si="291"/>
        <v>0</v>
      </c>
      <c r="AB643" s="416">
        <f t="shared" si="291"/>
        <v>0</v>
      </c>
      <c r="AC643" s="416">
        <f t="shared" si="291"/>
        <v>0</v>
      </c>
      <c r="AD643" s="416">
        <f t="shared" si="291"/>
        <v>0</v>
      </c>
      <c r="AE643" s="416">
        <f t="shared" si="291"/>
        <v>0</v>
      </c>
      <c r="AF643" s="416">
        <f t="shared" si="291"/>
        <v>0</v>
      </c>
      <c r="AG643" s="416">
        <f t="shared" si="291"/>
        <v>0</v>
      </c>
      <c r="AH643" s="416">
        <f t="shared" si="291"/>
        <v>0</v>
      </c>
      <c r="AI643" s="416">
        <f t="shared" si="291"/>
        <v>0</v>
      </c>
      <c r="AJ643" s="416">
        <f t="shared" si="291"/>
        <v>0</v>
      </c>
      <c r="AK643" s="416">
        <f t="shared" si="291"/>
        <v>0</v>
      </c>
      <c r="AL643" s="416">
        <f t="shared" si="291"/>
        <v>0</v>
      </c>
      <c r="AM643" s="416">
        <f t="shared" si="291"/>
        <v>0</v>
      </c>
      <c r="AN643" s="416">
        <f t="shared" si="291"/>
        <v>0</v>
      </c>
      <c r="AO643" s="416">
        <f t="shared" si="291"/>
        <v>0</v>
      </c>
      <c r="AP643" s="416">
        <f t="shared" si="291"/>
        <v>0</v>
      </c>
      <c r="AQ643" s="416">
        <f t="shared" si="291"/>
        <v>0</v>
      </c>
      <c r="AR643" s="416">
        <f t="shared" si="291"/>
        <v>0</v>
      </c>
      <c r="AS643" s="416">
        <f t="shared" si="291"/>
        <v>18338615409</v>
      </c>
      <c r="AT643" s="416">
        <f t="shared" si="291"/>
        <v>2351516611</v>
      </c>
      <c r="AU643" s="416">
        <f t="shared" si="291"/>
        <v>1123397900</v>
      </c>
      <c r="AV643" s="416">
        <f t="shared" si="291"/>
        <v>3127127781</v>
      </c>
      <c r="AW643" s="416">
        <f t="shared" si="291"/>
        <v>1571927195</v>
      </c>
      <c r="AX643" s="416">
        <f t="shared" si="291"/>
        <v>1325890696</v>
      </c>
      <c r="AY643" s="416">
        <f t="shared" si="291"/>
        <v>0</v>
      </c>
      <c r="AZ643" s="416">
        <f t="shared" si="291"/>
        <v>0</v>
      </c>
      <c r="BA643" s="416">
        <f t="shared" si="291"/>
        <v>0</v>
      </c>
      <c r="BB643" s="416">
        <f t="shared" si="291"/>
        <v>0</v>
      </c>
      <c r="BC643" s="416">
        <f t="shared" si="291"/>
        <v>0</v>
      </c>
      <c r="BD643" s="416">
        <f t="shared" si="291"/>
        <v>0</v>
      </c>
      <c r="BE643" s="416">
        <f t="shared" si="291"/>
        <v>0</v>
      </c>
      <c r="BF643" s="416">
        <f t="shared" si="291"/>
        <v>0</v>
      </c>
      <c r="BG643" s="416">
        <f t="shared" si="291"/>
        <v>0</v>
      </c>
      <c r="BH643" s="416">
        <f t="shared" si="291"/>
        <v>0</v>
      </c>
      <c r="BI643" s="416">
        <f t="shared" si="291"/>
        <v>0</v>
      </c>
      <c r="BJ643" s="416">
        <f t="shared" si="291"/>
        <v>0</v>
      </c>
      <c r="BK643" s="416">
        <f t="shared" si="291"/>
        <v>0</v>
      </c>
      <c r="BL643" s="416">
        <f t="shared" si="291"/>
        <v>0</v>
      </c>
      <c r="BM643" s="416">
        <f t="shared" si="291"/>
        <v>0</v>
      </c>
      <c r="BN643" s="416">
        <f t="shared" si="291"/>
        <v>0</v>
      </c>
      <c r="BO643" s="416">
        <f t="shared" si="291"/>
        <v>0</v>
      </c>
      <c r="BP643" s="416">
        <f t="shared" si="291"/>
        <v>0</v>
      </c>
      <c r="BQ643" s="416">
        <f t="shared" si="291"/>
        <v>0</v>
      </c>
      <c r="BR643" s="416">
        <f t="shared" si="291"/>
        <v>0</v>
      </c>
      <c r="BS643" s="416">
        <f t="shared" si="291"/>
        <v>0</v>
      </c>
      <c r="BT643" s="416">
        <f t="shared" si="291"/>
        <v>0</v>
      </c>
      <c r="BU643" s="416">
        <f t="shared" si="291"/>
        <v>0</v>
      </c>
      <c r="BV643" s="416">
        <f t="shared" si="291"/>
        <v>0</v>
      </c>
      <c r="BW643" s="416">
        <f t="shared" si="291"/>
        <v>726069928</v>
      </c>
      <c r="BX643" s="416">
        <f t="shared" si="291"/>
        <v>149174070</v>
      </c>
      <c r="BY643" s="416">
        <f t="shared" si="291"/>
        <v>149174070</v>
      </c>
      <c r="BZ643" s="416">
        <f t="shared" si="291"/>
        <v>22191813118</v>
      </c>
      <c r="CA643" s="416">
        <f t="shared" si="291"/>
        <v>4072617876</v>
      </c>
      <c r="CB643" s="416">
        <f t="shared" si="291"/>
        <v>2598462666</v>
      </c>
    </row>
    <row r="644" spans="1:80" ht="30" customHeight="1" x14ac:dyDescent="0.2">
      <c r="A644" s="42"/>
      <c r="B644" s="72"/>
      <c r="C644" s="150"/>
      <c r="D644" s="72"/>
      <c r="E644" s="150"/>
      <c r="F644" s="150"/>
      <c r="G644" s="72"/>
      <c r="H644" s="150"/>
      <c r="I644" s="72"/>
      <c r="J644" s="150"/>
      <c r="K644" s="151"/>
      <c r="L644" s="265"/>
      <c r="M644" s="265"/>
      <c r="N644" s="400"/>
      <c r="O644" s="400"/>
      <c r="P644" s="101"/>
      <c r="Q644" s="150"/>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05"/>
      <c r="AY644" s="405"/>
      <c r="AZ644" s="405"/>
      <c r="BA644" s="405"/>
      <c r="BB644" s="405"/>
      <c r="BC644" s="405"/>
      <c r="BD644" s="405"/>
      <c r="BE644" s="405"/>
      <c r="BF644" s="405"/>
      <c r="BG644" s="405"/>
      <c r="BH644" s="405"/>
      <c r="BI644" s="405"/>
      <c r="BJ644" s="405"/>
      <c r="BK644" s="407"/>
      <c r="BL644" s="407"/>
      <c r="BM644" s="407"/>
      <c r="BN644" s="405"/>
      <c r="BO644" s="405"/>
      <c r="BP644" s="405"/>
      <c r="BQ644" s="405"/>
      <c r="BR644" s="405"/>
      <c r="BS644" s="405"/>
      <c r="BT644" s="405"/>
      <c r="BU644" s="405"/>
      <c r="BV644" s="405"/>
      <c r="BW644" s="405"/>
      <c r="BX644" s="405"/>
      <c r="BY644" s="405"/>
      <c r="BZ644" s="409"/>
      <c r="CA644" s="409"/>
      <c r="CB644" s="409"/>
    </row>
    <row r="645" spans="1:80" ht="30" customHeight="1" x14ac:dyDescent="0.2">
      <c r="A645" s="42"/>
      <c r="B645" s="327">
        <v>14</v>
      </c>
      <c r="C645" s="38" t="s">
        <v>842</v>
      </c>
      <c r="D645" s="39"/>
      <c r="E645" s="39"/>
      <c r="F645" s="39"/>
      <c r="G645" s="39"/>
      <c r="H645" s="40"/>
      <c r="I645" s="39"/>
      <c r="J645" s="39"/>
      <c r="K645" s="126"/>
      <c r="L645" s="126"/>
      <c r="M645" s="126"/>
      <c r="N645" s="40"/>
      <c r="O645" s="40"/>
      <c r="P645" s="39"/>
      <c r="Q645" s="39"/>
      <c r="R645" s="412"/>
      <c r="S645" s="412"/>
      <c r="T645" s="412"/>
      <c r="U645" s="412"/>
      <c r="V645" s="412"/>
      <c r="W645" s="412"/>
      <c r="X645" s="412"/>
      <c r="Y645" s="412"/>
      <c r="Z645" s="412"/>
      <c r="AA645" s="412"/>
      <c r="AB645" s="412"/>
      <c r="AC645" s="412"/>
      <c r="AD645" s="412"/>
      <c r="AE645" s="412"/>
      <c r="AF645" s="412"/>
      <c r="AG645" s="412"/>
      <c r="AH645" s="412"/>
      <c r="AI645" s="412"/>
      <c r="AJ645" s="412"/>
      <c r="AK645" s="412"/>
      <c r="AL645" s="412"/>
      <c r="AM645" s="412"/>
      <c r="AN645" s="412"/>
      <c r="AO645" s="412"/>
      <c r="AP645" s="412"/>
      <c r="AQ645" s="412"/>
      <c r="AR645" s="412"/>
      <c r="AS645" s="412"/>
      <c r="AT645" s="412"/>
      <c r="AU645" s="412"/>
      <c r="AV645" s="412"/>
      <c r="AW645" s="412"/>
      <c r="AX645" s="412"/>
      <c r="AY645" s="412"/>
      <c r="AZ645" s="412"/>
      <c r="BA645" s="412"/>
      <c r="BB645" s="412"/>
      <c r="BC645" s="412"/>
      <c r="BD645" s="412"/>
      <c r="BE645" s="412"/>
      <c r="BF645" s="412"/>
      <c r="BG645" s="412"/>
      <c r="BH645" s="412"/>
      <c r="BI645" s="412"/>
      <c r="BJ645" s="412"/>
      <c r="BK645" s="413"/>
      <c r="BL645" s="413"/>
      <c r="BM645" s="413"/>
      <c r="BN645" s="412"/>
      <c r="BO645" s="412"/>
      <c r="BP645" s="412"/>
      <c r="BQ645" s="412"/>
      <c r="BR645" s="412"/>
      <c r="BS645" s="412"/>
      <c r="BT645" s="412"/>
      <c r="BU645" s="412"/>
      <c r="BV645" s="412"/>
      <c r="BW645" s="412"/>
      <c r="BX645" s="412"/>
      <c r="BY645" s="412"/>
      <c r="BZ645" s="417"/>
      <c r="CA645" s="417"/>
      <c r="CB645" s="417"/>
    </row>
    <row r="646" spans="1:80" ht="30" customHeight="1" x14ac:dyDescent="0.2">
      <c r="A646" s="205"/>
      <c r="B646" s="42"/>
      <c r="C646" s="713"/>
      <c r="D646" s="707"/>
      <c r="E646" s="713"/>
      <c r="F646" s="713"/>
      <c r="G646" s="219">
        <v>50</v>
      </c>
      <c r="H646" s="79" t="s">
        <v>843</v>
      </c>
      <c r="I646" s="79"/>
      <c r="J646" s="79"/>
      <c r="K646" s="334"/>
      <c r="L646" s="334"/>
      <c r="M646" s="334"/>
      <c r="N646" s="173"/>
      <c r="O646" s="173"/>
      <c r="P646" s="79"/>
      <c r="Q646" s="79"/>
      <c r="R646" s="267"/>
      <c r="S646" s="267"/>
      <c r="T646" s="267"/>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267"/>
      <c r="AY646" s="267"/>
      <c r="AZ646" s="267"/>
      <c r="BA646" s="267"/>
      <c r="BB646" s="267"/>
      <c r="BC646" s="267"/>
      <c r="BD646" s="267"/>
      <c r="BE646" s="267"/>
      <c r="BF646" s="267"/>
      <c r="BG646" s="267"/>
      <c r="BH646" s="267"/>
      <c r="BI646" s="267"/>
      <c r="BJ646" s="267"/>
      <c r="BK646" s="414"/>
      <c r="BL646" s="414"/>
      <c r="BM646" s="414"/>
      <c r="BN646" s="267"/>
      <c r="BO646" s="267"/>
      <c r="BP646" s="267"/>
      <c r="BQ646" s="267"/>
      <c r="BR646" s="267"/>
      <c r="BS646" s="267"/>
      <c r="BT646" s="267"/>
      <c r="BU646" s="267"/>
      <c r="BV646" s="267"/>
      <c r="BW646" s="267"/>
      <c r="BX646" s="267"/>
      <c r="BY646" s="267"/>
      <c r="BZ646" s="269"/>
      <c r="CA646" s="269"/>
      <c r="CB646" s="269"/>
    </row>
    <row r="647" spans="1:80" ht="85.5" customHeight="1" x14ac:dyDescent="0.2">
      <c r="A647" s="205"/>
      <c r="B647" s="708"/>
      <c r="C647" s="883">
        <v>27</v>
      </c>
      <c r="D647" s="891" t="s">
        <v>834</v>
      </c>
      <c r="E647" s="906">
        <v>0.89949999999999997</v>
      </c>
      <c r="F647" s="894">
        <v>0.92</v>
      </c>
      <c r="G647" s="895"/>
      <c r="H647" s="57">
        <v>166</v>
      </c>
      <c r="I647" s="729" t="s">
        <v>844</v>
      </c>
      <c r="J647" s="107">
        <v>1</v>
      </c>
      <c r="K647" s="107">
        <v>1</v>
      </c>
      <c r="L647" s="107">
        <v>1</v>
      </c>
      <c r="M647" s="884">
        <v>2017003630111</v>
      </c>
      <c r="N647" s="907" t="s">
        <v>714</v>
      </c>
      <c r="O647" s="895" t="s">
        <v>845</v>
      </c>
      <c r="P647" s="890" t="s">
        <v>1017</v>
      </c>
      <c r="Q647" s="57" t="s">
        <v>52</v>
      </c>
      <c r="R647" s="401">
        <v>0</v>
      </c>
      <c r="S647" s="401"/>
      <c r="T647" s="401"/>
      <c r="U647" s="401">
        <v>0</v>
      </c>
      <c r="V647" s="401"/>
      <c r="W647" s="401"/>
      <c r="X647" s="401">
        <v>0</v>
      </c>
      <c r="Y647" s="401"/>
      <c r="Z647" s="401"/>
      <c r="AA647" s="401">
        <v>0</v>
      </c>
      <c r="AB647" s="401"/>
      <c r="AC647" s="401"/>
      <c r="AD647" s="401">
        <v>0</v>
      </c>
      <c r="AE647" s="401"/>
      <c r="AF647" s="401"/>
      <c r="AG647" s="401">
        <v>0</v>
      </c>
      <c r="AH647" s="401"/>
      <c r="AI647" s="401"/>
      <c r="AJ647" s="401">
        <v>0</v>
      </c>
      <c r="AK647" s="401"/>
      <c r="AL647" s="401"/>
      <c r="AM647" s="401"/>
      <c r="AN647" s="401"/>
      <c r="AO647" s="401"/>
      <c r="AP647" s="401"/>
      <c r="AQ647" s="401"/>
      <c r="AR647" s="401"/>
      <c r="AS647" s="401">
        <v>0</v>
      </c>
      <c r="AT647" s="401"/>
      <c r="AU647" s="401"/>
      <c r="AV647" s="401">
        <v>0</v>
      </c>
      <c r="AW647" s="401"/>
      <c r="AX647" s="401"/>
      <c r="AY647" s="401"/>
      <c r="AZ647" s="401"/>
      <c r="BA647" s="401"/>
      <c r="BB647" s="401"/>
      <c r="BC647" s="401"/>
      <c r="BD647" s="401"/>
      <c r="BE647" s="401">
        <v>0</v>
      </c>
      <c r="BF647" s="401"/>
      <c r="BG647" s="401"/>
      <c r="BH647" s="401">
        <v>0</v>
      </c>
      <c r="BI647" s="401"/>
      <c r="BJ647" s="401"/>
      <c r="BK647" s="402">
        <v>0</v>
      </c>
      <c r="BL647" s="402"/>
      <c r="BM647" s="402"/>
      <c r="BN647" s="415"/>
      <c r="BO647" s="415"/>
      <c r="BP647" s="415"/>
      <c r="BQ647" s="401"/>
      <c r="BR647" s="403"/>
      <c r="BS647" s="403"/>
      <c r="BT647" s="403"/>
      <c r="BU647" s="403"/>
      <c r="BV647" s="403"/>
      <c r="BW647" s="403">
        <v>0</v>
      </c>
      <c r="BX647" s="403"/>
      <c r="BY647" s="403"/>
      <c r="BZ647" s="401">
        <f t="shared" ref="BZ647:CB649" si="292">R647+U647+X647+AA647+AD647+AG647+AJ647+AM647+AP647+AS647+AV647+AY647+BB647+BE647+BH647+BK647+BN647+BQ647+BT647+BW647</f>
        <v>0</v>
      </c>
      <c r="CA647" s="401">
        <f t="shared" si="292"/>
        <v>0</v>
      </c>
      <c r="CB647" s="401">
        <f t="shared" si="292"/>
        <v>0</v>
      </c>
    </row>
    <row r="648" spans="1:80" ht="65.25" customHeight="1" x14ac:dyDescent="0.2">
      <c r="A648" s="205"/>
      <c r="B648" s="708"/>
      <c r="C648" s="883"/>
      <c r="D648" s="891"/>
      <c r="E648" s="906"/>
      <c r="F648" s="894"/>
      <c r="G648" s="883"/>
      <c r="H648" s="57">
        <v>167</v>
      </c>
      <c r="I648" s="729" t="s">
        <v>847</v>
      </c>
      <c r="J648" s="107">
        <v>15</v>
      </c>
      <c r="K648" s="107">
        <v>15</v>
      </c>
      <c r="L648" s="107">
        <v>15</v>
      </c>
      <c r="M648" s="885"/>
      <c r="N648" s="908"/>
      <c r="O648" s="883"/>
      <c r="P648" s="891"/>
      <c r="Q648" s="57" t="s">
        <v>52</v>
      </c>
      <c r="R648" s="401">
        <v>0</v>
      </c>
      <c r="S648" s="401"/>
      <c r="T648" s="401"/>
      <c r="U648" s="401">
        <v>0</v>
      </c>
      <c r="V648" s="401"/>
      <c r="W648" s="401"/>
      <c r="X648" s="401">
        <v>0</v>
      </c>
      <c r="Y648" s="401"/>
      <c r="Z648" s="401"/>
      <c r="AA648" s="401">
        <v>0</v>
      </c>
      <c r="AB648" s="401"/>
      <c r="AC648" s="401"/>
      <c r="AD648" s="401">
        <v>0</v>
      </c>
      <c r="AE648" s="401"/>
      <c r="AF648" s="401"/>
      <c r="AG648" s="401">
        <v>0</v>
      </c>
      <c r="AH648" s="401"/>
      <c r="AI648" s="401"/>
      <c r="AJ648" s="401"/>
      <c r="AK648" s="401"/>
      <c r="AL648" s="401"/>
      <c r="AM648" s="430"/>
      <c r="AN648" s="430"/>
      <c r="AO648" s="430"/>
      <c r="AP648" s="680">
        <f>8058147089+544912319-128425540-113253433+91742160+79497066</f>
        <v>8532619661</v>
      </c>
      <c r="AQ648" s="401">
        <v>7379829057</v>
      </c>
      <c r="AR648" s="401">
        <v>1441976440</v>
      </c>
      <c r="AS648" s="401">
        <f>3104580734+636624237</f>
        <v>3741204971</v>
      </c>
      <c r="AT648" s="401">
        <v>2852407513</v>
      </c>
      <c r="AU648" s="401">
        <v>843673505</v>
      </c>
      <c r="AV648" s="401">
        <v>500</v>
      </c>
      <c r="AW648" s="401"/>
      <c r="AX648" s="401"/>
      <c r="AY648" s="401"/>
      <c r="AZ648" s="401"/>
      <c r="BA648" s="401"/>
      <c r="BB648" s="401"/>
      <c r="BC648" s="401"/>
      <c r="BD648" s="401"/>
      <c r="BE648" s="401">
        <v>0</v>
      </c>
      <c r="BF648" s="401"/>
      <c r="BG648" s="401"/>
      <c r="BH648" s="401">
        <v>0</v>
      </c>
      <c r="BI648" s="401"/>
      <c r="BJ648" s="401"/>
      <c r="BK648" s="402">
        <v>0</v>
      </c>
      <c r="BL648" s="402"/>
      <c r="BM648" s="402"/>
      <c r="BN648" s="415"/>
      <c r="BO648" s="415"/>
      <c r="BP648" s="415"/>
      <c r="BQ648" s="401"/>
      <c r="BR648" s="403"/>
      <c r="BS648" s="403"/>
      <c r="BT648" s="403"/>
      <c r="BU648" s="403"/>
      <c r="BV648" s="403"/>
      <c r="BW648" s="676">
        <f>1065586500+68256639+5900697+290400000+382475991+129917139+1500000-34387140+9241365080</f>
        <v>11151014906</v>
      </c>
      <c r="BX648" s="403">
        <v>6514237919</v>
      </c>
      <c r="BY648" s="403">
        <v>6461309019</v>
      </c>
      <c r="BZ648" s="401">
        <f t="shared" si="292"/>
        <v>23424840038</v>
      </c>
      <c r="CA648" s="401">
        <f t="shared" si="292"/>
        <v>16746474489</v>
      </c>
      <c r="CB648" s="401">
        <f t="shared" si="292"/>
        <v>8746958964</v>
      </c>
    </row>
    <row r="649" spans="1:80" ht="67.5" customHeight="1" x14ac:dyDescent="0.2">
      <c r="A649" s="205"/>
      <c r="B649" s="708"/>
      <c r="C649" s="883"/>
      <c r="D649" s="891"/>
      <c r="E649" s="906"/>
      <c r="F649" s="894"/>
      <c r="G649" s="898"/>
      <c r="H649" s="57">
        <v>168</v>
      </c>
      <c r="I649" s="729" t="s">
        <v>848</v>
      </c>
      <c r="J649" s="107">
        <v>7</v>
      </c>
      <c r="K649" s="107">
        <v>14</v>
      </c>
      <c r="L649" s="107">
        <v>14</v>
      </c>
      <c r="M649" s="886"/>
      <c r="N649" s="909"/>
      <c r="O649" s="898"/>
      <c r="P649" s="892"/>
      <c r="Q649" s="57" t="s">
        <v>52</v>
      </c>
      <c r="R649" s="401">
        <v>0</v>
      </c>
      <c r="S649" s="401"/>
      <c r="T649" s="401"/>
      <c r="U649" s="401">
        <v>0</v>
      </c>
      <c r="V649" s="401"/>
      <c r="W649" s="401"/>
      <c r="X649" s="401">
        <v>0</v>
      </c>
      <c r="Y649" s="401"/>
      <c r="Z649" s="401"/>
      <c r="AA649" s="401">
        <v>0</v>
      </c>
      <c r="AB649" s="401"/>
      <c r="AC649" s="401"/>
      <c r="AD649" s="401">
        <v>0</v>
      </c>
      <c r="AE649" s="401"/>
      <c r="AF649" s="401"/>
      <c r="AG649" s="401">
        <v>0</v>
      </c>
      <c r="AH649" s="401"/>
      <c r="AI649" s="401"/>
      <c r="AJ649" s="401">
        <v>0</v>
      </c>
      <c r="AK649" s="401"/>
      <c r="AL649" s="401"/>
      <c r="AM649" s="401"/>
      <c r="AN649" s="401"/>
      <c r="AO649" s="401"/>
      <c r="AP649" s="401"/>
      <c r="AQ649" s="401"/>
      <c r="AR649" s="401"/>
      <c r="AS649" s="401"/>
      <c r="AT649" s="401"/>
      <c r="AU649" s="401"/>
      <c r="AV649" s="401">
        <v>0</v>
      </c>
      <c r="AW649" s="401"/>
      <c r="AX649" s="401"/>
      <c r="AY649" s="401"/>
      <c r="AZ649" s="401"/>
      <c r="BA649" s="401"/>
      <c r="BB649" s="401"/>
      <c r="BC649" s="401"/>
      <c r="BD649" s="401"/>
      <c r="BE649" s="401">
        <v>0</v>
      </c>
      <c r="BF649" s="401"/>
      <c r="BG649" s="401"/>
      <c r="BH649" s="401">
        <v>0</v>
      </c>
      <c r="BI649" s="401"/>
      <c r="BJ649" s="401"/>
      <c r="BK649" s="402">
        <v>0</v>
      </c>
      <c r="BL649" s="402"/>
      <c r="BM649" s="402"/>
      <c r="BN649" s="415"/>
      <c r="BO649" s="415"/>
      <c r="BP649" s="415"/>
      <c r="BQ649" s="401">
        <v>0</v>
      </c>
      <c r="BR649" s="403"/>
      <c r="BS649" s="403"/>
      <c r="BT649" s="403"/>
      <c r="BU649" s="403"/>
      <c r="BV649" s="403"/>
      <c r="BW649" s="403">
        <v>0</v>
      </c>
      <c r="BX649" s="403"/>
      <c r="BY649" s="403"/>
      <c r="BZ649" s="401">
        <f t="shared" si="292"/>
        <v>0</v>
      </c>
      <c r="CA649" s="401">
        <f t="shared" si="292"/>
        <v>0</v>
      </c>
      <c r="CB649" s="401">
        <f t="shared" si="292"/>
        <v>0</v>
      </c>
    </row>
    <row r="650" spans="1:80" ht="30" customHeight="1" x14ac:dyDescent="0.2">
      <c r="A650" s="205"/>
      <c r="B650" s="708"/>
      <c r="C650" s="714"/>
      <c r="D650" s="709"/>
      <c r="E650" s="714"/>
      <c r="F650" s="714"/>
      <c r="G650" s="58"/>
      <c r="H650" s="59"/>
      <c r="I650" s="58"/>
      <c r="J650" s="136"/>
      <c r="K650" s="136"/>
      <c r="L650" s="136"/>
      <c r="M650" s="136"/>
      <c r="N650" s="136"/>
      <c r="O650" s="59"/>
      <c r="P650" s="58"/>
      <c r="Q650" s="59"/>
      <c r="R650" s="410">
        <f t="shared" ref="R650:BY650" si="293">SUM(R647:R649)</f>
        <v>0</v>
      </c>
      <c r="S650" s="410">
        <f t="shared" si="293"/>
        <v>0</v>
      </c>
      <c r="T650" s="410">
        <f t="shared" si="293"/>
        <v>0</v>
      </c>
      <c r="U650" s="410">
        <f t="shared" si="293"/>
        <v>0</v>
      </c>
      <c r="V650" s="410">
        <f t="shared" si="293"/>
        <v>0</v>
      </c>
      <c r="W650" s="410">
        <f t="shared" si="293"/>
        <v>0</v>
      </c>
      <c r="X650" s="410">
        <f t="shared" si="293"/>
        <v>0</v>
      </c>
      <c r="Y650" s="410">
        <f t="shared" si="293"/>
        <v>0</v>
      </c>
      <c r="Z650" s="410">
        <f t="shared" si="293"/>
        <v>0</v>
      </c>
      <c r="AA650" s="410">
        <f t="shared" si="293"/>
        <v>0</v>
      </c>
      <c r="AB650" s="410">
        <f t="shared" si="293"/>
        <v>0</v>
      </c>
      <c r="AC650" s="410">
        <f t="shared" si="293"/>
        <v>0</v>
      </c>
      <c r="AD650" s="410">
        <f t="shared" si="293"/>
        <v>0</v>
      </c>
      <c r="AE650" s="410">
        <f t="shared" si="293"/>
        <v>0</v>
      </c>
      <c r="AF650" s="410">
        <f t="shared" si="293"/>
        <v>0</v>
      </c>
      <c r="AG650" s="410">
        <f t="shared" si="293"/>
        <v>0</v>
      </c>
      <c r="AH650" s="410">
        <f t="shared" si="293"/>
        <v>0</v>
      </c>
      <c r="AI650" s="410">
        <f t="shared" si="293"/>
        <v>0</v>
      </c>
      <c r="AJ650" s="410">
        <f t="shared" si="293"/>
        <v>0</v>
      </c>
      <c r="AK650" s="410">
        <f t="shared" si="293"/>
        <v>0</v>
      </c>
      <c r="AL650" s="410">
        <f t="shared" si="293"/>
        <v>0</v>
      </c>
      <c r="AM650" s="410">
        <f t="shared" si="293"/>
        <v>0</v>
      </c>
      <c r="AN650" s="410">
        <f t="shared" si="293"/>
        <v>0</v>
      </c>
      <c r="AO650" s="410">
        <f t="shared" si="293"/>
        <v>0</v>
      </c>
      <c r="AP650" s="410">
        <f t="shared" si="293"/>
        <v>8532619661</v>
      </c>
      <c r="AQ650" s="410">
        <f t="shared" si="293"/>
        <v>7379829057</v>
      </c>
      <c r="AR650" s="410">
        <f t="shared" si="293"/>
        <v>1441976440</v>
      </c>
      <c r="AS650" s="410">
        <f t="shared" si="293"/>
        <v>3741204971</v>
      </c>
      <c r="AT650" s="410">
        <f t="shared" si="293"/>
        <v>2852407513</v>
      </c>
      <c r="AU650" s="410">
        <f t="shared" si="293"/>
        <v>843673505</v>
      </c>
      <c r="AV650" s="410">
        <f t="shared" si="293"/>
        <v>500</v>
      </c>
      <c r="AW650" s="410">
        <f t="shared" si="293"/>
        <v>0</v>
      </c>
      <c r="AX650" s="410">
        <f t="shared" si="293"/>
        <v>0</v>
      </c>
      <c r="AY650" s="410">
        <f t="shared" si="293"/>
        <v>0</v>
      </c>
      <c r="AZ650" s="410">
        <f t="shared" si="293"/>
        <v>0</v>
      </c>
      <c r="BA650" s="410">
        <f t="shared" si="293"/>
        <v>0</v>
      </c>
      <c r="BB650" s="410">
        <f t="shared" si="293"/>
        <v>0</v>
      </c>
      <c r="BC650" s="410">
        <f t="shared" si="293"/>
        <v>0</v>
      </c>
      <c r="BD650" s="410">
        <f t="shared" si="293"/>
        <v>0</v>
      </c>
      <c r="BE650" s="410">
        <f t="shared" si="293"/>
        <v>0</v>
      </c>
      <c r="BF650" s="410">
        <f t="shared" si="293"/>
        <v>0</v>
      </c>
      <c r="BG650" s="410">
        <f t="shared" si="293"/>
        <v>0</v>
      </c>
      <c r="BH650" s="410">
        <f t="shared" si="293"/>
        <v>0</v>
      </c>
      <c r="BI650" s="410">
        <f t="shared" si="293"/>
        <v>0</v>
      </c>
      <c r="BJ650" s="410">
        <f t="shared" si="293"/>
        <v>0</v>
      </c>
      <c r="BK650" s="410">
        <f t="shared" si="293"/>
        <v>0</v>
      </c>
      <c r="BL650" s="410">
        <f t="shared" si="293"/>
        <v>0</v>
      </c>
      <c r="BM650" s="410">
        <f t="shared" si="293"/>
        <v>0</v>
      </c>
      <c r="BN650" s="410">
        <f t="shared" si="293"/>
        <v>0</v>
      </c>
      <c r="BO650" s="410">
        <f t="shared" si="293"/>
        <v>0</v>
      </c>
      <c r="BP650" s="410">
        <f t="shared" si="293"/>
        <v>0</v>
      </c>
      <c r="BQ650" s="410">
        <f t="shared" si="293"/>
        <v>0</v>
      </c>
      <c r="BR650" s="410">
        <f t="shared" si="293"/>
        <v>0</v>
      </c>
      <c r="BS650" s="410">
        <f t="shared" si="293"/>
        <v>0</v>
      </c>
      <c r="BT650" s="410">
        <f t="shared" si="293"/>
        <v>0</v>
      </c>
      <c r="BU650" s="410">
        <f t="shared" si="293"/>
        <v>0</v>
      </c>
      <c r="BV650" s="410">
        <f t="shared" si="293"/>
        <v>0</v>
      </c>
      <c r="BW650" s="410">
        <f t="shared" si="293"/>
        <v>11151014906</v>
      </c>
      <c r="BX650" s="410">
        <f t="shared" si="293"/>
        <v>6514237919</v>
      </c>
      <c r="BY650" s="410">
        <f t="shared" si="293"/>
        <v>6461309019</v>
      </c>
      <c r="BZ650" s="410">
        <f>SUM(BZ647:BZ649)</f>
        <v>23424840038</v>
      </c>
      <c r="CA650" s="410">
        <f t="shared" ref="CA650:CB650" si="294">SUM(CA647:CA649)</f>
        <v>16746474489</v>
      </c>
      <c r="CB650" s="410">
        <f t="shared" si="294"/>
        <v>8746958964</v>
      </c>
    </row>
    <row r="651" spans="1:80" ht="30" customHeight="1" x14ac:dyDescent="0.2">
      <c r="A651" s="205"/>
      <c r="B651" s="708"/>
      <c r="C651" s="150"/>
      <c r="D651" s="72"/>
      <c r="E651" s="150"/>
      <c r="F651" s="150"/>
      <c r="G651" s="72"/>
      <c r="H651" s="150"/>
      <c r="I651" s="72"/>
      <c r="J651" s="150"/>
      <c r="K651" s="151"/>
      <c r="L651" s="265"/>
      <c r="M651" s="265"/>
      <c r="N651" s="400"/>
      <c r="O651" s="400"/>
      <c r="P651" s="101"/>
      <c r="Q651" s="150"/>
      <c r="R651" s="405"/>
      <c r="S651" s="405"/>
      <c r="T651" s="405"/>
      <c r="U651" s="406"/>
      <c r="V651" s="406"/>
      <c r="W651" s="406"/>
      <c r="X651" s="405"/>
      <c r="Y651" s="405"/>
      <c r="Z651" s="405"/>
      <c r="AA651" s="405"/>
      <c r="AB651" s="405"/>
      <c r="AC651" s="405"/>
      <c r="AD651" s="405"/>
      <c r="AE651" s="405"/>
      <c r="AF651" s="405"/>
      <c r="AG651" s="405"/>
      <c r="AH651" s="405"/>
      <c r="AI651" s="405"/>
      <c r="AJ651" s="405"/>
      <c r="AK651" s="405"/>
      <c r="AL651" s="405"/>
      <c r="AM651" s="405"/>
      <c r="AN651" s="405"/>
      <c r="AO651" s="405"/>
      <c r="AP651" s="405"/>
      <c r="AQ651" s="405"/>
      <c r="AR651" s="405"/>
      <c r="AS651" s="405"/>
      <c r="AT651" s="405"/>
      <c r="AU651" s="405"/>
      <c r="AV651" s="405"/>
      <c r="AW651" s="405"/>
      <c r="AX651" s="405"/>
      <c r="AY651" s="405"/>
      <c r="AZ651" s="405"/>
      <c r="BA651" s="405"/>
      <c r="BB651" s="405"/>
      <c r="BC651" s="405"/>
      <c r="BD651" s="405"/>
      <c r="BE651" s="405"/>
      <c r="BF651" s="405"/>
      <c r="BG651" s="405"/>
      <c r="BH651" s="405"/>
      <c r="BI651" s="405"/>
      <c r="BJ651" s="405"/>
      <c r="BK651" s="407"/>
      <c r="BL651" s="407"/>
      <c r="BM651" s="407"/>
      <c r="BN651" s="408"/>
      <c r="BO651" s="408"/>
      <c r="BP651" s="408"/>
      <c r="BQ651" s="405"/>
      <c r="BR651" s="405"/>
      <c r="BS651" s="405"/>
      <c r="BT651" s="405"/>
      <c r="BU651" s="405"/>
      <c r="BV651" s="405"/>
      <c r="BW651" s="406"/>
      <c r="BX651" s="406"/>
      <c r="BY651" s="406"/>
      <c r="BZ651" s="401" t="s">
        <v>69</v>
      </c>
      <c r="CA651" s="401" t="s">
        <v>69</v>
      </c>
      <c r="CB651" s="401" t="s">
        <v>69</v>
      </c>
    </row>
    <row r="652" spans="1:80" ht="30" customHeight="1" x14ac:dyDescent="0.2">
      <c r="A652" s="205"/>
      <c r="B652" s="708"/>
      <c r="C652" s="713"/>
      <c r="D652" s="707"/>
      <c r="E652" s="713"/>
      <c r="F652" s="713"/>
      <c r="G652" s="219">
        <v>51</v>
      </c>
      <c r="H652" s="79" t="s">
        <v>849</v>
      </c>
      <c r="I652" s="79"/>
      <c r="J652" s="79"/>
      <c r="K652" s="334"/>
      <c r="L652" s="334"/>
      <c r="M652" s="334"/>
      <c r="N652" s="173"/>
      <c r="O652" s="173"/>
      <c r="P652" s="79"/>
      <c r="Q652" s="79"/>
      <c r="R652" s="267"/>
      <c r="S652" s="267"/>
      <c r="T652" s="267"/>
      <c r="U652" s="267"/>
      <c r="V652" s="267"/>
      <c r="W652" s="267"/>
      <c r="X652" s="267"/>
      <c r="Y652" s="267"/>
      <c r="Z652" s="267"/>
      <c r="AA652" s="267"/>
      <c r="AB652" s="267"/>
      <c r="AC652" s="267"/>
      <c r="AD652" s="267"/>
      <c r="AE652" s="267"/>
      <c r="AF652" s="267"/>
      <c r="AG652" s="267"/>
      <c r="AH652" s="267"/>
      <c r="AI652" s="267"/>
      <c r="AJ652" s="267"/>
      <c r="AK652" s="267"/>
      <c r="AL652" s="267"/>
      <c r="AM652" s="267"/>
      <c r="AN652" s="267"/>
      <c r="AO652" s="267"/>
      <c r="AP652" s="267"/>
      <c r="AQ652" s="267"/>
      <c r="AR652" s="267"/>
      <c r="AS652" s="267"/>
      <c r="AT652" s="267"/>
      <c r="AU652" s="267"/>
      <c r="AV652" s="267"/>
      <c r="AW652" s="267"/>
      <c r="AX652" s="267"/>
      <c r="AY652" s="267"/>
      <c r="AZ652" s="267"/>
      <c r="BA652" s="267"/>
      <c r="BB652" s="267"/>
      <c r="BC652" s="267"/>
      <c r="BD652" s="267"/>
      <c r="BE652" s="267"/>
      <c r="BF652" s="267"/>
      <c r="BG652" s="267"/>
      <c r="BH652" s="267"/>
      <c r="BI652" s="267"/>
      <c r="BJ652" s="267"/>
      <c r="BK652" s="414"/>
      <c r="BL652" s="414"/>
      <c r="BM652" s="414"/>
      <c r="BN652" s="267"/>
      <c r="BO652" s="267"/>
      <c r="BP652" s="267"/>
      <c r="BQ652" s="267"/>
      <c r="BR652" s="267"/>
      <c r="BS652" s="267"/>
      <c r="BT652" s="267"/>
      <c r="BU652" s="267"/>
      <c r="BV652" s="267"/>
      <c r="BW652" s="267"/>
      <c r="BX652" s="267"/>
      <c r="BY652" s="267"/>
      <c r="BZ652" s="508"/>
      <c r="CA652" s="508"/>
      <c r="CB652" s="508"/>
    </row>
    <row r="653" spans="1:80" ht="67.5" customHeight="1" x14ac:dyDescent="0.2">
      <c r="A653" s="205"/>
      <c r="B653" s="708"/>
      <c r="C653" s="702" t="s">
        <v>748</v>
      </c>
      <c r="D653" s="708" t="s">
        <v>850</v>
      </c>
      <c r="E653" s="712">
        <v>0.6</v>
      </c>
      <c r="F653" s="712">
        <v>1</v>
      </c>
      <c r="G653" s="729"/>
      <c r="H653" s="57">
        <v>169</v>
      </c>
      <c r="I653" s="729" t="s">
        <v>851</v>
      </c>
      <c r="J653" s="107">
        <v>8</v>
      </c>
      <c r="K653" s="107">
        <v>12</v>
      </c>
      <c r="L653" s="107">
        <v>12</v>
      </c>
      <c r="M653" s="46">
        <v>2017003630109</v>
      </c>
      <c r="N653" s="107" t="s">
        <v>714</v>
      </c>
      <c r="O653" s="57" t="s">
        <v>852</v>
      </c>
      <c r="P653" s="729" t="s">
        <v>1018</v>
      </c>
      <c r="Q653" s="57" t="s">
        <v>52</v>
      </c>
      <c r="R653" s="401">
        <v>0</v>
      </c>
      <c r="S653" s="401"/>
      <c r="T653" s="401"/>
      <c r="U653" s="401">
        <v>0</v>
      </c>
      <c r="V653" s="401"/>
      <c r="W653" s="401"/>
      <c r="X653" s="401">
        <v>0</v>
      </c>
      <c r="Y653" s="401"/>
      <c r="Z653" s="401"/>
      <c r="AA653" s="401">
        <v>0</v>
      </c>
      <c r="AB653" s="401"/>
      <c r="AC653" s="401"/>
      <c r="AD653" s="401">
        <v>0</v>
      </c>
      <c r="AE653" s="401"/>
      <c r="AF653" s="401"/>
      <c r="AG653" s="401">
        <v>0</v>
      </c>
      <c r="AH653" s="401"/>
      <c r="AI653" s="401"/>
      <c r="AJ653" s="401">
        <v>0</v>
      </c>
      <c r="AK653" s="401"/>
      <c r="AL653" s="401"/>
      <c r="AM653" s="401"/>
      <c r="AN653" s="401"/>
      <c r="AO653" s="401"/>
      <c r="AP653" s="401"/>
      <c r="AQ653" s="401"/>
      <c r="AR653" s="401"/>
      <c r="AS653" s="430"/>
      <c r="AT653" s="402"/>
      <c r="AU653" s="402"/>
      <c r="AV653" s="401">
        <v>0</v>
      </c>
      <c r="AW653" s="401"/>
      <c r="AX653" s="401"/>
      <c r="AY653" s="401"/>
      <c r="AZ653" s="401"/>
      <c r="BA653" s="401"/>
      <c r="BB653" s="401"/>
      <c r="BC653" s="401"/>
      <c r="BD653" s="401"/>
      <c r="BE653" s="401">
        <v>0</v>
      </c>
      <c r="BF653" s="401"/>
      <c r="BG653" s="401"/>
      <c r="BH653" s="401">
        <v>0</v>
      </c>
      <c r="BI653" s="401"/>
      <c r="BJ653" s="401"/>
      <c r="BK653" s="401">
        <v>44149920</v>
      </c>
      <c r="BL653" s="401">
        <v>43560000</v>
      </c>
      <c r="BM653" s="401">
        <v>36960000</v>
      </c>
      <c r="BN653" s="415"/>
      <c r="BO653" s="415"/>
      <c r="BP653" s="415"/>
      <c r="BQ653" s="401">
        <v>0</v>
      </c>
      <c r="BR653" s="403"/>
      <c r="BS653" s="403"/>
      <c r="BT653" s="403"/>
      <c r="BU653" s="403"/>
      <c r="BV653" s="403"/>
      <c r="BW653" s="403"/>
      <c r="BX653" s="403"/>
      <c r="BY653" s="403"/>
      <c r="BZ653" s="401">
        <f t="shared" ref="BZ653:CB653" si="295">R653+U653+X653+AA653+AD653+AG653+AJ653+AM653+AP653+AS653+AV653+AY653+BB653+BE653+BH653+BK653+BN653+BQ653+BT653+BW653</f>
        <v>44149920</v>
      </c>
      <c r="CA653" s="401">
        <f t="shared" si="295"/>
        <v>43560000</v>
      </c>
      <c r="CB653" s="401">
        <f t="shared" si="295"/>
        <v>36960000</v>
      </c>
    </row>
    <row r="654" spans="1:80" ht="30" customHeight="1" x14ac:dyDescent="0.2">
      <c r="A654" s="205"/>
      <c r="B654" s="708"/>
      <c r="C654" s="714"/>
      <c r="D654" s="709"/>
      <c r="E654" s="714"/>
      <c r="F654" s="714"/>
      <c r="G654" s="58"/>
      <c r="H654" s="59"/>
      <c r="I654" s="58"/>
      <c r="J654" s="136"/>
      <c r="K654" s="136"/>
      <c r="L654" s="136"/>
      <c r="M654" s="136"/>
      <c r="N654" s="136"/>
      <c r="O654" s="59"/>
      <c r="P654" s="58"/>
      <c r="Q654" s="59"/>
      <c r="R654" s="410">
        <f t="shared" ref="R654:CB654" si="296">R653</f>
        <v>0</v>
      </c>
      <c r="S654" s="410">
        <f t="shared" si="296"/>
        <v>0</v>
      </c>
      <c r="T654" s="410">
        <f t="shared" si="296"/>
        <v>0</v>
      </c>
      <c r="U654" s="410">
        <f t="shared" si="296"/>
        <v>0</v>
      </c>
      <c r="V654" s="410">
        <f t="shared" si="296"/>
        <v>0</v>
      </c>
      <c r="W654" s="410">
        <f t="shared" si="296"/>
        <v>0</v>
      </c>
      <c r="X654" s="410">
        <f t="shared" si="296"/>
        <v>0</v>
      </c>
      <c r="Y654" s="410">
        <f t="shared" si="296"/>
        <v>0</v>
      </c>
      <c r="Z654" s="410">
        <f t="shared" si="296"/>
        <v>0</v>
      </c>
      <c r="AA654" s="410">
        <f t="shared" si="296"/>
        <v>0</v>
      </c>
      <c r="AB654" s="410">
        <f t="shared" si="296"/>
        <v>0</v>
      </c>
      <c r="AC654" s="410">
        <f t="shared" si="296"/>
        <v>0</v>
      </c>
      <c r="AD654" s="410">
        <f t="shared" si="296"/>
        <v>0</v>
      </c>
      <c r="AE654" s="410">
        <f t="shared" si="296"/>
        <v>0</v>
      </c>
      <c r="AF654" s="410">
        <f t="shared" si="296"/>
        <v>0</v>
      </c>
      <c r="AG654" s="410">
        <f t="shared" si="296"/>
        <v>0</v>
      </c>
      <c r="AH654" s="410">
        <f t="shared" si="296"/>
        <v>0</v>
      </c>
      <c r="AI654" s="410">
        <f t="shared" si="296"/>
        <v>0</v>
      </c>
      <c r="AJ654" s="410">
        <f t="shared" si="296"/>
        <v>0</v>
      </c>
      <c r="AK654" s="410">
        <f t="shared" si="296"/>
        <v>0</v>
      </c>
      <c r="AL654" s="410">
        <f t="shared" si="296"/>
        <v>0</v>
      </c>
      <c r="AM654" s="410">
        <f t="shared" si="296"/>
        <v>0</v>
      </c>
      <c r="AN654" s="410">
        <f t="shared" si="296"/>
        <v>0</v>
      </c>
      <c r="AO654" s="410">
        <f t="shared" si="296"/>
        <v>0</v>
      </c>
      <c r="AP654" s="410">
        <f t="shared" si="296"/>
        <v>0</v>
      </c>
      <c r="AQ654" s="410">
        <f t="shared" si="296"/>
        <v>0</v>
      </c>
      <c r="AR654" s="410">
        <f t="shared" si="296"/>
        <v>0</v>
      </c>
      <c r="AS654" s="410">
        <f t="shared" si="296"/>
        <v>0</v>
      </c>
      <c r="AT654" s="410">
        <f t="shared" si="296"/>
        <v>0</v>
      </c>
      <c r="AU654" s="410">
        <f t="shared" si="296"/>
        <v>0</v>
      </c>
      <c r="AV654" s="410">
        <f t="shared" si="296"/>
        <v>0</v>
      </c>
      <c r="AW654" s="410">
        <f t="shared" si="296"/>
        <v>0</v>
      </c>
      <c r="AX654" s="410">
        <f t="shared" si="296"/>
        <v>0</v>
      </c>
      <c r="AY654" s="410">
        <f t="shared" si="296"/>
        <v>0</v>
      </c>
      <c r="AZ654" s="410">
        <f t="shared" si="296"/>
        <v>0</v>
      </c>
      <c r="BA654" s="410">
        <f t="shared" si="296"/>
        <v>0</v>
      </c>
      <c r="BB654" s="410">
        <f t="shared" si="296"/>
        <v>0</v>
      </c>
      <c r="BC654" s="410">
        <f t="shared" si="296"/>
        <v>0</v>
      </c>
      <c r="BD654" s="410">
        <f t="shared" si="296"/>
        <v>0</v>
      </c>
      <c r="BE654" s="410">
        <f t="shared" si="296"/>
        <v>0</v>
      </c>
      <c r="BF654" s="410">
        <f t="shared" si="296"/>
        <v>0</v>
      </c>
      <c r="BG654" s="410">
        <f t="shared" si="296"/>
        <v>0</v>
      </c>
      <c r="BH654" s="410">
        <f t="shared" si="296"/>
        <v>0</v>
      </c>
      <c r="BI654" s="410">
        <f t="shared" si="296"/>
        <v>0</v>
      </c>
      <c r="BJ654" s="410">
        <f t="shared" si="296"/>
        <v>0</v>
      </c>
      <c r="BK654" s="410">
        <f t="shared" si="296"/>
        <v>44149920</v>
      </c>
      <c r="BL654" s="410">
        <f t="shared" si="296"/>
        <v>43560000</v>
      </c>
      <c r="BM654" s="410">
        <f t="shared" si="296"/>
        <v>36960000</v>
      </c>
      <c r="BN654" s="410">
        <f t="shared" si="296"/>
        <v>0</v>
      </c>
      <c r="BO654" s="410">
        <f t="shared" si="296"/>
        <v>0</v>
      </c>
      <c r="BP654" s="410">
        <f t="shared" si="296"/>
        <v>0</v>
      </c>
      <c r="BQ654" s="410">
        <f t="shared" si="296"/>
        <v>0</v>
      </c>
      <c r="BR654" s="410">
        <f t="shared" si="296"/>
        <v>0</v>
      </c>
      <c r="BS654" s="410">
        <f t="shared" si="296"/>
        <v>0</v>
      </c>
      <c r="BT654" s="410">
        <f t="shared" si="296"/>
        <v>0</v>
      </c>
      <c r="BU654" s="410">
        <f t="shared" si="296"/>
        <v>0</v>
      </c>
      <c r="BV654" s="410">
        <f t="shared" si="296"/>
        <v>0</v>
      </c>
      <c r="BW654" s="410">
        <f t="shared" si="296"/>
        <v>0</v>
      </c>
      <c r="BX654" s="410">
        <f t="shared" si="296"/>
        <v>0</v>
      </c>
      <c r="BY654" s="410">
        <f t="shared" si="296"/>
        <v>0</v>
      </c>
      <c r="BZ654" s="410">
        <f t="shared" si="296"/>
        <v>44149920</v>
      </c>
      <c r="CA654" s="410">
        <f t="shared" si="296"/>
        <v>43560000</v>
      </c>
      <c r="CB654" s="410">
        <f t="shared" si="296"/>
        <v>36960000</v>
      </c>
    </row>
    <row r="655" spans="1:80" ht="30" customHeight="1" x14ac:dyDescent="0.2">
      <c r="A655" s="205"/>
      <c r="B655" s="708"/>
      <c r="C655" s="150"/>
      <c r="D655" s="72"/>
      <c r="E655" s="150"/>
      <c r="F655" s="150"/>
      <c r="G655" s="72"/>
      <c r="H655" s="150"/>
      <c r="I655" s="72"/>
      <c r="J655" s="150"/>
      <c r="K655" s="151"/>
      <c r="L655" s="265"/>
      <c r="M655" s="265"/>
      <c r="N655" s="400"/>
      <c r="O655" s="400"/>
      <c r="P655" s="101"/>
      <c r="Q655" s="150"/>
      <c r="R655" s="405"/>
      <c r="S655" s="405"/>
      <c r="T655" s="405"/>
      <c r="U655" s="405"/>
      <c r="V655" s="405"/>
      <c r="W655" s="405"/>
      <c r="X655" s="405"/>
      <c r="Y655" s="405"/>
      <c r="Z655" s="405"/>
      <c r="AA655" s="405"/>
      <c r="AB655" s="405"/>
      <c r="AC655" s="405"/>
      <c r="AD655" s="405"/>
      <c r="AE655" s="405"/>
      <c r="AF655" s="405"/>
      <c r="AG655" s="405"/>
      <c r="AH655" s="405"/>
      <c r="AI655" s="405"/>
      <c r="AJ655" s="405"/>
      <c r="AK655" s="405"/>
      <c r="AL655" s="405"/>
      <c r="AM655" s="405"/>
      <c r="AN655" s="405"/>
      <c r="AO655" s="405"/>
      <c r="AP655" s="405"/>
      <c r="AQ655" s="405"/>
      <c r="AR655" s="405"/>
      <c r="AS655" s="405"/>
      <c r="AT655" s="405"/>
      <c r="AU655" s="405"/>
      <c r="AV655" s="405"/>
      <c r="AW655" s="405"/>
      <c r="AX655" s="405"/>
      <c r="AY655" s="405"/>
      <c r="AZ655" s="405"/>
      <c r="BA655" s="405"/>
      <c r="BB655" s="405"/>
      <c r="BC655" s="405"/>
      <c r="BD655" s="405"/>
      <c r="BE655" s="405"/>
      <c r="BF655" s="405"/>
      <c r="BG655" s="405"/>
      <c r="BH655" s="405"/>
      <c r="BI655" s="405"/>
      <c r="BJ655" s="405"/>
      <c r="BK655" s="407"/>
      <c r="BL655" s="407"/>
      <c r="BM655" s="407"/>
      <c r="BN655" s="408"/>
      <c r="BO655" s="408"/>
      <c r="BP655" s="408"/>
      <c r="BQ655" s="405"/>
      <c r="BR655" s="405"/>
      <c r="BS655" s="405"/>
      <c r="BT655" s="405"/>
      <c r="BU655" s="405"/>
      <c r="BV655" s="405"/>
      <c r="BW655" s="405"/>
      <c r="BX655" s="405"/>
      <c r="BY655" s="405"/>
      <c r="BZ655" s="401"/>
      <c r="CA655" s="401"/>
      <c r="CB655" s="401"/>
    </row>
    <row r="656" spans="1:80" ht="30" customHeight="1" x14ac:dyDescent="0.2">
      <c r="A656" s="205"/>
      <c r="B656" s="708"/>
      <c r="C656" s="713"/>
      <c r="D656" s="707"/>
      <c r="E656" s="713"/>
      <c r="F656" s="713"/>
      <c r="G656" s="219">
        <v>52</v>
      </c>
      <c r="H656" s="79" t="s">
        <v>854</v>
      </c>
      <c r="I656" s="79"/>
      <c r="J656" s="79"/>
      <c r="K656" s="334"/>
      <c r="L656" s="334"/>
      <c r="M656" s="334"/>
      <c r="N656" s="173"/>
      <c r="O656" s="173"/>
      <c r="P656" s="79"/>
      <c r="Q656" s="79"/>
      <c r="R656" s="267"/>
      <c r="S656" s="267"/>
      <c r="T656" s="267"/>
      <c r="U656" s="267"/>
      <c r="V656" s="267"/>
      <c r="W656" s="267"/>
      <c r="X656" s="267"/>
      <c r="Y656" s="267"/>
      <c r="Z656" s="267"/>
      <c r="AA656" s="267"/>
      <c r="AB656" s="267"/>
      <c r="AC656" s="267"/>
      <c r="AD656" s="267"/>
      <c r="AE656" s="267"/>
      <c r="AF656" s="267"/>
      <c r="AG656" s="267"/>
      <c r="AH656" s="267"/>
      <c r="AI656" s="267"/>
      <c r="AJ656" s="267"/>
      <c r="AK656" s="267"/>
      <c r="AL656" s="267"/>
      <c r="AM656" s="267"/>
      <c r="AN656" s="267"/>
      <c r="AO656" s="267"/>
      <c r="AP656" s="267"/>
      <c r="AQ656" s="267"/>
      <c r="AR656" s="267"/>
      <c r="AS656" s="267"/>
      <c r="AT656" s="267"/>
      <c r="AU656" s="267"/>
      <c r="AV656" s="267"/>
      <c r="AW656" s="267"/>
      <c r="AX656" s="267"/>
      <c r="AY656" s="267"/>
      <c r="AZ656" s="267"/>
      <c r="BA656" s="267"/>
      <c r="BB656" s="267"/>
      <c r="BC656" s="267"/>
      <c r="BD656" s="267"/>
      <c r="BE656" s="267"/>
      <c r="BF656" s="267"/>
      <c r="BG656" s="267"/>
      <c r="BH656" s="267"/>
      <c r="BI656" s="267"/>
      <c r="BJ656" s="267"/>
      <c r="BK656" s="414"/>
      <c r="BL656" s="414"/>
      <c r="BM656" s="414"/>
      <c r="BN656" s="267"/>
      <c r="BO656" s="267"/>
      <c r="BP656" s="267"/>
      <c r="BQ656" s="267"/>
      <c r="BR656" s="267"/>
      <c r="BS656" s="267"/>
      <c r="BT656" s="267"/>
      <c r="BU656" s="267"/>
      <c r="BV656" s="267"/>
      <c r="BW656" s="267"/>
      <c r="BX656" s="267"/>
      <c r="BY656" s="267"/>
      <c r="BZ656" s="508"/>
      <c r="CA656" s="508"/>
      <c r="CB656" s="508"/>
    </row>
    <row r="657" spans="1:80" ht="51" customHeight="1" x14ac:dyDescent="0.2">
      <c r="A657" s="205"/>
      <c r="B657" s="708"/>
      <c r="C657" s="883">
        <v>28</v>
      </c>
      <c r="D657" s="891" t="s">
        <v>855</v>
      </c>
      <c r="E657" s="894">
        <v>0.5</v>
      </c>
      <c r="F657" s="894">
        <v>1</v>
      </c>
      <c r="G657" s="43"/>
      <c r="H657" s="57">
        <v>170</v>
      </c>
      <c r="I657" s="729" t="s">
        <v>856</v>
      </c>
      <c r="J657" s="336">
        <v>14</v>
      </c>
      <c r="K657" s="336">
        <v>14</v>
      </c>
      <c r="L657" s="336">
        <v>14</v>
      </c>
      <c r="M657" s="884">
        <v>2017003630105</v>
      </c>
      <c r="N657" s="903" t="s">
        <v>714</v>
      </c>
      <c r="O657" s="895" t="s">
        <v>857</v>
      </c>
      <c r="P657" s="890" t="s">
        <v>858</v>
      </c>
      <c r="Q657" s="57" t="s">
        <v>52</v>
      </c>
      <c r="R657" s="401">
        <v>0</v>
      </c>
      <c r="S657" s="401"/>
      <c r="T657" s="401"/>
      <c r="U657" s="401">
        <v>0</v>
      </c>
      <c r="V657" s="401"/>
      <c r="W657" s="401"/>
      <c r="X657" s="401">
        <v>0</v>
      </c>
      <c r="Y657" s="401"/>
      <c r="Z657" s="401"/>
      <c r="AA657" s="401">
        <v>0</v>
      </c>
      <c r="AB657" s="401"/>
      <c r="AC657" s="401"/>
      <c r="AD657" s="401">
        <v>0</v>
      </c>
      <c r="AE657" s="401"/>
      <c r="AF657" s="401"/>
      <c r="AG657" s="401">
        <v>0</v>
      </c>
      <c r="AH657" s="401"/>
      <c r="AI657" s="401"/>
      <c r="AJ657" s="401">
        <v>0</v>
      </c>
      <c r="AK657" s="401"/>
      <c r="AL657" s="401"/>
      <c r="AM657" s="401"/>
      <c r="AN657" s="401"/>
      <c r="AO657" s="401"/>
      <c r="AP657" s="401"/>
      <c r="AQ657" s="401"/>
      <c r="AR657" s="401"/>
      <c r="AS657" s="401"/>
      <c r="AT657" s="48"/>
      <c r="AU657" s="48"/>
      <c r="AV657" s="401">
        <v>0</v>
      </c>
      <c r="AW657" s="401"/>
      <c r="AX657" s="401"/>
      <c r="AY657" s="401">
        <v>0</v>
      </c>
      <c r="AZ657" s="401"/>
      <c r="BA657" s="401"/>
      <c r="BB657" s="401">
        <v>0</v>
      </c>
      <c r="BC657" s="401"/>
      <c r="BD657" s="401"/>
      <c r="BE657" s="401">
        <v>0</v>
      </c>
      <c r="BF657" s="401"/>
      <c r="BG657" s="401"/>
      <c r="BH657" s="401">
        <v>0</v>
      </c>
      <c r="BI657" s="401"/>
      <c r="BJ657" s="401"/>
      <c r="BK657" s="402">
        <v>138195556</v>
      </c>
      <c r="BL657" s="402">
        <v>5000000</v>
      </c>
      <c r="BM657" s="402"/>
      <c r="BN657" s="415"/>
      <c r="BO657" s="415"/>
      <c r="BP657" s="415"/>
      <c r="BQ657" s="401">
        <v>0</v>
      </c>
      <c r="BR657" s="403"/>
      <c r="BS657" s="403"/>
      <c r="BT657" s="403"/>
      <c r="BU657" s="403"/>
      <c r="BV657" s="403"/>
      <c r="BW657" s="403"/>
      <c r="BX657" s="403"/>
      <c r="BY657" s="403"/>
      <c r="BZ657" s="401">
        <f t="shared" ref="BZ657:CB659" si="297">R657+U657+X657+AA657+AD657+AG657+AJ657+AM657+AP657+AS657+AV657+AY657+BB657+BE657+BH657+BK657+BN657+BQ657+BT657+BW657</f>
        <v>138195556</v>
      </c>
      <c r="CA657" s="401">
        <f t="shared" si="297"/>
        <v>5000000</v>
      </c>
      <c r="CB657" s="401">
        <f t="shared" si="297"/>
        <v>0</v>
      </c>
    </row>
    <row r="658" spans="1:80" ht="51" customHeight="1" x14ac:dyDescent="0.2">
      <c r="A658" s="205"/>
      <c r="B658" s="708"/>
      <c r="C658" s="898"/>
      <c r="D658" s="892"/>
      <c r="E658" s="905"/>
      <c r="F658" s="905"/>
      <c r="G658" s="49"/>
      <c r="H658" s="57">
        <v>171</v>
      </c>
      <c r="I658" s="729" t="s">
        <v>859</v>
      </c>
      <c r="J658" s="336">
        <v>1</v>
      </c>
      <c r="K658" s="336">
        <v>1</v>
      </c>
      <c r="L658" s="336">
        <v>1</v>
      </c>
      <c r="M658" s="886"/>
      <c r="N658" s="904"/>
      <c r="O658" s="898"/>
      <c r="P658" s="892"/>
      <c r="Q658" s="57" t="s">
        <v>52</v>
      </c>
      <c r="R658" s="401">
        <v>0</v>
      </c>
      <c r="S658" s="401"/>
      <c r="T658" s="401"/>
      <c r="U658" s="401">
        <v>0</v>
      </c>
      <c r="V658" s="401"/>
      <c r="W658" s="401"/>
      <c r="X658" s="401">
        <v>0</v>
      </c>
      <c r="Y658" s="401"/>
      <c r="Z658" s="401"/>
      <c r="AA658" s="401">
        <v>0</v>
      </c>
      <c r="AB658" s="401"/>
      <c r="AC658" s="401"/>
      <c r="AD658" s="401">
        <v>0</v>
      </c>
      <c r="AE658" s="401"/>
      <c r="AF658" s="401"/>
      <c r="AG658" s="401">
        <v>0</v>
      </c>
      <c r="AH658" s="401"/>
      <c r="AI658" s="401"/>
      <c r="AJ658" s="401">
        <v>0</v>
      </c>
      <c r="AK658" s="401"/>
      <c r="AL658" s="401"/>
      <c r="AM658" s="401"/>
      <c r="AN658" s="401"/>
      <c r="AO658" s="401"/>
      <c r="AP658" s="401"/>
      <c r="AQ658" s="401"/>
      <c r="AR658" s="401"/>
      <c r="AS658" s="401"/>
      <c r="AT658" s="48"/>
      <c r="AU658" s="48"/>
      <c r="AV658" s="401">
        <v>0</v>
      </c>
      <c r="AW658" s="401"/>
      <c r="AX658" s="401"/>
      <c r="AY658" s="401">
        <v>0</v>
      </c>
      <c r="AZ658" s="401"/>
      <c r="BA658" s="401"/>
      <c r="BB658" s="401">
        <v>0</v>
      </c>
      <c r="BC658" s="401"/>
      <c r="BD658" s="401"/>
      <c r="BE658" s="401">
        <v>0</v>
      </c>
      <c r="BF658" s="401"/>
      <c r="BG658" s="401"/>
      <c r="BH658" s="401">
        <v>0</v>
      </c>
      <c r="BI658" s="401"/>
      <c r="BJ658" s="401"/>
      <c r="BK658" s="402">
        <v>0</v>
      </c>
      <c r="BL658" s="402"/>
      <c r="BM658" s="402"/>
      <c r="BN658" s="415"/>
      <c r="BO658" s="415"/>
      <c r="BP658" s="415"/>
      <c r="BQ658" s="401">
        <v>0</v>
      </c>
      <c r="BR658" s="403"/>
      <c r="BS658" s="403"/>
      <c r="BT658" s="403"/>
      <c r="BU658" s="403"/>
      <c r="BV658" s="403"/>
      <c r="BW658" s="403"/>
      <c r="BX658" s="403"/>
      <c r="BY658" s="403"/>
      <c r="BZ658" s="401">
        <f t="shared" si="297"/>
        <v>0</v>
      </c>
      <c r="CA658" s="401">
        <f t="shared" si="297"/>
        <v>0</v>
      </c>
      <c r="CB658" s="401">
        <f t="shared" si="297"/>
        <v>0</v>
      </c>
    </row>
    <row r="659" spans="1:80" ht="68.25" customHeight="1" x14ac:dyDescent="0.2">
      <c r="A659" s="205"/>
      <c r="B659" s="708"/>
      <c r="C659" s="713">
        <v>28</v>
      </c>
      <c r="D659" s="707" t="s">
        <v>855</v>
      </c>
      <c r="E659" s="731">
        <v>0.5</v>
      </c>
      <c r="F659" s="731">
        <v>1</v>
      </c>
      <c r="G659" s="92"/>
      <c r="H659" s="57">
        <v>172</v>
      </c>
      <c r="I659" s="729" t="s">
        <v>860</v>
      </c>
      <c r="J659" s="107">
        <v>12</v>
      </c>
      <c r="K659" s="107">
        <v>12</v>
      </c>
      <c r="L659" s="107">
        <v>12</v>
      </c>
      <c r="M659" s="46">
        <v>2017003630101</v>
      </c>
      <c r="N659" s="107" t="s">
        <v>714</v>
      </c>
      <c r="O659" s="57" t="s">
        <v>861</v>
      </c>
      <c r="P659" s="729" t="s">
        <v>1019</v>
      </c>
      <c r="Q659" s="57" t="s">
        <v>52</v>
      </c>
      <c r="R659" s="401">
        <v>0</v>
      </c>
      <c r="S659" s="401"/>
      <c r="T659" s="401"/>
      <c r="U659" s="401">
        <v>0</v>
      </c>
      <c r="V659" s="401"/>
      <c r="W659" s="401"/>
      <c r="X659" s="401">
        <v>0</v>
      </c>
      <c r="Y659" s="401"/>
      <c r="Z659" s="401"/>
      <c r="AA659" s="401">
        <v>0</v>
      </c>
      <c r="AB659" s="401"/>
      <c r="AC659" s="401"/>
      <c r="AD659" s="401">
        <v>0</v>
      </c>
      <c r="AE659" s="401"/>
      <c r="AF659" s="401"/>
      <c r="AG659" s="401">
        <v>0</v>
      </c>
      <c r="AH659" s="401"/>
      <c r="AI659" s="401"/>
      <c r="AJ659" s="401">
        <v>0</v>
      </c>
      <c r="AK659" s="401"/>
      <c r="AL659" s="401"/>
      <c r="AM659" s="401"/>
      <c r="AN659" s="401"/>
      <c r="AO659" s="401"/>
      <c r="AP659" s="401"/>
      <c r="AQ659" s="401"/>
      <c r="AR659" s="401"/>
      <c r="AS659" s="401">
        <v>50000000</v>
      </c>
      <c r="AT659" s="455"/>
      <c r="AU659" s="455"/>
      <c r="AV659" s="401">
        <v>0</v>
      </c>
      <c r="AW659" s="401"/>
      <c r="AX659" s="401"/>
      <c r="AY659" s="401">
        <v>0</v>
      </c>
      <c r="AZ659" s="401"/>
      <c r="BA659" s="401"/>
      <c r="BB659" s="401">
        <v>0</v>
      </c>
      <c r="BC659" s="401"/>
      <c r="BD659" s="401"/>
      <c r="BE659" s="401">
        <v>0</v>
      </c>
      <c r="BF659" s="401"/>
      <c r="BG659" s="401"/>
      <c r="BH659" s="401">
        <v>0</v>
      </c>
      <c r="BI659" s="401"/>
      <c r="BJ659" s="401"/>
      <c r="BK659" s="672">
        <f>249000000+6004444+100000000+60000000</f>
        <v>415004444</v>
      </c>
      <c r="BL659" s="402">
        <v>221415000</v>
      </c>
      <c r="BM659" s="402">
        <v>159340000</v>
      </c>
      <c r="BN659" s="415"/>
      <c r="BO659" s="415"/>
      <c r="BP659" s="415"/>
      <c r="BQ659" s="401">
        <v>0</v>
      </c>
      <c r="BR659" s="403"/>
      <c r="BS659" s="403"/>
      <c r="BT659" s="403"/>
      <c r="BU659" s="403"/>
      <c r="BV659" s="403"/>
      <c r="BW659" s="403"/>
      <c r="BX659" s="403"/>
      <c r="BY659" s="403"/>
      <c r="BZ659" s="401">
        <f t="shared" si="297"/>
        <v>465004444</v>
      </c>
      <c r="CA659" s="401">
        <f t="shared" si="297"/>
        <v>221415000</v>
      </c>
      <c r="CB659" s="401">
        <f t="shared" si="297"/>
        <v>159340000</v>
      </c>
    </row>
    <row r="660" spans="1:80" ht="30" customHeight="1" x14ac:dyDescent="0.2">
      <c r="A660" s="205"/>
      <c r="B660" s="708"/>
      <c r="C660" s="714"/>
      <c r="D660" s="709"/>
      <c r="E660" s="714"/>
      <c r="F660" s="714"/>
      <c r="G660" s="58"/>
      <c r="H660" s="59"/>
      <c r="I660" s="58"/>
      <c r="J660" s="136"/>
      <c r="K660" s="253"/>
      <c r="L660" s="253"/>
      <c r="M660" s="253"/>
      <c r="N660" s="136"/>
      <c r="O660" s="59"/>
      <c r="P660" s="58"/>
      <c r="Q660" s="59"/>
      <c r="R660" s="410">
        <f t="shared" ref="R660:BZ660" si="298">SUM(R657:R659)</f>
        <v>0</v>
      </c>
      <c r="S660" s="410">
        <f t="shared" si="298"/>
        <v>0</v>
      </c>
      <c r="T660" s="410">
        <f t="shared" si="298"/>
        <v>0</v>
      </c>
      <c r="U660" s="410">
        <f t="shared" si="298"/>
        <v>0</v>
      </c>
      <c r="V660" s="410">
        <f t="shared" si="298"/>
        <v>0</v>
      </c>
      <c r="W660" s="410">
        <f t="shared" si="298"/>
        <v>0</v>
      </c>
      <c r="X660" s="410">
        <f t="shared" si="298"/>
        <v>0</v>
      </c>
      <c r="Y660" s="410">
        <f t="shared" si="298"/>
        <v>0</v>
      </c>
      <c r="Z660" s="410">
        <f t="shared" si="298"/>
        <v>0</v>
      </c>
      <c r="AA660" s="410">
        <f t="shared" si="298"/>
        <v>0</v>
      </c>
      <c r="AB660" s="410">
        <f t="shared" si="298"/>
        <v>0</v>
      </c>
      <c r="AC660" s="410">
        <f t="shared" si="298"/>
        <v>0</v>
      </c>
      <c r="AD660" s="410">
        <f t="shared" si="298"/>
        <v>0</v>
      </c>
      <c r="AE660" s="410">
        <f t="shared" si="298"/>
        <v>0</v>
      </c>
      <c r="AF660" s="410">
        <f t="shared" si="298"/>
        <v>0</v>
      </c>
      <c r="AG660" s="410">
        <f t="shared" si="298"/>
        <v>0</v>
      </c>
      <c r="AH660" s="410">
        <f t="shared" si="298"/>
        <v>0</v>
      </c>
      <c r="AI660" s="410">
        <f t="shared" si="298"/>
        <v>0</v>
      </c>
      <c r="AJ660" s="410">
        <f t="shared" si="298"/>
        <v>0</v>
      </c>
      <c r="AK660" s="410">
        <f t="shared" si="298"/>
        <v>0</v>
      </c>
      <c r="AL660" s="410">
        <f t="shared" si="298"/>
        <v>0</v>
      </c>
      <c r="AM660" s="410">
        <f t="shared" si="298"/>
        <v>0</v>
      </c>
      <c r="AN660" s="410">
        <f t="shared" si="298"/>
        <v>0</v>
      </c>
      <c r="AO660" s="410">
        <f t="shared" si="298"/>
        <v>0</v>
      </c>
      <c r="AP660" s="410">
        <f t="shared" si="298"/>
        <v>0</v>
      </c>
      <c r="AQ660" s="410">
        <f t="shared" si="298"/>
        <v>0</v>
      </c>
      <c r="AR660" s="410">
        <f t="shared" si="298"/>
        <v>0</v>
      </c>
      <c r="AS660" s="410">
        <f t="shared" si="298"/>
        <v>50000000</v>
      </c>
      <c r="AT660" s="410">
        <f t="shared" si="298"/>
        <v>0</v>
      </c>
      <c r="AU660" s="410">
        <f t="shared" si="298"/>
        <v>0</v>
      </c>
      <c r="AV660" s="410">
        <f t="shared" si="298"/>
        <v>0</v>
      </c>
      <c r="AW660" s="410">
        <f t="shared" si="298"/>
        <v>0</v>
      </c>
      <c r="AX660" s="410">
        <f t="shared" si="298"/>
        <v>0</v>
      </c>
      <c r="AY660" s="410">
        <f t="shared" si="298"/>
        <v>0</v>
      </c>
      <c r="AZ660" s="410">
        <f t="shared" si="298"/>
        <v>0</v>
      </c>
      <c r="BA660" s="410">
        <f t="shared" si="298"/>
        <v>0</v>
      </c>
      <c r="BB660" s="410">
        <f t="shared" si="298"/>
        <v>0</v>
      </c>
      <c r="BC660" s="410">
        <f t="shared" si="298"/>
        <v>0</v>
      </c>
      <c r="BD660" s="410">
        <f t="shared" si="298"/>
        <v>0</v>
      </c>
      <c r="BE660" s="410">
        <f t="shared" si="298"/>
        <v>0</v>
      </c>
      <c r="BF660" s="410">
        <f t="shared" si="298"/>
        <v>0</v>
      </c>
      <c r="BG660" s="410">
        <f t="shared" si="298"/>
        <v>0</v>
      </c>
      <c r="BH660" s="410">
        <f t="shared" si="298"/>
        <v>0</v>
      </c>
      <c r="BI660" s="410">
        <f t="shared" si="298"/>
        <v>0</v>
      </c>
      <c r="BJ660" s="410">
        <f t="shared" si="298"/>
        <v>0</v>
      </c>
      <c r="BK660" s="410">
        <f t="shared" si="298"/>
        <v>553200000</v>
      </c>
      <c r="BL660" s="410">
        <f t="shared" si="298"/>
        <v>226415000</v>
      </c>
      <c r="BM660" s="410">
        <f t="shared" si="298"/>
        <v>159340000</v>
      </c>
      <c r="BN660" s="410">
        <f t="shared" si="298"/>
        <v>0</v>
      </c>
      <c r="BO660" s="410">
        <f t="shared" si="298"/>
        <v>0</v>
      </c>
      <c r="BP660" s="410">
        <f t="shared" si="298"/>
        <v>0</v>
      </c>
      <c r="BQ660" s="410">
        <f t="shared" si="298"/>
        <v>0</v>
      </c>
      <c r="BR660" s="410">
        <f t="shared" si="298"/>
        <v>0</v>
      </c>
      <c r="BS660" s="410">
        <f t="shared" si="298"/>
        <v>0</v>
      </c>
      <c r="BT660" s="410">
        <f t="shared" si="298"/>
        <v>0</v>
      </c>
      <c r="BU660" s="410">
        <f t="shared" si="298"/>
        <v>0</v>
      </c>
      <c r="BV660" s="410">
        <f t="shared" si="298"/>
        <v>0</v>
      </c>
      <c r="BW660" s="410">
        <f t="shared" si="298"/>
        <v>0</v>
      </c>
      <c r="BX660" s="410">
        <f t="shared" si="298"/>
        <v>0</v>
      </c>
      <c r="BY660" s="410">
        <f t="shared" si="298"/>
        <v>0</v>
      </c>
      <c r="BZ660" s="410">
        <f t="shared" si="298"/>
        <v>603200000</v>
      </c>
      <c r="CA660" s="410">
        <f t="shared" ref="CA660:CB660" si="299">SUM(CA657:CA659)</f>
        <v>226415000</v>
      </c>
      <c r="CB660" s="410">
        <f t="shared" si="299"/>
        <v>159340000</v>
      </c>
    </row>
    <row r="661" spans="1:80" ht="30" customHeight="1" x14ac:dyDescent="0.2">
      <c r="A661" s="205"/>
      <c r="B661" s="708"/>
      <c r="C661" s="150"/>
      <c r="D661" s="72"/>
      <c r="E661" s="150"/>
      <c r="F661" s="150"/>
      <c r="G661" s="72"/>
      <c r="H661" s="150"/>
      <c r="I661" s="72"/>
      <c r="J661" s="150"/>
      <c r="K661" s="255"/>
      <c r="L661" s="333"/>
      <c r="M661" s="333"/>
      <c r="N661" s="400"/>
      <c r="O661" s="400"/>
      <c r="P661" s="101"/>
      <c r="Q661" s="150"/>
      <c r="R661" s="405"/>
      <c r="S661" s="405"/>
      <c r="T661" s="405"/>
      <c r="U661" s="405"/>
      <c r="V661" s="405"/>
      <c r="W661" s="405"/>
      <c r="X661" s="405"/>
      <c r="Y661" s="405"/>
      <c r="Z661" s="405"/>
      <c r="AA661" s="405"/>
      <c r="AB661" s="405"/>
      <c r="AC661" s="405"/>
      <c r="AD661" s="405"/>
      <c r="AE661" s="405"/>
      <c r="AF661" s="405"/>
      <c r="AG661" s="405"/>
      <c r="AH661" s="405"/>
      <c r="AI661" s="405"/>
      <c r="AJ661" s="405"/>
      <c r="AK661" s="405"/>
      <c r="AL661" s="405"/>
      <c r="AM661" s="405"/>
      <c r="AN661" s="405"/>
      <c r="AO661" s="405"/>
      <c r="AP661" s="405"/>
      <c r="AQ661" s="405"/>
      <c r="AR661" s="405"/>
      <c r="AS661" s="405"/>
      <c r="AT661" s="405"/>
      <c r="AU661" s="405"/>
      <c r="AV661" s="405"/>
      <c r="AW661" s="405"/>
      <c r="AX661" s="405"/>
      <c r="AY661" s="405"/>
      <c r="AZ661" s="405"/>
      <c r="BA661" s="405"/>
      <c r="BB661" s="405"/>
      <c r="BC661" s="405"/>
      <c r="BD661" s="405"/>
      <c r="BE661" s="405"/>
      <c r="BF661" s="405"/>
      <c r="BG661" s="405"/>
      <c r="BH661" s="405"/>
      <c r="BI661" s="405"/>
      <c r="BJ661" s="405"/>
      <c r="BK661" s="407"/>
      <c r="BL661" s="407"/>
      <c r="BM661" s="407"/>
      <c r="BN661" s="408"/>
      <c r="BO661" s="408"/>
      <c r="BP661" s="408"/>
      <c r="BQ661" s="405"/>
      <c r="BR661" s="405"/>
      <c r="BS661" s="405"/>
      <c r="BT661" s="405"/>
      <c r="BU661" s="405"/>
      <c r="BV661" s="405"/>
      <c r="BW661" s="405"/>
      <c r="BX661" s="405"/>
      <c r="BY661" s="405"/>
      <c r="BZ661" s="409"/>
      <c r="CA661" s="409"/>
      <c r="CB661" s="409"/>
    </row>
    <row r="662" spans="1:80" ht="30" customHeight="1" x14ac:dyDescent="0.2">
      <c r="A662" s="205"/>
      <c r="B662" s="708"/>
      <c r="C662" s="713"/>
      <c r="D662" s="707"/>
      <c r="E662" s="713"/>
      <c r="F662" s="713"/>
      <c r="G662" s="219">
        <v>53</v>
      </c>
      <c r="H662" s="80" t="s">
        <v>863</v>
      </c>
      <c r="I662" s="80"/>
      <c r="J662" s="80"/>
      <c r="K662" s="91"/>
      <c r="L662" s="91"/>
      <c r="M662" s="91"/>
      <c r="N662" s="173"/>
      <c r="O662" s="173"/>
      <c r="P662" s="80"/>
      <c r="Q662" s="80"/>
      <c r="R662" s="267"/>
      <c r="S662" s="267"/>
      <c r="T662" s="267"/>
      <c r="U662" s="267"/>
      <c r="V662" s="267"/>
      <c r="W662" s="267"/>
      <c r="X662" s="267"/>
      <c r="Y662" s="267"/>
      <c r="Z662" s="267"/>
      <c r="AA662" s="267"/>
      <c r="AB662" s="267"/>
      <c r="AC662" s="267"/>
      <c r="AD662" s="267"/>
      <c r="AE662" s="267"/>
      <c r="AF662" s="267"/>
      <c r="AG662" s="267"/>
      <c r="AH662" s="267"/>
      <c r="AI662" s="267"/>
      <c r="AJ662" s="267"/>
      <c r="AK662" s="267"/>
      <c r="AL662" s="267"/>
      <c r="AM662" s="267"/>
      <c r="AN662" s="267"/>
      <c r="AO662" s="267"/>
      <c r="AP662" s="267"/>
      <c r="AQ662" s="267"/>
      <c r="AR662" s="267"/>
      <c r="AS662" s="267"/>
      <c r="AT662" s="267"/>
      <c r="AU662" s="267"/>
      <c r="AV662" s="267"/>
      <c r="AW662" s="267"/>
      <c r="AX662" s="267"/>
      <c r="AY662" s="267"/>
      <c r="AZ662" s="267"/>
      <c r="BA662" s="267"/>
      <c r="BB662" s="267"/>
      <c r="BC662" s="267"/>
      <c r="BD662" s="267"/>
      <c r="BE662" s="267"/>
      <c r="BF662" s="267"/>
      <c r="BG662" s="267"/>
      <c r="BH662" s="267"/>
      <c r="BI662" s="267"/>
      <c r="BJ662" s="267"/>
      <c r="BK662" s="414"/>
      <c r="BL662" s="414"/>
      <c r="BM662" s="414"/>
      <c r="BN662" s="267"/>
      <c r="BO662" s="267"/>
      <c r="BP662" s="267"/>
      <c r="BQ662" s="267"/>
      <c r="BR662" s="267"/>
      <c r="BS662" s="267"/>
      <c r="BT662" s="267"/>
      <c r="BU662" s="267"/>
      <c r="BV662" s="267"/>
      <c r="BW662" s="267"/>
      <c r="BX662" s="267"/>
      <c r="BY662" s="267"/>
      <c r="BZ662" s="269"/>
      <c r="CA662" s="269"/>
      <c r="CB662" s="269"/>
    </row>
    <row r="663" spans="1:80" ht="101.25" customHeight="1" x14ac:dyDescent="0.2">
      <c r="A663" s="205"/>
      <c r="B663" s="708"/>
      <c r="C663" s="883">
        <v>28</v>
      </c>
      <c r="D663" s="891" t="s">
        <v>855</v>
      </c>
      <c r="E663" s="894">
        <v>0.5</v>
      </c>
      <c r="F663" s="894">
        <v>1</v>
      </c>
      <c r="G663" s="895"/>
      <c r="H663" s="57">
        <v>173</v>
      </c>
      <c r="I663" s="729" t="s">
        <v>864</v>
      </c>
      <c r="J663" s="336" t="s">
        <v>43</v>
      </c>
      <c r="K663" s="336">
        <v>7</v>
      </c>
      <c r="L663" s="336">
        <v>7</v>
      </c>
      <c r="M663" s="884">
        <v>2017003630104</v>
      </c>
      <c r="N663" s="903" t="s">
        <v>714</v>
      </c>
      <c r="O663" s="895" t="s">
        <v>865</v>
      </c>
      <c r="P663" s="890" t="s">
        <v>866</v>
      </c>
      <c r="Q663" s="57" t="s">
        <v>52</v>
      </c>
      <c r="R663" s="401">
        <v>0</v>
      </c>
      <c r="S663" s="401"/>
      <c r="T663" s="401"/>
      <c r="U663" s="401">
        <v>0</v>
      </c>
      <c r="V663" s="401"/>
      <c r="W663" s="401"/>
      <c r="X663" s="401">
        <v>0</v>
      </c>
      <c r="Y663" s="401"/>
      <c r="Z663" s="401"/>
      <c r="AA663" s="401">
        <v>0</v>
      </c>
      <c r="AB663" s="401"/>
      <c r="AC663" s="401"/>
      <c r="AD663" s="401">
        <v>0</v>
      </c>
      <c r="AE663" s="401"/>
      <c r="AF663" s="401"/>
      <c r="AG663" s="401">
        <v>0</v>
      </c>
      <c r="AH663" s="401"/>
      <c r="AI663" s="401"/>
      <c r="AJ663" s="401">
        <v>0</v>
      </c>
      <c r="AK663" s="401"/>
      <c r="AL663" s="401"/>
      <c r="AM663" s="401"/>
      <c r="AN663" s="401"/>
      <c r="AO663" s="401"/>
      <c r="AP663" s="401"/>
      <c r="AQ663" s="401"/>
      <c r="AR663" s="401"/>
      <c r="AS663" s="430"/>
      <c r="AT663" s="402"/>
      <c r="AU663" s="402"/>
      <c r="AV663" s="401">
        <v>0</v>
      </c>
      <c r="AW663" s="401"/>
      <c r="AX663" s="401"/>
      <c r="AY663" s="401"/>
      <c r="AZ663" s="401"/>
      <c r="BA663" s="401"/>
      <c r="BB663" s="401"/>
      <c r="BC663" s="401"/>
      <c r="BD663" s="401"/>
      <c r="BE663" s="401">
        <v>0</v>
      </c>
      <c r="BF663" s="401"/>
      <c r="BG663" s="401"/>
      <c r="BH663" s="401">
        <v>0</v>
      </c>
      <c r="BI663" s="401"/>
      <c r="BJ663" s="401"/>
      <c r="BK663" s="401">
        <v>35436120</v>
      </c>
      <c r="BL663" s="401">
        <v>35300000</v>
      </c>
      <c r="BM663" s="401">
        <v>35300000</v>
      </c>
      <c r="BN663" s="415"/>
      <c r="BO663" s="415"/>
      <c r="BP663" s="415"/>
      <c r="BQ663" s="401">
        <v>0</v>
      </c>
      <c r="BR663" s="403"/>
      <c r="BS663" s="403"/>
      <c r="BT663" s="403"/>
      <c r="BU663" s="403"/>
      <c r="BV663" s="403"/>
      <c r="BW663" s="403"/>
      <c r="BX663" s="403"/>
      <c r="BY663" s="403"/>
      <c r="BZ663" s="401">
        <f t="shared" ref="BZ663:CB664" si="300">R663+U663+X663+AA663+AD663+AG663+AJ663+AM663+AP663+AS663+AV663+AY663+BB663+BE663+BH663+BK663+BN663+BQ663+BT663+BW663</f>
        <v>35436120</v>
      </c>
      <c r="CA663" s="401">
        <f t="shared" si="300"/>
        <v>35300000</v>
      </c>
      <c r="CB663" s="401">
        <f t="shared" si="300"/>
        <v>35300000</v>
      </c>
    </row>
    <row r="664" spans="1:80" ht="90" customHeight="1" x14ac:dyDescent="0.2">
      <c r="A664" s="205"/>
      <c r="B664" s="708"/>
      <c r="C664" s="883"/>
      <c r="D664" s="891"/>
      <c r="E664" s="894"/>
      <c r="F664" s="894"/>
      <c r="G664" s="898"/>
      <c r="H664" s="57">
        <v>174</v>
      </c>
      <c r="I664" s="729" t="s">
        <v>867</v>
      </c>
      <c r="J664" s="57">
        <v>100</v>
      </c>
      <c r="K664" s="107">
        <v>150</v>
      </c>
      <c r="L664" s="718">
        <v>82</v>
      </c>
      <c r="M664" s="886"/>
      <c r="N664" s="904"/>
      <c r="O664" s="898"/>
      <c r="P664" s="892"/>
      <c r="Q664" s="57" t="s">
        <v>52</v>
      </c>
      <c r="R664" s="401">
        <v>0</v>
      </c>
      <c r="S664" s="401"/>
      <c r="T664" s="401"/>
      <c r="U664" s="401">
        <v>0</v>
      </c>
      <c r="V664" s="401"/>
      <c r="W664" s="401"/>
      <c r="X664" s="401">
        <v>0</v>
      </c>
      <c r="Y664" s="401"/>
      <c r="Z664" s="401"/>
      <c r="AA664" s="401">
        <v>0</v>
      </c>
      <c r="AB664" s="401"/>
      <c r="AC664" s="401"/>
      <c r="AD664" s="401">
        <v>0</v>
      </c>
      <c r="AE664" s="401"/>
      <c r="AF664" s="401"/>
      <c r="AG664" s="401">
        <v>0</v>
      </c>
      <c r="AH664" s="401"/>
      <c r="AI664" s="401"/>
      <c r="AJ664" s="401">
        <v>0</v>
      </c>
      <c r="AK664" s="401"/>
      <c r="AL664" s="401"/>
      <c r="AM664" s="401"/>
      <c r="AN664" s="401"/>
      <c r="AO664" s="401"/>
      <c r="AP664" s="401"/>
      <c r="AQ664" s="401"/>
      <c r="AR664" s="401"/>
      <c r="AS664" s="401">
        <v>0</v>
      </c>
      <c r="AT664" s="401"/>
      <c r="AU664" s="401"/>
      <c r="AV664" s="401">
        <v>0</v>
      </c>
      <c r="AW664" s="401"/>
      <c r="AX664" s="401"/>
      <c r="AY664" s="401"/>
      <c r="AZ664" s="401"/>
      <c r="BA664" s="401"/>
      <c r="BB664" s="401"/>
      <c r="BC664" s="401"/>
      <c r="BD664" s="401"/>
      <c r="BE664" s="401">
        <v>0</v>
      </c>
      <c r="BF664" s="401"/>
      <c r="BG664" s="401"/>
      <c r="BH664" s="401">
        <v>0</v>
      </c>
      <c r="BI664" s="401"/>
      <c r="BJ664" s="401"/>
      <c r="BK664" s="402">
        <v>0</v>
      </c>
      <c r="BL664" s="402"/>
      <c r="BM664" s="402"/>
      <c r="BN664" s="415"/>
      <c r="BO664" s="415"/>
      <c r="BP664" s="415"/>
      <c r="BQ664" s="401">
        <v>0</v>
      </c>
      <c r="BR664" s="403"/>
      <c r="BS664" s="403"/>
      <c r="BT664" s="403"/>
      <c r="BU664" s="403"/>
      <c r="BV664" s="403"/>
      <c r="BW664" s="403"/>
      <c r="BX664" s="403"/>
      <c r="BY664" s="403"/>
      <c r="BZ664" s="401">
        <f t="shared" si="300"/>
        <v>0</v>
      </c>
      <c r="CA664" s="401">
        <f t="shared" si="300"/>
        <v>0</v>
      </c>
      <c r="CB664" s="401">
        <f t="shared" si="300"/>
        <v>0</v>
      </c>
    </row>
    <row r="665" spans="1:80" ht="30" customHeight="1" x14ac:dyDescent="0.2">
      <c r="A665" s="205"/>
      <c r="B665" s="708"/>
      <c r="C665" s="714"/>
      <c r="D665" s="709"/>
      <c r="E665" s="714"/>
      <c r="F665" s="714"/>
      <c r="G665" s="58"/>
      <c r="H665" s="59"/>
      <c r="I665" s="58"/>
      <c r="J665" s="59"/>
      <c r="K665" s="136"/>
      <c r="L665" s="136"/>
      <c r="M665" s="136"/>
      <c r="N665" s="59"/>
      <c r="O665" s="59"/>
      <c r="P665" s="58"/>
      <c r="Q665" s="59"/>
      <c r="R665" s="410">
        <f t="shared" ref="R665:CB665" si="301">SUM(R663:R664)</f>
        <v>0</v>
      </c>
      <c r="S665" s="410">
        <f t="shared" si="301"/>
        <v>0</v>
      </c>
      <c r="T665" s="410">
        <f t="shared" si="301"/>
        <v>0</v>
      </c>
      <c r="U665" s="410">
        <f t="shared" si="301"/>
        <v>0</v>
      </c>
      <c r="V665" s="410">
        <f t="shared" si="301"/>
        <v>0</v>
      </c>
      <c r="W665" s="410">
        <f t="shared" si="301"/>
        <v>0</v>
      </c>
      <c r="X665" s="410">
        <f t="shared" si="301"/>
        <v>0</v>
      </c>
      <c r="Y665" s="410">
        <f t="shared" si="301"/>
        <v>0</v>
      </c>
      <c r="Z665" s="410">
        <f t="shared" si="301"/>
        <v>0</v>
      </c>
      <c r="AA665" s="410">
        <f t="shared" si="301"/>
        <v>0</v>
      </c>
      <c r="AB665" s="410">
        <f t="shared" si="301"/>
        <v>0</v>
      </c>
      <c r="AC665" s="410">
        <f t="shared" si="301"/>
        <v>0</v>
      </c>
      <c r="AD665" s="410">
        <f t="shared" si="301"/>
        <v>0</v>
      </c>
      <c r="AE665" s="410">
        <f t="shared" si="301"/>
        <v>0</v>
      </c>
      <c r="AF665" s="410">
        <f t="shared" si="301"/>
        <v>0</v>
      </c>
      <c r="AG665" s="410">
        <f t="shared" si="301"/>
        <v>0</v>
      </c>
      <c r="AH665" s="410">
        <f t="shared" si="301"/>
        <v>0</v>
      </c>
      <c r="AI665" s="410">
        <f t="shared" si="301"/>
        <v>0</v>
      </c>
      <c r="AJ665" s="410">
        <f t="shared" si="301"/>
        <v>0</v>
      </c>
      <c r="AK665" s="410">
        <f t="shared" si="301"/>
        <v>0</v>
      </c>
      <c r="AL665" s="410">
        <f t="shared" si="301"/>
        <v>0</v>
      </c>
      <c r="AM665" s="410">
        <f t="shared" si="301"/>
        <v>0</v>
      </c>
      <c r="AN665" s="410">
        <f t="shared" si="301"/>
        <v>0</v>
      </c>
      <c r="AO665" s="410">
        <f t="shared" si="301"/>
        <v>0</v>
      </c>
      <c r="AP665" s="410">
        <f t="shared" si="301"/>
        <v>0</v>
      </c>
      <c r="AQ665" s="410">
        <f t="shared" si="301"/>
        <v>0</v>
      </c>
      <c r="AR665" s="410">
        <f t="shared" si="301"/>
        <v>0</v>
      </c>
      <c r="AS665" s="410">
        <f t="shared" si="301"/>
        <v>0</v>
      </c>
      <c r="AT665" s="410">
        <f t="shared" si="301"/>
        <v>0</v>
      </c>
      <c r="AU665" s="410">
        <f t="shared" si="301"/>
        <v>0</v>
      </c>
      <c r="AV665" s="410">
        <f t="shared" si="301"/>
        <v>0</v>
      </c>
      <c r="AW665" s="410">
        <f t="shared" si="301"/>
        <v>0</v>
      </c>
      <c r="AX665" s="410">
        <f t="shared" si="301"/>
        <v>0</v>
      </c>
      <c r="AY665" s="410">
        <f t="shared" si="301"/>
        <v>0</v>
      </c>
      <c r="AZ665" s="410">
        <f t="shared" si="301"/>
        <v>0</v>
      </c>
      <c r="BA665" s="410">
        <f t="shared" si="301"/>
        <v>0</v>
      </c>
      <c r="BB665" s="410">
        <f t="shared" si="301"/>
        <v>0</v>
      </c>
      <c r="BC665" s="410">
        <f t="shared" si="301"/>
        <v>0</v>
      </c>
      <c r="BD665" s="410">
        <f t="shared" si="301"/>
        <v>0</v>
      </c>
      <c r="BE665" s="410">
        <f t="shared" si="301"/>
        <v>0</v>
      </c>
      <c r="BF665" s="410">
        <f t="shared" si="301"/>
        <v>0</v>
      </c>
      <c r="BG665" s="410">
        <f t="shared" si="301"/>
        <v>0</v>
      </c>
      <c r="BH665" s="410">
        <f t="shared" si="301"/>
        <v>0</v>
      </c>
      <c r="BI665" s="410">
        <f t="shared" si="301"/>
        <v>0</v>
      </c>
      <c r="BJ665" s="410">
        <f t="shared" si="301"/>
        <v>0</v>
      </c>
      <c r="BK665" s="410">
        <f t="shared" si="301"/>
        <v>35436120</v>
      </c>
      <c r="BL665" s="410">
        <f t="shared" si="301"/>
        <v>35300000</v>
      </c>
      <c r="BM665" s="410">
        <f t="shared" si="301"/>
        <v>35300000</v>
      </c>
      <c r="BN665" s="410">
        <f t="shared" si="301"/>
        <v>0</v>
      </c>
      <c r="BO665" s="410">
        <f t="shared" si="301"/>
        <v>0</v>
      </c>
      <c r="BP665" s="410">
        <f t="shared" si="301"/>
        <v>0</v>
      </c>
      <c r="BQ665" s="410">
        <f t="shared" si="301"/>
        <v>0</v>
      </c>
      <c r="BR665" s="410">
        <f t="shared" si="301"/>
        <v>0</v>
      </c>
      <c r="BS665" s="410">
        <f t="shared" si="301"/>
        <v>0</v>
      </c>
      <c r="BT665" s="410">
        <f t="shared" si="301"/>
        <v>0</v>
      </c>
      <c r="BU665" s="410">
        <f t="shared" si="301"/>
        <v>0</v>
      </c>
      <c r="BV665" s="410">
        <f t="shared" si="301"/>
        <v>0</v>
      </c>
      <c r="BW665" s="410">
        <f t="shared" si="301"/>
        <v>0</v>
      </c>
      <c r="BX665" s="410">
        <f t="shared" si="301"/>
        <v>0</v>
      </c>
      <c r="BY665" s="410">
        <f t="shared" si="301"/>
        <v>0</v>
      </c>
      <c r="BZ665" s="410">
        <f t="shared" si="301"/>
        <v>35436120</v>
      </c>
      <c r="CA665" s="410">
        <f t="shared" si="301"/>
        <v>35300000</v>
      </c>
      <c r="CB665" s="410">
        <f t="shared" si="301"/>
        <v>35300000</v>
      </c>
    </row>
    <row r="666" spans="1:80" ht="30" customHeight="1" x14ac:dyDescent="0.2">
      <c r="A666" s="205"/>
      <c r="B666" s="708"/>
      <c r="C666" s="150"/>
      <c r="D666" s="72"/>
      <c r="E666" s="150"/>
      <c r="F666" s="150"/>
      <c r="G666" s="72"/>
      <c r="H666" s="150"/>
      <c r="I666" s="72"/>
      <c r="J666" s="150"/>
      <c r="K666" s="151"/>
      <c r="L666" s="265"/>
      <c r="M666" s="265"/>
      <c r="N666" s="400"/>
      <c r="O666" s="400"/>
      <c r="P666" s="101"/>
      <c r="Q666" s="150"/>
      <c r="R666" s="405"/>
      <c r="S666" s="405"/>
      <c r="T666" s="405"/>
      <c r="U666" s="405"/>
      <c r="V666" s="405"/>
      <c r="W666" s="405"/>
      <c r="X666" s="405"/>
      <c r="Y666" s="405"/>
      <c r="Z666" s="405"/>
      <c r="AA666" s="405"/>
      <c r="AB666" s="405"/>
      <c r="AC666" s="405"/>
      <c r="AD666" s="405"/>
      <c r="AE666" s="405"/>
      <c r="AF666" s="405"/>
      <c r="AG666" s="405"/>
      <c r="AH666" s="405"/>
      <c r="AI666" s="405"/>
      <c r="AJ666" s="405"/>
      <c r="AK666" s="405"/>
      <c r="AL666" s="405"/>
      <c r="AM666" s="405"/>
      <c r="AN666" s="405"/>
      <c r="AO666" s="405"/>
      <c r="AP666" s="405"/>
      <c r="AQ666" s="405"/>
      <c r="AR666" s="405"/>
      <c r="AS666" s="405"/>
      <c r="AT666" s="405"/>
      <c r="AU666" s="405"/>
      <c r="AV666" s="405"/>
      <c r="AW666" s="405"/>
      <c r="AX666" s="405"/>
      <c r="AY666" s="405"/>
      <c r="AZ666" s="405"/>
      <c r="BA666" s="405"/>
      <c r="BB666" s="405"/>
      <c r="BC666" s="405"/>
      <c r="BD666" s="405"/>
      <c r="BE666" s="405"/>
      <c r="BF666" s="405"/>
      <c r="BG666" s="405"/>
      <c r="BH666" s="405"/>
      <c r="BI666" s="405"/>
      <c r="BJ666" s="405"/>
      <c r="BK666" s="407"/>
      <c r="BL666" s="407"/>
      <c r="BM666" s="407"/>
      <c r="BN666" s="408"/>
      <c r="BO666" s="408"/>
      <c r="BP666" s="408"/>
      <c r="BQ666" s="405"/>
      <c r="BR666" s="405"/>
      <c r="BS666" s="405"/>
      <c r="BT666" s="405"/>
      <c r="BU666" s="405"/>
      <c r="BV666" s="405"/>
      <c r="BW666" s="405"/>
      <c r="BX666" s="405"/>
      <c r="BY666" s="405"/>
      <c r="BZ666" s="409"/>
      <c r="CA666" s="409"/>
      <c r="CB666" s="409"/>
    </row>
    <row r="667" spans="1:80" ht="30" customHeight="1" x14ac:dyDescent="0.2">
      <c r="A667" s="205"/>
      <c r="B667" s="708"/>
      <c r="C667" s="713"/>
      <c r="D667" s="707"/>
      <c r="E667" s="713"/>
      <c r="F667" s="713"/>
      <c r="G667" s="219">
        <v>54</v>
      </c>
      <c r="H667" s="80" t="s">
        <v>868</v>
      </c>
      <c r="I667" s="80"/>
      <c r="J667" s="80"/>
      <c r="K667" s="128"/>
      <c r="L667" s="128"/>
      <c r="M667" s="128"/>
      <c r="N667" s="173"/>
      <c r="O667" s="173"/>
      <c r="P667" s="80"/>
      <c r="Q667" s="80"/>
      <c r="R667" s="267"/>
      <c r="S667" s="267"/>
      <c r="T667" s="267"/>
      <c r="U667" s="267"/>
      <c r="V667" s="267"/>
      <c r="W667" s="267"/>
      <c r="X667" s="267"/>
      <c r="Y667" s="267"/>
      <c r="Z667" s="267"/>
      <c r="AA667" s="267"/>
      <c r="AB667" s="267"/>
      <c r="AC667" s="267"/>
      <c r="AD667" s="267"/>
      <c r="AE667" s="267"/>
      <c r="AF667" s="267"/>
      <c r="AG667" s="267"/>
      <c r="AH667" s="267"/>
      <c r="AI667" s="267"/>
      <c r="AJ667" s="267"/>
      <c r="AK667" s="267"/>
      <c r="AL667" s="267"/>
      <c r="AM667" s="267"/>
      <c r="AN667" s="267"/>
      <c r="AO667" s="267"/>
      <c r="AP667" s="267"/>
      <c r="AQ667" s="267"/>
      <c r="AR667" s="267"/>
      <c r="AS667" s="267"/>
      <c r="AT667" s="267"/>
      <c r="AU667" s="267"/>
      <c r="AV667" s="267"/>
      <c r="AW667" s="267"/>
      <c r="AX667" s="267"/>
      <c r="AY667" s="267"/>
      <c r="AZ667" s="267"/>
      <c r="BA667" s="267"/>
      <c r="BB667" s="267"/>
      <c r="BC667" s="267"/>
      <c r="BD667" s="267"/>
      <c r="BE667" s="267"/>
      <c r="BF667" s="267"/>
      <c r="BG667" s="267"/>
      <c r="BH667" s="267"/>
      <c r="BI667" s="267"/>
      <c r="BJ667" s="267"/>
      <c r="BK667" s="414"/>
      <c r="BL667" s="414"/>
      <c r="BM667" s="414"/>
      <c r="BN667" s="267"/>
      <c r="BO667" s="267"/>
      <c r="BP667" s="267"/>
      <c r="BQ667" s="267"/>
      <c r="BR667" s="267"/>
      <c r="BS667" s="267"/>
      <c r="BT667" s="267"/>
      <c r="BU667" s="267"/>
      <c r="BV667" s="267"/>
      <c r="BW667" s="267"/>
      <c r="BX667" s="267"/>
      <c r="BY667" s="267"/>
      <c r="BZ667" s="269"/>
      <c r="CA667" s="269"/>
      <c r="CB667" s="269"/>
    </row>
    <row r="668" spans="1:80" ht="61.5" customHeight="1" x14ac:dyDescent="0.2">
      <c r="A668" s="205"/>
      <c r="B668" s="708"/>
      <c r="C668" s="883">
        <v>28</v>
      </c>
      <c r="D668" s="891" t="s">
        <v>855</v>
      </c>
      <c r="E668" s="894">
        <v>0.5</v>
      </c>
      <c r="F668" s="894">
        <v>1</v>
      </c>
      <c r="G668" s="895"/>
      <c r="H668" s="57">
        <v>175</v>
      </c>
      <c r="I668" s="729" t="s">
        <v>869</v>
      </c>
      <c r="J668" s="57">
        <v>10</v>
      </c>
      <c r="K668" s="107">
        <v>14</v>
      </c>
      <c r="L668" s="107">
        <v>14</v>
      </c>
      <c r="M668" s="884">
        <v>2017003630108</v>
      </c>
      <c r="N668" s="895" t="s">
        <v>714</v>
      </c>
      <c r="O668" s="895" t="s">
        <v>870</v>
      </c>
      <c r="P668" s="890" t="s">
        <v>1020</v>
      </c>
      <c r="Q668" s="57" t="s">
        <v>52</v>
      </c>
      <c r="R668" s="401">
        <v>0</v>
      </c>
      <c r="S668" s="401"/>
      <c r="T668" s="401"/>
      <c r="U668" s="401">
        <v>0</v>
      </c>
      <c r="V668" s="401"/>
      <c r="W668" s="401"/>
      <c r="X668" s="401">
        <v>0</v>
      </c>
      <c r="Y668" s="401"/>
      <c r="Z668" s="401"/>
      <c r="AA668" s="401">
        <v>0</v>
      </c>
      <c r="AB668" s="401"/>
      <c r="AC668" s="401"/>
      <c r="AD668" s="401">
        <v>0</v>
      </c>
      <c r="AE668" s="401"/>
      <c r="AF668" s="401"/>
      <c r="AG668" s="401">
        <v>0</v>
      </c>
      <c r="AH668" s="401"/>
      <c r="AI668" s="401"/>
      <c r="AJ668" s="401">
        <v>0</v>
      </c>
      <c r="AK668" s="401"/>
      <c r="AL668" s="401"/>
      <c r="AM668" s="401"/>
      <c r="AN668" s="401"/>
      <c r="AO668" s="401"/>
      <c r="AP668" s="401"/>
      <c r="AQ668" s="401"/>
      <c r="AR668" s="791"/>
      <c r="AS668" s="802"/>
      <c r="AT668" s="402"/>
      <c r="AU668" s="402"/>
      <c r="AV668" s="401">
        <v>0</v>
      </c>
      <c r="AW668" s="401"/>
      <c r="AX668" s="401"/>
      <c r="AY668" s="401">
        <v>0</v>
      </c>
      <c r="AZ668" s="401"/>
      <c r="BA668" s="401"/>
      <c r="BB668" s="401">
        <v>0</v>
      </c>
      <c r="BC668" s="401"/>
      <c r="BD668" s="401"/>
      <c r="BE668" s="401">
        <v>0</v>
      </c>
      <c r="BF668" s="401"/>
      <c r="BG668" s="401"/>
      <c r="BH668" s="401">
        <v>0</v>
      </c>
      <c r="BI668" s="401"/>
      <c r="BJ668" s="401"/>
      <c r="BK668" s="680">
        <f>23817720+150000000+74634695</f>
        <v>248452415</v>
      </c>
      <c r="BL668" s="401">
        <v>131680000</v>
      </c>
      <c r="BM668" s="401">
        <v>121120000</v>
      </c>
      <c r="BN668" s="415"/>
      <c r="BO668" s="415"/>
      <c r="BP668" s="415"/>
      <c r="BQ668" s="401">
        <v>0</v>
      </c>
      <c r="BR668" s="403"/>
      <c r="BS668" s="403"/>
      <c r="BT668" s="403"/>
      <c r="BU668" s="403"/>
      <c r="BV668" s="403"/>
      <c r="BW668" s="403"/>
      <c r="BX668" s="403"/>
      <c r="BY668" s="403"/>
      <c r="BZ668" s="401">
        <f t="shared" ref="BZ668:CB669" si="302">R668+U668+X668+AA668+AD668+AG668+AJ668+AM668+AP668+AS668+AV668+AY668+BB668+BE668+BH668+BK668+BN668+BQ668+BT668+BW668</f>
        <v>248452415</v>
      </c>
      <c r="CA668" s="401">
        <f t="shared" si="302"/>
        <v>131680000</v>
      </c>
      <c r="CB668" s="401">
        <f t="shared" si="302"/>
        <v>121120000</v>
      </c>
    </row>
    <row r="669" spans="1:80" ht="61.5" customHeight="1" x14ac:dyDescent="0.2">
      <c r="A669" s="205"/>
      <c r="B669" s="708"/>
      <c r="C669" s="883"/>
      <c r="D669" s="891"/>
      <c r="E669" s="894"/>
      <c r="F669" s="894"/>
      <c r="G669" s="898"/>
      <c r="H669" s="57">
        <v>176</v>
      </c>
      <c r="I669" s="729" t="s">
        <v>872</v>
      </c>
      <c r="J669" s="57">
        <v>2</v>
      </c>
      <c r="K669" s="107">
        <v>2</v>
      </c>
      <c r="L669" s="718">
        <v>2</v>
      </c>
      <c r="M669" s="886"/>
      <c r="N669" s="898"/>
      <c r="O669" s="898"/>
      <c r="P669" s="892"/>
      <c r="Q669" s="57" t="s">
        <v>52</v>
      </c>
      <c r="R669" s="401">
        <v>0</v>
      </c>
      <c r="S669" s="401"/>
      <c r="T669" s="401"/>
      <c r="U669" s="401">
        <v>0</v>
      </c>
      <c r="V669" s="401"/>
      <c r="W669" s="401"/>
      <c r="X669" s="401">
        <v>0</v>
      </c>
      <c r="Y669" s="401"/>
      <c r="Z669" s="401"/>
      <c r="AA669" s="401">
        <v>0</v>
      </c>
      <c r="AB669" s="401"/>
      <c r="AC669" s="401"/>
      <c r="AD669" s="401">
        <v>0</v>
      </c>
      <c r="AE669" s="401"/>
      <c r="AF669" s="401"/>
      <c r="AG669" s="401">
        <v>0</v>
      </c>
      <c r="AH669" s="401"/>
      <c r="AI669" s="401"/>
      <c r="AJ669" s="401">
        <v>0</v>
      </c>
      <c r="AK669" s="401"/>
      <c r="AL669" s="401"/>
      <c r="AM669" s="401"/>
      <c r="AN669" s="401"/>
      <c r="AO669" s="401"/>
      <c r="AP669" s="401"/>
      <c r="AQ669" s="401"/>
      <c r="AR669" s="401"/>
      <c r="AS669" s="401"/>
      <c r="AT669" s="401"/>
      <c r="AU669" s="401"/>
      <c r="AV669" s="401">
        <v>0</v>
      </c>
      <c r="AW669" s="401"/>
      <c r="AX669" s="401"/>
      <c r="AY669" s="401">
        <v>0</v>
      </c>
      <c r="AZ669" s="401"/>
      <c r="BA669" s="401"/>
      <c r="BB669" s="401">
        <v>0</v>
      </c>
      <c r="BC669" s="401"/>
      <c r="BD669" s="401"/>
      <c r="BE669" s="401">
        <v>0</v>
      </c>
      <c r="BF669" s="401"/>
      <c r="BG669" s="401"/>
      <c r="BH669" s="401">
        <v>0</v>
      </c>
      <c r="BI669" s="401"/>
      <c r="BJ669" s="401"/>
      <c r="BK669" s="402"/>
      <c r="BL669" s="402"/>
      <c r="BM669" s="402"/>
      <c r="BN669" s="415"/>
      <c r="BO669" s="415"/>
      <c r="BP669" s="415"/>
      <c r="BQ669" s="401">
        <v>0</v>
      </c>
      <c r="BR669" s="403"/>
      <c r="BS669" s="403"/>
      <c r="BT669" s="403"/>
      <c r="BU669" s="403"/>
      <c r="BV669" s="403"/>
      <c r="BW669" s="403"/>
      <c r="BX669" s="403"/>
      <c r="BY669" s="403"/>
      <c r="BZ669" s="401">
        <f t="shared" si="302"/>
        <v>0</v>
      </c>
      <c r="CA669" s="401">
        <f t="shared" si="302"/>
        <v>0</v>
      </c>
      <c r="CB669" s="401">
        <f t="shared" si="302"/>
        <v>0</v>
      </c>
    </row>
    <row r="670" spans="1:80" ht="30" customHeight="1" x14ac:dyDescent="0.2">
      <c r="A670" s="205"/>
      <c r="B670" s="708"/>
      <c r="C670" s="714"/>
      <c r="D670" s="709"/>
      <c r="E670" s="714"/>
      <c r="F670" s="714"/>
      <c r="G670" s="58"/>
      <c r="H670" s="59"/>
      <c r="I670" s="58"/>
      <c r="J670" s="59"/>
      <c r="K670" s="136"/>
      <c r="L670" s="136"/>
      <c r="M670" s="136"/>
      <c r="N670" s="59"/>
      <c r="O670" s="59"/>
      <c r="P670" s="58"/>
      <c r="Q670" s="59"/>
      <c r="R670" s="410">
        <f t="shared" ref="R670:CB670" si="303">SUM(R668:R669)</f>
        <v>0</v>
      </c>
      <c r="S670" s="410">
        <f t="shared" si="303"/>
        <v>0</v>
      </c>
      <c r="T670" s="410">
        <f t="shared" si="303"/>
        <v>0</v>
      </c>
      <c r="U670" s="410">
        <f t="shared" si="303"/>
        <v>0</v>
      </c>
      <c r="V670" s="410">
        <f t="shared" si="303"/>
        <v>0</v>
      </c>
      <c r="W670" s="410">
        <f t="shared" si="303"/>
        <v>0</v>
      </c>
      <c r="X670" s="410">
        <f t="shared" si="303"/>
        <v>0</v>
      </c>
      <c r="Y670" s="410">
        <f t="shared" si="303"/>
        <v>0</v>
      </c>
      <c r="Z670" s="410">
        <f t="shared" si="303"/>
        <v>0</v>
      </c>
      <c r="AA670" s="410">
        <f t="shared" si="303"/>
        <v>0</v>
      </c>
      <c r="AB670" s="410">
        <f t="shared" si="303"/>
        <v>0</v>
      </c>
      <c r="AC670" s="410">
        <f t="shared" si="303"/>
        <v>0</v>
      </c>
      <c r="AD670" s="410">
        <f t="shared" si="303"/>
        <v>0</v>
      </c>
      <c r="AE670" s="410">
        <f t="shared" si="303"/>
        <v>0</v>
      </c>
      <c r="AF670" s="410">
        <f t="shared" si="303"/>
        <v>0</v>
      </c>
      <c r="AG670" s="410">
        <f t="shared" si="303"/>
        <v>0</v>
      </c>
      <c r="AH670" s="410">
        <f t="shared" si="303"/>
        <v>0</v>
      </c>
      <c r="AI670" s="410">
        <f t="shared" si="303"/>
        <v>0</v>
      </c>
      <c r="AJ670" s="410">
        <f t="shared" si="303"/>
        <v>0</v>
      </c>
      <c r="AK670" s="410">
        <f t="shared" si="303"/>
        <v>0</v>
      </c>
      <c r="AL670" s="410">
        <f t="shared" si="303"/>
        <v>0</v>
      </c>
      <c r="AM670" s="410">
        <f t="shared" si="303"/>
        <v>0</v>
      </c>
      <c r="AN670" s="410">
        <f t="shared" si="303"/>
        <v>0</v>
      </c>
      <c r="AO670" s="410">
        <f t="shared" si="303"/>
        <v>0</v>
      </c>
      <c r="AP670" s="410">
        <f t="shared" si="303"/>
        <v>0</v>
      </c>
      <c r="AQ670" s="410">
        <f t="shared" si="303"/>
        <v>0</v>
      </c>
      <c r="AR670" s="410">
        <f t="shared" si="303"/>
        <v>0</v>
      </c>
      <c r="AS670" s="410">
        <f t="shared" si="303"/>
        <v>0</v>
      </c>
      <c r="AT670" s="410">
        <f t="shared" si="303"/>
        <v>0</v>
      </c>
      <c r="AU670" s="410">
        <f t="shared" si="303"/>
        <v>0</v>
      </c>
      <c r="AV670" s="410">
        <f t="shared" si="303"/>
        <v>0</v>
      </c>
      <c r="AW670" s="410">
        <f t="shared" si="303"/>
        <v>0</v>
      </c>
      <c r="AX670" s="410">
        <f t="shared" si="303"/>
        <v>0</v>
      </c>
      <c r="AY670" s="410">
        <f t="shared" si="303"/>
        <v>0</v>
      </c>
      <c r="AZ670" s="410">
        <f t="shared" si="303"/>
        <v>0</v>
      </c>
      <c r="BA670" s="410">
        <f t="shared" si="303"/>
        <v>0</v>
      </c>
      <c r="BB670" s="410">
        <f t="shared" si="303"/>
        <v>0</v>
      </c>
      <c r="BC670" s="410">
        <f t="shared" si="303"/>
        <v>0</v>
      </c>
      <c r="BD670" s="410">
        <f t="shared" si="303"/>
        <v>0</v>
      </c>
      <c r="BE670" s="410">
        <f t="shared" si="303"/>
        <v>0</v>
      </c>
      <c r="BF670" s="410">
        <f t="shared" si="303"/>
        <v>0</v>
      </c>
      <c r="BG670" s="410">
        <f t="shared" si="303"/>
        <v>0</v>
      </c>
      <c r="BH670" s="410">
        <f t="shared" si="303"/>
        <v>0</v>
      </c>
      <c r="BI670" s="410">
        <f t="shared" si="303"/>
        <v>0</v>
      </c>
      <c r="BJ670" s="410">
        <f t="shared" si="303"/>
        <v>0</v>
      </c>
      <c r="BK670" s="410">
        <f t="shared" si="303"/>
        <v>248452415</v>
      </c>
      <c r="BL670" s="410">
        <f t="shared" si="303"/>
        <v>131680000</v>
      </c>
      <c r="BM670" s="410">
        <f t="shared" si="303"/>
        <v>121120000</v>
      </c>
      <c r="BN670" s="410">
        <f t="shared" si="303"/>
        <v>0</v>
      </c>
      <c r="BO670" s="410">
        <f t="shared" si="303"/>
        <v>0</v>
      </c>
      <c r="BP670" s="410">
        <f t="shared" si="303"/>
        <v>0</v>
      </c>
      <c r="BQ670" s="410">
        <f t="shared" si="303"/>
        <v>0</v>
      </c>
      <c r="BR670" s="410">
        <f t="shared" si="303"/>
        <v>0</v>
      </c>
      <c r="BS670" s="410">
        <f t="shared" si="303"/>
        <v>0</v>
      </c>
      <c r="BT670" s="410">
        <f t="shared" si="303"/>
        <v>0</v>
      </c>
      <c r="BU670" s="410">
        <f t="shared" si="303"/>
        <v>0</v>
      </c>
      <c r="BV670" s="410">
        <f t="shared" si="303"/>
        <v>0</v>
      </c>
      <c r="BW670" s="410">
        <f t="shared" si="303"/>
        <v>0</v>
      </c>
      <c r="BX670" s="410">
        <f t="shared" si="303"/>
        <v>0</v>
      </c>
      <c r="BY670" s="410">
        <f t="shared" si="303"/>
        <v>0</v>
      </c>
      <c r="BZ670" s="410">
        <f t="shared" si="303"/>
        <v>248452415</v>
      </c>
      <c r="CA670" s="410">
        <f t="shared" si="303"/>
        <v>131680000</v>
      </c>
      <c r="CB670" s="410">
        <f t="shared" si="303"/>
        <v>121120000</v>
      </c>
    </row>
    <row r="671" spans="1:80" ht="30" customHeight="1" x14ac:dyDescent="0.2">
      <c r="A671" s="42"/>
      <c r="B671" s="292"/>
      <c r="C671" s="63"/>
      <c r="D671" s="62"/>
      <c r="E671" s="63"/>
      <c r="F671" s="63"/>
      <c r="G671" s="62"/>
      <c r="H671" s="63"/>
      <c r="I671" s="62"/>
      <c r="J671" s="63"/>
      <c r="K671" s="147"/>
      <c r="L671" s="147"/>
      <c r="M671" s="147"/>
      <c r="N671" s="63"/>
      <c r="O671" s="63"/>
      <c r="P671" s="62"/>
      <c r="Q671" s="63"/>
      <c r="R671" s="416">
        <f t="shared" ref="R671:CB671" si="304">R670+R665+R660+R654+R650</f>
        <v>0</v>
      </c>
      <c r="S671" s="416">
        <f t="shared" si="304"/>
        <v>0</v>
      </c>
      <c r="T671" s="416">
        <f t="shared" si="304"/>
        <v>0</v>
      </c>
      <c r="U671" s="416">
        <f t="shared" si="304"/>
        <v>0</v>
      </c>
      <c r="V671" s="416">
        <f t="shared" si="304"/>
        <v>0</v>
      </c>
      <c r="W671" s="416">
        <f t="shared" si="304"/>
        <v>0</v>
      </c>
      <c r="X671" s="416">
        <f t="shared" si="304"/>
        <v>0</v>
      </c>
      <c r="Y671" s="416">
        <f t="shared" si="304"/>
        <v>0</v>
      </c>
      <c r="Z671" s="416">
        <f t="shared" si="304"/>
        <v>0</v>
      </c>
      <c r="AA671" s="416">
        <f t="shared" si="304"/>
        <v>0</v>
      </c>
      <c r="AB671" s="416">
        <f t="shared" si="304"/>
        <v>0</v>
      </c>
      <c r="AC671" s="416">
        <f t="shared" si="304"/>
        <v>0</v>
      </c>
      <c r="AD671" s="416">
        <f t="shared" si="304"/>
        <v>0</v>
      </c>
      <c r="AE671" s="416">
        <f t="shared" si="304"/>
        <v>0</v>
      </c>
      <c r="AF671" s="416">
        <f t="shared" si="304"/>
        <v>0</v>
      </c>
      <c r="AG671" s="416">
        <f t="shared" si="304"/>
        <v>0</v>
      </c>
      <c r="AH671" s="416">
        <f t="shared" si="304"/>
        <v>0</v>
      </c>
      <c r="AI671" s="416">
        <f t="shared" si="304"/>
        <v>0</v>
      </c>
      <c r="AJ671" s="416">
        <f t="shared" si="304"/>
        <v>0</v>
      </c>
      <c r="AK671" s="416">
        <f t="shared" si="304"/>
        <v>0</v>
      </c>
      <c r="AL671" s="416">
        <f t="shared" si="304"/>
        <v>0</v>
      </c>
      <c r="AM671" s="416">
        <f t="shared" si="304"/>
        <v>0</v>
      </c>
      <c r="AN671" s="416">
        <f t="shared" si="304"/>
        <v>0</v>
      </c>
      <c r="AO671" s="416">
        <f t="shared" si="304"/>
        <v>0</v>
      </c>
      <c r="AP671" s="416">
        <f t="shared" si="304"/>
        <v>8532619661</v>
      </c>
      <c r="AQ671" s="416">
        <f t="shared" si="304"/>
        <v>7379829057</v>
      </c>
      <c r="AR671" s="416">
        <f t="shared" si="304"/>
        <v>1441976440</v>
      </c>
      <c r="AS671" s="416">
        <f t="shared" si="304"/>
        <v>3791204971</v>
      </c>
      <c r="AT671" s="416">
        <f t="shared" si="304"/>
        <v>2852407513</v>
      </c>
      <c r="AU671" s="416">
        <f t="shared" si="304"/>
        <v>843673505</v>
      </c>
      <c r="AV671" s="416">
        <f t="shared" si="304"/>
        <v>500</v>
      </c>
      <c r="AW671" s="416">
        <f t="shared" si="304"/>
        <v>0</v>
      </c>
      <c r="AX671" s="416">
        <f t="shared" si="304"/>
        <v>0</v>
      </c>
      <c r="AY671" s="416">
        <f t="shared" si="304"/>
        <v>0</v>
      </c>
      <c r="AZ671" s="416">
        <f t="shared" si="304"/>
        <v>0</v>
      </c>
      <c r="BA671" s="416">
        <f t="shared" si="304"/>
        <v>0</v>
      </c>
      <c r="BB671" s="416">
        <f t="shared" si="304"/>
        <v>0</v>
      </c>
      <c r="BC671" s="416">
        <f t="shared" si="304"/>
        <v>0</v>
      </c>
      <c r="BD671" s="416">
        <f t="shared" si="304"/>
        <v>0</v>
      </c>
      <c r="BE671" s="416">
        <f t="shared" si="304"/>
        <v>0</v>
      </c>
      <c r="BF671" s="416">
        <f t="shared" si="304"/>
        <v>0</v>
      </c>
      <c r="BG671" s="416">
        <f t="shared" si="304"/>
        <v>0</v>
      </c>
      <c r="BH671" s="416">
        <f t="shared" si="304"/>
        <v>0</v>
      </c>
      <c r="BI671" s="416">
        <f t="shared" si="304"/>
        <v>0</v>
      </c>
      <c r="BJ671" s="416">
        <f t="shared" si="304"/>
        <v>0</v>
      </c>
      <c r="BK671" s="416">
        <f t="shared" si="304"/>
        <v>881238455</v>
      </c>
      <c r="BL671" s="416">
        <f t="shared" si="304"/>
        <v>436955000</v>
      </c>
      <c r="BM671" s="416">
        <f t="shared" si="304"/>
        <v>352720000</v>
      </c>
      <c r="BN671" s="416">
        <f t="shared" si="304"/>
        <v>0</v>
      </c>
      <c r="BO671" s="416">
        <f t="shared" si="304"/>
        <v>0</v>
      </c>
      <c r="BP671" s="416">
        <f t="shared" si="304"/>
        <v>0</v>
      </c>
      <c r="BQ671" s="416">
        <f t="shared" si="304"/>
        <v>0</v>
      </c>
      <c r="BR671" s="416">
        <f t="shared" si="304"/>
        <v>0</v>
      </c>
      <c r="BS671" s="416">
        <f t="shared" si="304"/>
        <v>0</v>
      </c>
      <c r="BT671" s="416">
        <f t="shared" si="304"/>
        <v>0</v>
      </c>
      <c r="BU671" s="416">
        <f t="shared" si="304"/>
        <v>0</v>
      </c>
      <c r="BV671" s="416">
        <f t="shared" si="304"/>
        <v>0</v>
      </c>
      <c r="BW671" s="416">
        <f t="shared" si="304"/>
        <v>11151014906</v>
      </c>
      <c r="BX671" s="416">
        <f t="shared" si="304"/>
        <v>6514237919</v>
      </c>
      <c r="BY671" s="416">
        <f t="shared" si="304"/>
        <v>6461309019</v>
      </c>
      <c r="BZ671" s="416">
        <f t="shared" si="304"/>
        <v>24356078493</v>
      </c>
      <c r="CA671" s="416">
        <f t="shared" si="304"/>
        <v>17183429489</v>
      </c>
      <c r="CB671" s="416">
        <f t="shared" si="304"/>
        <v>9099678964</v>
      </c>
    </row>
    <row r="672" spans="1:80" ht="30" customHeight="1" x14ac:dyDescent="0.2">
      <c r="A672" s="42"/>
      <c r="B672" s="72"/>
      <c r="C672" s="150"/>
      <c r="D672" s="72"/>
      <c r="E672" s="150"/>
      <c r="F672" s="150"/>
      <c r="G672" s="72"/>
      <c r="H672" s="150"/>
      <c r="I672" s="72"/>
      <c r="J672" s="150"/>
      <c r="K672" s="151"/>
      <c r="L672" s="265"/>
      <c r="M672" s="265"/>
      <c r="N672" s="400"/>
      <c r="O672" s="400"/>
      <c r="P672" s="101"/>
      <c r="Q672" s="150"/>
      <c r="R672" s="405"/>
      <c r="S672" s="405"/>
      <c r="T672" s="405"/>
      <c r="U672" s="405"/>
      <c r="V672" s="405"/>
      <c r="W672" s="405"/>
      <c r="X672" s="405"/>
      <c r="Y672" s="405"/>
      <c r="Z672" s="405"/>
      <c r="AA672" s="405"/>
      <c r="AB672" s="405"/>
      <c r="AC672" s="405"/>
      <c r="AD672" s="405"/>
      <c r="AE672" s="405"/>
      <c r="AF672" s="405"/>
      <c r="AG672" s="405"/>
      <c r="AH672" s="405"/>
      <c r="AI672" s="405"/>
      <c r="AJ672" s="405"/>
      <c r="AK672" s="405"/>
      <c r="AL672" s="405"/>
      <c r="AM672" s="405"/>
      <c r="AN672" s="405"/>
      <c r="AO672" s="405"/>
      <c r="AP672" s="405"/>
      <c r="AQ672" s="405"/>
      <c r="AR672" s="405"/>
      <c r="AS672" s="405"/>
      <c r="AT672" s="405"/>
      <c r="AU672" s="405"/>
      <c r="AV672" s="405"/>
      <c r="AW672" s="405"/>
      <c r="AX672" s="405"/>
      <c r="AY672" s="405"/>
      <c r="AZ672" s="405"/>
      <c r="BA672" s="405"/>
      <c r="BB672" s="405"/>
      <c r="BC672" s="405"/>
      <c r="BD672" s="405"/>
      <c r="BE672" s="405"/>
      <c r="BF672" s="405"/>
      <c r="BG672" s="405"/>
      <c r="BH672" s="405"/>
      <c r="BI672" s="405"/>
      <c r="BJ672" s="405"/>
      <c r="BK672" s="407"/>
      <c r="BL672" s="407"/>
      <c r="BM672" s="407"/>
      <c r="BN672" s="405"/>
      <c r="BO672" s="405"/>
      <c r="BP672" s="405"/>
      <c r="BQ672" s="405"/>
      <c r="BR672" s="405"/>
      <c r="BS672" s="405"/>
      <c r="BT672" s="405"/>
      <c r="BU672" s="405"/>
      <c r="BV672" s="405"/>
      <c r="BW672" s="406"/>
      <c r="BX672" s="406"/>
      <c r="BY672" s="406"/>
      <c r="BZ672" s="401"/>
      <c r="CA672" s="401"/>
      <c r="CB672" s="401"/>
    </row>
    <row r="673" spans="1:80" ht="30" customHeight="1" x14ac:dyDescent="0.2">
      <c r="A673" s="42"/>
      <c r="B673" s="327">
        <v>15</v>
      </c>
      <c r="C673" s="40" t="s">
        <v>873</v>
      </c>
      <c r="D673" s="39"/>
      <c r="E673" s="39"/>
      <c r="F673" s="39"/>
      <c r="G673" s="39"/>
      <c r="H673" s="40"/>
      <c r="I673" s="39"/>
      <c r="J673" s="39"/>
      <c r="K673" s="126"/>
      <c r="L673" s="126"/>
      <c r="M673" s="126"/>
      <c r="N673" s="40"/>
      <c r="O673" s="40"/>
      <c r="P673" s="39"/>
      <c r="Q673" s="39"/>
      <c r="R673" s="412"/>
      <c r="S673" s="412"/>
      <c r="T673" s="412"/>
      <c r="U673" s="412"/>
      <c r="V673" s="412"/>
      <c r="W673" s="412"/>
      <c r="X673" s="412"/>
      <c r="Y673" s="412"/>
      <c r="Z673" s="412"/>
      <c r="AA673" s="412"/>
      <c r="AB673" s="412"/>
      <c r="AC673" s="412"/>
      <c r="AD673" s="412"/>
      <c r="AE673" s="412"/>
      <c r="AF673" s="412"/>
      <c r="AG673" s="412"/>
      <c r="AH673" s="412"/>
      <c r="AI673" s="412"/>
      <c r="AJ673" s="412"/>
      <c r="AK673" s="412"/>
      <c r="AL673" s="412"/>
      <c r="AM673" s="412"/>
      <c r="AN673" s="412"/>
      <c r="AO673" s="412"/>
      <c r="AP673" s="412"/>
      <c r="AQ673" s="412"/>
      <c r="AR673" s="412"/>
      <c r="AS673" s="412"/>
      <c r="AT673" s="412"/>
      <c r="AU673" s="412"/>
      <c r="AV673" s="412"/>
      <c r="AW673" s="412"/>
      <c r="AX673" s="412"/>
      <c r="AY673" s="412"/>
      <c r="AZ673" s="412"/>
      <c r="BA673" s="412"/>
      <c r="BB673" s="412"/>
      <c r="BC673" s="412"/>
      <c r="BD673" s="412"/>
      <c r="BE673" s="412"/>
      <c r="BF673" s="412"/>
      <c r="BG673" s="412"/>
      <c r="BH673" s="412"/>
      <c r="BI673" s="412"/>
      <c r="BJ673" s="412"/>
      <c r="BK673" s="413"/>
      <c r="BL673" s="413"/>
      <c r="BM673" s="413"/>
      <c r="BN673" s="412"/>
      <c r="BO673" s="412"/>
      <c r="BP673" s="412"/>
      <c r="BQ673" s="412"/>
      <c r="BR673" s="412"/>
      <c r="BS673" s="412"/>
      <c r="BT673" s="412"/>
      <c r="BU673" s="412"/>
      <c r="BV673" s="412"/>
      <c r="BW673" s="412"/>
      <c r="BX673" s="412"/>
      <c r="BY673" s="412"/>
      <c r="BZ673" s="509"/>
      <c r="CA673" s="509"/>
      <c r="CB673" s="509"/>
    </row>
    <row r="674" spans="1:80" ht="30" customHeight="1" x14ac:dyDescent="0.2">
      <c r="A674" s="205"/>
      <c r="B674" s="42"/>
      <c r="C674" s="713"/>
      <c r="D674" s="707"/>
      <c r="E674" s="713"/>
      <c r="F674" s="713"/>
      <c r="G674" s="219">
        <v>55</v>
      </c>
      <c r="H674" s="80" t="s">
        <v>874</v>
      </c>
      <c r="I674" s="80"/>
      <c r="J674" s="80"/>
      <c r="K674" s="128"/>
      <c r="L674" s="128"/>
      <c r="M674" s="128"/>
      <c r="N674" s="173"/>
      <c r="O674" s="173"/>
      <c r="P674" s="80"/>
      <c r="Q674" s="80"/>
      <c r="R674" s="267"/>
      <c r="S674" s="267"/>
      <c r="T674" s="267"/>
      <c r="U674" s="267"/>
      <c r="V674" s="267"/>
      <c r="W674" s="267"/>
      <c r="X674" s="267"/>
      <c r="Y674" s="267"/>
      <c r="Z674" s="267"/>
      <c r="AA674" s="267"/>
      <c r="AB674" s="267"/>
      <c r="AC674" s="267"/>
      <c r="AD674" s="267"/>
      <c r="AE674" s="267"/>
      <c r="AF674" s="267"/>
      <c r="AG674" s="267"/>
      <c r="AH674" s="267"/>
      <c r="AI674" s="267"/>
      <c r="AJ674" s="267"/>
      <c r="AK674" s="267"/>
      <c r="AL674" s="267"/>
      <c r="AM674" s="267"/>
      <c r="AN674" s="267"/>
      <c r="AO674" s="267"/>
      <c r="AP674" s="267"/>
      <c r="AQ674" s="267"/>
      <c r="AR674" s="267"/>
      <c r="AS674" s="267"/>
      <c r="AT674" s="267"/>
      <c r="AU674" s="267"/>
      <c r="AV674" s="267"/>
      <c r="AW674" s="267"/>
      <c r="AX674" s="267"/>
      <c r="AY674" s="267"/>
      <c r="AZ674" s="267"/>
      <c r="BA674" s="267"/>
      <c r="BB674" s="267"/>
      <c r="BC674" s="267"/>
      <c r="BD674" s="267"/>
      <c r="BE674" s="267"/>
      <c r="BF674" s="267"/>
      <c r="BG674" s="267"/>
      <c r="BH674" s="267"/>
      <c r="BI674" s="267"/>
      <c r="BJ674" s="267"/>
      <c r="BK674" s="414"/>
      <c r="BL674" s="414"/>
      <c r="BM674" s="414"/>
      <c r="BN674" s="267"/>
      <c r="BO674" s="267"/>
      <c r="BP674" s="267"/>
      <c r="BQ674" s="267"/>
      <c r="BR674" s="267"/>
      <c r="BS674" s="267"/>
      <c r="BT674" s="267"/>
      <c r="BU674" s="267"/>
      <c r="BV674" s="267"/>
      <c r="BW674" s="267"/>
      <c r="BX674" s="267"/>
      <c r="BY674" s="267"/>
      <c r="BZ674" s="508"/>
      <c r="CA674" s="508"/>
      <c r="CB674" s="508"/>
    </row>
    <row r="675" spans="1:80" ht="71.25" customHeight="1" x14ac:dyDescent="0.2">
      <c r="A675" s="205"/>
      <c r="B675" s="708"/>
      <c r="C675" s="714" t="s">
        <v>748</v>
      </c>
      <c r="D675" s="709" t="s">
        <v>875</v>
      </c>
      <c r="E675" s="718">
        <v>2</v>
      </c>
      <c r="F675" s="718">
        <v>2</v>
      </c>
      <c r="G675" s="895"/>
      <c r="H675" s="57">
        <v>177</v>
      </c>
      <c r="I675" s="729" t="s">
        <v>876</v>
      </c>
      <c r="J675" s="57">
        <v>2</v>
      </c>
      <c r="K675" s="107">
        <v>2</v>
      </c>
      <c r="L675" s="107">
        <v>2</v>
      </c>
      <c r="M675" s="884">
        <v>2017003630063</v>
      </c>
      <c r="N675" s="895" t="s">
        <v>714</v>
      </c>
      <c r="O675" s="895" t="s">
        <v>877</v>
      </c>
      <c r="P675" s="890" t="s">
        <v>878</v>
      </c>
      <c r="Q675" s="169" t="s">
        <v>52</v>
      </c>
      <c r="R675" s="401">
        <v>0</v>
      </c>
      <c r="S675" s="401"/>
      <c r="T675" s="401"/>
      <c r="U675" s="401">
        <v>0</v>
      </c>
      <c r="V675" s="401"/>
      <c r="W675" s="401"/>
      <c r="X675" s="401">
        <v>0</v>
      </c>
      <c r="Y675" s="401"/>
      <c r="Z675" s="401"/>
      <c r="AA675" s="401">
        <v>0</v>
      </c>
      <c r="AB675" s="401"/>
      <c r="AC675" s="401"/>
      <c r="AD675" s="401">
        <v>0</v>
      </c>
      <c r="AE675" s="401"/>
      <c r="AF675" s="401"/>
      <c r="AG675" s="401">
        <v>0</v>
      </c>
      <c r="AH675" s="401"/>
      <c r="AI675" s="401"/>
      <c r="AJ675" s="401">
        <v>0</v>
      </c>
      <c r="AK675" s="401"/>
      <c r="AL675" s="401"/>
      <c r="AM675" s="401"/>
      <c r="AN675" s="401"/>
      <c r="AO675" s="401"/>
      <c r="AP675" s="401"/>
      <c r="AQ675" s="401"/>
      <c r="AR675" s="401"/>
      <c r="AS675" s="401">
        <v>0</v>
      </c>
      <c r="AT675" s="401"/>
      <c r="AU675" s="401"/>
      <c r="AV675" s="401">
        <v>0</v>
      </c>
      <c r="AW675" s="401"/>
      <c r="AX675" s="401"/>
      <c r="AY675" s="401"/>
      <c r="AZ675" s="401"/>
      <c r="BA675" s="401"/>
      <c r="BB675" s="401"/>
      <c r="BC675" s="401"/>
      <c r="BD675" s="401"/>
      <c r="BE675" s="401">
        <v>0</v>
      </c>
      <c r="BF675" s="401"/>
      <c r="BG675" s="401"/>
      <c r="BH675" s="401">
        <v>0</v>
      </c>
      <c r="BI675" s="401"/>
      <c r="BJ675" s="401"/>
      <c r="BK675" s="402">
        <v>0</v>
      </c>
      <c r="BL675" s="402"/>
      <c r="BM675" s="402"/>
      <c r="BN675" s="415"/>
      <c r="BO675" s="415"/>
      <c r="BP675" s="415"/>
      <c r="BQ675" s="401">
        <v>0</v>
      </c>
      <c r="BR675" s="403"/>
      <c r="BS675" s="403"/>
      <c r="BT675" s="403"/>
      <c r="BU675" s="403"/>
      <c r="BV675" s="403"/>
      <c r="BW675" s="403">
        <v>0</v>
      </c>
      <c r="BX675" s="403"/>
      <c r="BY675" s="403"/>
      <c r="BZ675" s="401">
        <f t="shared" ref="BZ675:CB677" si="305">R675+U675+X675+AA675+AD675+AG675+AJ675+AM675+AP675+AS675+AV675+AY675+BB675+BE675+BH675+BK675+BN675+BQ675+BT675+BW675</f>
        <v>0</v>
      </c>
      <c r="CA675" s="401">
        <f t="shared" si="305"/>
        <v>0</v>
      </c>
      <c r="CB675" s="401">
        <f t="shared" si="305"/>
        <v>0</v>
      </c>
    </row>
    <row r="676" spans="1:80" ht="78" customHeight="1" x14ac:dyDescent="0.2">
      <c r="A676" s="205"/>
      <c r="B676" s="708"/>
      <c r="C676" s="727" t="s">
        <v>748</v>
      </c>
      <c r="D676" s="729" t="s">
        <v>879</v>
      </c>
      <c r="E676" s="294">
        <v>0</v>
      </c>
      <c r="F676" s="294">
        <v>0.8</v>
      </c>
      <c r="G676" s="883"/>
      <c r="H676" s="57">
        <v>178</v>
      </c>
      <c r="I676" s="729" t="s">
        <v>1021</v>
      </c>
      <c r="J676" s="57">
        <v>0</v>
      </c>
      <c r="K676" s="107">
        <v>3</v>
      </c>
      <c r="L676" s="107">
        <v>3</v>
      </c>
      <c r="M676" s="885"/>
      <c r="N676" s="883"/>
      <c r="O676" s="883"/>
      <c r="P676" s="891"/>
      <c r="Q676" s="169" t="s">
        <v>52</v>
      </c>
      <c r="R676" s="401">
        <v>0</v>
      </c>
      <c r="S676" s="401"/>
      <c r="T676" s="401"/>
      <c r="U676" s="401">
        <v>0</v>
      </c>
      <c r="V676" s="401"/>
      <c r="W676" s="401"/>
      <c r="X676" s="401">
        <v>0</v>
      </c>
      <c r="Y676" s="401"/>
      <c r="Z676" s="401"/>
      <c r="AA676" s="401">
        <v>0</v>
      </c>
      <c r="AB676" s="401"/>
      <c r="AC676" s="401"/>
      <c r="AD676" s="401">
        <v>0</v>
      </c>
      <c r="AE676" s="401"/>
      <c r="AF676" s="401"/>
      <c r="AG676" s="401">
        <v>0</v>
      </c>
      <c r="AH676" s="401"/>
      <c r="AI676" s="401"/>
      <c r="AJ676" s="401">
        <v>0</v>
      </c>
      <c r="AK676" s="401"/>
      <c r="AL676" s="401"/>
      <c r="AM676" s="401"/>
      <c r="AN676" s="401"/>
      <c r="AO676" s="401"/>
      <c r="AP676" s="401"/>
      <c r="AQ676" s="401"/>
      <c r="AR676" s="401"/>
      <c r="AS676" s="401">
        <v>130000000</v>
      </c>
      <c r="AT676" s="402">
        <v>84603760</v>
      </c>
      <c r="AU676" s="402">
        <v>47760000</v>
      </c>
      <c r="AV676" s="401">
        <v>0</v>
      </c>
      <c r="AW676" s="401"/>
      <c r="AX676" s="401"/>
      <c r="AY676" s="401"/>
      <c r="AZ676" s="401"/>
      <c r="BA676" s="401"/>
      <c r="BB676" s="401"/>
      <c r="BC676" s="401"/>
      <c r="BD676" s="401"/>
      <c r="BE676" s="401">
        <v>0</v>
      </c>
      <c r="BF676" s="401"/>
      <c r="BG676" s="401"/>
      <c r="BH676" s="401">
        <v>0</v>
      </c>
      <c r="BI676" s="401"/>
      <c r="BJ676" s="401"/>
      <c r="BK676" s="402">
        <f>6396240+21000000</f>
        <v>27396240</v>
      </c>
      <c r="BL676" s="402">
        <v>27396240</v>
      </c>
      <c r="BM676" s="402">
        <v>26400000</v>
      </c>
      <c r="BN676" s="415"/>
      <c r="BO676" s="415"/>
      <c r="BP676" s="415"/>
      <c r="BQ676" s="401">
        <v>0</v>
      </c>
      <c r="BR676" s="403"/>
      <c r="BS676" s="403"/>
      <c r="BT676" s="403"/>
      <c r="BU676" s="403"/>
      <c r="BV676" s="403"/>
      <c r="BW676" s="403">
        <v>0</v>
      </c>
      <c r="BX676" s="403"/>
      <c r="BY676" s="403"/>
      <c r="BZ676" s="401">
        <f t="shared" si="305"/>
        <v>157396240</v>
      </c>
      <c r="CA676" s="401">
        <f t="shared" si="305"/>
        <v>112000000</v>
      </c>
      <c r="CB676" s="401">
        <f t="shared" si="305"/>
        <v>74160000</v>
      </c>
    </row>
    <row r="677" spans="1:80" ht="50.25" customHeight="1" x14ac:dyDescent="0.2">
      <c r="A677" s="205"/>
      <c r="B677" s="708"/>
      <c r="C677" s="713" t="s">
        <v>748</v>
      </c>
      <c r="D677" s="707" t="s">
        <v>880</v>
      </c>
      <c r="E677" s="550" t="s">
        <v>43</v>
      </c>
      <c r="F677" s="550">
        <v>0.9</v>
      </c>
      <c r="G677" s="883"/>
      <c r="H677" s="713">
        <v>179</v>
      </c>
      <c r="I677" s="707" t="s">
        <v>881</v>
      </c>
      <c r="J677" s="713">
        <v>4</v>
      </c>
      <c r="K677" s="717">
        <v>4</v>
      </c>
      <c r="L677" s="717">
        <v>3</v>
      </c>
      <c r="M677" s="885"/>
      <c r="N677" s="883"/>
      <c r="O677" s="883"/>
      <c r="P677" s="891"/>
      <c r="Q677" s="170" t="s">
        <v>52</v>
      </c>
      <c r="R677" s="440">
        <v>0</v>
      </c>
      <c r="S677" s="440"/>
      <c r="T677" s="440"/>
      <c r="U677" s="440">
        <v>0</v>
      </c>
      <c r="V677" s="440"/>
      <c r="W677" s="440"/>
      <c r="X677" s="440">
        <v>0</v>
      </c>
      <c r="Y677" s="440"/>
      <c r="Z677" s="440"/>
      <c r="AA677" s="440">
        <v>0</v>
      </c>
      <c r="AB677" s="440"/>
      <c r="AC677" s="440"/>
      <c r="AD677" s="440">
        <v>0</v>
      </c>
      <c r="AE677" s="440"/>
      <c r="AF677" s="440"/>
      <c r="AG677" s="440">
        <v>0</v>
      </c>
      <c r="AH677" s="440"/>
      <c r="AI677" s="440"/>
      <c r="AJ677" s="440">
        <v>0</v>
      </c>
      <c r="AK677" s="440"/>
      <c r="AL677" s="440"/>
      <c r="AM677" s="440"/>
      <c r="AN677" s="440"/>
      <c r="AO677" s="440"/>
      <c r="AP677" s="440"/>
      <c r="AQ677" s="440"/>
      <c r="AR677" s="440"/>
      <c r="AS677" s="440">
        <v>0</v>
      </c>
      <c r="AT677" s="440"/>
      <c r="AU677" s="440"/>
      <c r="AV677" s="440">
        <v>0</v>
      </c>
      <c r="AW677" s="440"/>
      <c r="AX677" s="440"/>
      <c r="AY677" s="440"/>
      <c r="AZ677" s="440"/>
      <c r="BA677" s="440"/>
      <c r="BB677" s="440"/>
      <c r="BC677" s="440"/>
      <c r="BD677" s="440"/>
      <c r="BE677" s="440">
        <v>0</v>
      </c>
      <c r="BF677" s="440"/>
      <c r="BG677" s="440"/>
      <c r="BH677" s="440">
        <v>0</v>
      </c>
      <c r="BI677" s="440"/>
      <c r="BJ677" s="440"/>
      <c r="BK677" s="458">
        <v>0</v>
      </c>
      <c r="BL677" s="458"/>
      <c r="BM677" s="458"/>
      <c r="BN677" s="441"/>
      <c r="BO677" s="441"/>
      <c r="BP677" s="441"/>
      <c r="BQ677" s="440">
        <v>0</v>
      </c>
      <c r="BR677" s="468"/>
      <c r="BS677" s="468"/>
      <c r="BT677" s="468"/>
      <c r="BU677" s="468"/>
      <c r="BV677" s="468"/>
      <c r="BW677" s="468">
        <v>0</v>
      </c>
      <c r="BX677" s="468"/>
      <c r="BY677" s="468"/>
      <c r="BZ677" s="440">
        <f t="shared" si="305"/>
        <v>0</v>
      </c>
      <c r="CA677" s="440">
        <f t="shared" si="305"/>
        <v>0</v>
      </c>
      <c r="CB677" s="440">
        <f t="shared" si="305"/>
        <v>0</v>
      </c>
    </row>
    <row r="678" spans="1:80" s="753" customFormat="1" ht="30" customHeight="1" x14ac:dyDescent="0.2">
      <c r="A678" s="603"/>
      <c r="B678" s="71"/>
      <c r="C678" s="150"/>
      <c r="D678" s="72"/>
      <c r="E678" s="150"/>
      <c r="F678" s="150"/>
      <c r="G678" s="58"/>
      <c r="H678" s="59"/>
      <c r="I678" s="58"/>
      <c r="J678" s="59"/>
      <c r="K678" s="136"/>
      <c r="L678" s="136"/>
      <c r="M678" s="136"/>
      <c r="N678" s="59"/>
      <c r="O678" s="59"/>
      <c r="P678" s="58"/>
      <c r="Q678" s="59"/>
      <c r="R678" s="410">
        <f t="shared" ref="R678:BY678" si="306">SUM(R675:R677)</f>
        <v>0</v>
      </c>
      <c r="S678" s="410">
        <f t="shared" si="306"/>
        <v>0</v>
      </c>
      <c r="T678" s="410">
        <f t="shared" si="306"/>
        <v>0</v>
      </c>
      <c r="U678" s="410">
        <f t="shared" si="306"/>
        <v>0</v>
      </c>
      <c r="V678" s="410">
        <f t="shared" si="306"/>
        <v>0</v>
      </c>
      <c r="W678" s="410">
        <f t="shared" si="306"/>
        <v>0</v>
      </c>
      <c r="X678" s="410">
        <f t="shared" si="306"/>
        <v>0</v>
      </c>
      <c r="Y678" s="410">
        <f t="shared" si="306"/>
        <v>0</v>
      </c>
      <c r="Z678" s="410">
        <f t="shared" si="306"/>
        <v>0</v>
      </c>
      <c r="AA678" s="410">
        <f t="shared" si="306"/>
        <v>0</v>
      </c>
      <c r="AB678" s="410">
        <f t="shared" si="306"/>
        <v>0</v>
      </c>
      <c r="AC678" s="410">
        <f t="shared" si="306"/>
        <v>0</v>
      </c>
      <c r="AD678" s="410">
        <f t="shared" si="306"/>
        <v>0</v>
      </c>
      <c r="AE678" s="410">
        <f t="shared" si="306"/>
        <v>0</v>
      </c>
      <c r="AF678" s="410">
        <f t="shared" si="306"/>
        <v>0</v>
      </c>
      <c r="AG678" s="410">
        <f t="shared" si="306"/>
        <v>0</v>
      </c>
      <c r="AH678" s="410">
        <f t="shared" si="306"/>
        <v>0</v>
      </c>
      <c r="AI678" s="410">
        <f t="shared" si="306"/>
        <v>0</v>
      </c>
      <c r="AJ678" s="410">
        <f t="shared" si="306"/>
        <v>0</v>
      </c>
      <c r="AK678" s="410">
        <f t="shared" si="306"/>
        <v>0</v>
      </c>
      <c r="AL678" s="410">
        <f t="shared" si="306"/>
        <v>0</v>
      </c>
      <c r="AM678" s="410">
        <f t="shared" si="306"/>
        <v>0</v>
      </c>
      <c r="AN678" s="410">
        <f t="shared" si="306"/>
        <v>0</v>
      </c>
      <c r="AO678" s="410">
        <f t="shared" si="306"/>
        <v>0</v>
      </c>
      <c r="AP678" s="410">
        <f t="shared" si="306"/>
        <v>0</v>
      </c>
      <c r="AQ678" s="410">
        <f t="shared" si="306"/>
        <v>0</v>
      </c>
      <c r="AR678" s="410">
        <f t="shared" si="306"/>
        <v>0</v>
      </c>
      <c r="AS678" s="410">
        <f t="shared" si="306"/>
        <v>130000000</v>
      </c>
      <c r="AT678" s="410">
        <f t="shared" si="306"/>
        <v>84603760</v>
      </c>
      <c r="AU678" s="410">
        <f t="shared" si="306"/>
        <v>47760000</v>
      </c>
      <c r="AV678" s="410">
        <f t="shared" si="306"/>
        <v>0</v>
      </c>
      <c r="AW678" s="410">
        <f t="shared" si="306"/>
        <v>0</v>
      </c>
      <c r="AX678" s="410">
        <f t="shared" si="306"/>
        <v>0</v>
      </c>
      <c r="AY678" s="410">
        <f t="shared" si="306"/>
        <v>0</v>
      </c>
      <c r="AZ678" s="410">
        <f t="shared" si="306"/>
        <v>0</v>
      </c>
      <c r="BA678" s="410">
        <f t="shared" si="306"/>
        <v>0</v>
      </c>
      <c r="BB678" s="410">
        <f t="shared" si="306"/>
        <v>0</v>
      </c>
      <c r="BC678" s="410">
        <f t="shared" si="306"/>
        <v>0</v>
      </c>
      <c r="BD678" s="410">
        <f t="shared" si="306"/>
        <v>0</v>
      </c>
      <c r="BE678" s="410">
        <f t="shared" si="306"/>
        <v>0</v>
      </c>
      <c r="BF678" s="410">
        <f t="shared" si="306"/>
        <v>0</v>
      </c>
      <c r="BG678" s="410">
        <f t="shared" si="306"/>
        <v>0</v>
      </c>
      <c r="BH678" s="410">
        <f t="shared" si="306"/>
        <v>0</v>
      </c>
      <c r="BI678" s="410">
        <f t="shared" si="306"/>
        <v>0</v>
      </c>
      <c r="BJ678" s="410">
        <f t="shared" si="306"/>
        <v>0</v>
      </c>
      <c r="BK678" s="410">
        <f t="shared" si="306"/>
        <v>27396240</v>
      </c>
      <c r="BL678" s="410">
        <f t="shared" si="306"/>
        <v>27396240</v>
      </c>
      <c r="BM678" s="410">
        <f t="shared" si="306"/>
        <v>26400000</v>
      </c>
      <c r="BN678" s="410">
        <f t="shared" si="306"/>
        <v>0</v>
      </c>
      <c r="BO678" s="410">
        <f t="shared" si="306"/>
        <v>0</v>
      </c>
      <c r="BP678" s="410">
        <f t="shared" si="306"/>
        <v>0</v>
      </c>
      <c r="BQ678" s="410">
        <f t="shared" si="306"/>
        <v>0</v>
      </c>
      <c r="BR678" s="410">
        <f t="shared" si="306"/>
        <v>0</v>
      </c>
      <c r="BS678" s="410">
        <f t="shared" si="306"/>
        <v>0</v>
      </c>
      <c r="BT678" s="410">
        <f t="shared" si="306"/>
        <v>0</v>
      </c>
      <c r="BU678" s="410">
        <f t="shared" si="306"/>
        <v>0</v>
      </c>
      <c r="BV678" s="410">
        <f t="shared" si="306"/>
        <v>0</v>
      </c>
      <c r="BW678" s="410">
        <f t="shared" si="306"/>
        <v>0</v>
      </c>
      <c r="BX678" s="410">
        <f t="shared" si="306"/>
        <v>0</v>
      </c>
      <c r="BY678" s="410">
        <f t="shared" si="306"/>
        <v>0</v>
      </c>
      <c r="BZ678" s="410">
        <f t="shared" ref="BZ678:CB678" si="307">SUM(BZ675:BZ677)</f>
        <v>157396240</v>
      </c>
      <c r="CA678" s="410">
        <f t="shared" si="307"/>
        <v>112000000</v>
      </c>
      <c r="CB678" s="410">
        <f t="shared" si="307"/>
        <v>74160000</v>
      </c>
    </row>
    <row r="679" spans="1:80" s="753" customFormat="1" ht="30" customHeight="1" x14ac:dyDescent="0.2">
      <c r="A679" s="603"/>
      <c r="B679" s="780"/>
      <c r="C679" s="86"/>
      <c r="D679" s="85"/>
      <c r="E679" s="86"/>
      <c r="F679" s="86"/>
      <c r="G679" s="95"/>
      <c r="H679" s="63"/>
      <c r="I679" s="62"/>
      <c r="J679" s="63"/>
      <c r="K679" s="147"/>
      <c r="L679" s="147"/>
      <c r="M679" s="147"/>
      <c r="N679" s="63"/>
      <c r="O679" s="63"/>
      <c r="P679" s="62"/>
      <c r="Q679" s="63"/>
      <c r="R679" s="416">
        <f t="shared" ref="R679:CB679" si="308">R678</f>
        <v>0</v>
      </c>
      <c r="S679" s="416">
        <f t="shared" si="308"/>
        <v>0</v>
      </c>
      <c r="T679" s="416">
        <f t="shared" si="308"/>
        <v>0</v>
      </c>
      <c r="U679" s="416">
        <f t="shared" si="308"/>
        <v>0</v>
      </c>
      <c r="V679" s="416">
        <f t="shared" si="308"/>
        <v>0</v>
      </c>
      <c r="W679" s="416">
        <f t="shared" si="308"/>
        <v>0</v>
      </c>
      <c r="X679" s="416">
        <f t="shared" si="308"/>
        <v>0</v>
      </c>
      <c r="Y679" s="416">
        <f t="shared" si="308"/>
        <v>0</v>
      </c>
      <c r="Z679" s="416">
        <f t="shared" si="308"/>
        <v>0</v>
      </c>
      <c r="AA679" s="416">
        <f t="shared" si="308"/>
        <v>0</v>
      </c>
      <c r="AB679" s="416">
        <f t="shared" si="308"/>
        <v>0</v>
      </c>
      <c r="AC679" s="416">
        <f t="shared" si="308"/>
        <v>0</v>
      </c>
      <c r="AD679" s="416">
        <f t="shared" si="308"/>
        <v>0</v>
      </c>
      <c r="AE679" s="416">
        <f t="shared" si="308"/>
        <v>0</v>
      </c>
      <c r="AF679" s="416">
        <f t="shared" si="308"/>
        <v>0</v>
      </c>
      <c r="AG679" s="416">
        <f t="shared" si="308"/>
        <v>0</v>
      </c>
      <c r="AH679" s="416">
        <f t="shared" si="308"/>
        <v>0</v>
      </c>
      <c r="AI679" s="416">
        <f t="shared" si="308"/>
        <v>0</v>
      </c>
      <c r="AJ679" s="416">
        <f t="shared" si="308"/>
        <v>0</v>
      </c>
      <c r="AK679" s="416">
        <f t="shared" si="308"/>
        <v>0</v>
      </c>
      <c r="AL679" s="416">
        <f t="shared" si="308"/>
        <v>0</v>
      </c>
      <c r="AM679" s="416">
        <f t="shared" si="308"/>
        <v>0</v>
      </c>
      <c r="AN679" s="416">
        <f t="shared" si="308"/>
        <v>0</v>
      </c>
      <c r="AO679" s="416">
        <f t="shared" si="308"/>
        <v>0</v>
      </c>
      <c r="AP679" s="416">
        <f t="shared" si="308"/>
        <v>0</v>
      </c>
      <c r="AQ679" s="416">
        <f t="shared" si="308"/>
        <v>0</v>
      </c>
      <c r="AR679" s="416">
        <f t="shared" si="308"/>
        <v>0</v>
      </c>
      <c r="AS679" s="416">
        <f t="shared" si="308"/>
        <v>130000000</v>
      </c>
      <c r="AT679" s="416">
        <f t="shared" si="308"/>
        <v>84603760</v>
      </c>
      <c r="AU679" s="416">
        <f t="shared" si="308"/>
        <v>47760000</v>
      </c>
      <c r="AV679" s="416">
        <f t="shared" si="308"/>
        <v>0</v>
      </c>
      <c r="AW679" s="416">
        <f t="shared" si="308"/>
        <v>0</v>
      </c>
      <c r="AX679" s="416">
        <f t="shared" si="308"/>
        <v>0</v>
      </c>
      <c r="AY679" s="416">
        <f t="shared" si="308"/>
        <v>0</v>
      </c>
      <c r="AZ679" s="416">
        <f t="shared" si="308"/>
        <v>0</v>
      </c>
      <c r="BA679" s="416">
        <f t="shared" si="308"/>
        <v>0</v>
      </c>
      <c r="BB679" s="416">
        <f t="shared" si="308"/>
        <v>0</v>
      </c>
      <c r="BC679" s="416">
        <f t="shared" si="308"/>
        <v>0</v>
      </c>
      <c r="BD679" s="416">
        <f t="shared" si="308"/>
        <v>0</v>
      </c>
      <c r="BE679" s="416">
        <f t="shared" si="308"/>
        <v>0</v>
      </c>
      <c r="BF679" s="416">
        <f t="shared" si="308"/>
        <v>0</v>
      </c>
      <c r="BG679" s="416">
        <f t="shared" si="308"/>
        <v>0</v>
      </c>
      <c r="BH679" s="416">
        <f t="shared" si="308"/>
        <v>0</v>
      </c>
      <c r="BI679" s="416">
        <f t="shared" si="308"/>
        <v>0</v>
      </c>
      <c r="BJ679" s="416">
        <f t="shared" si="308"/>
        <v>0</v>
      </c>
      <c r="BK679" s="416">
        <f t="shared" si="308"/>
        <v>27396240</v>
      </c>
      <c r="BL679" s="416">
        <f t="shared" si="308"/>
        <v>27396240</v>
      </c>
      <c r="BM679" s="416">
        <f t="shared" si="308"/>
        <v>26400000</v>
      </c>
      <c r="BN679" s="416">
        <f t="shared" si="308"/>
        <v>0</v>
      </c>
      <c r="BO679" s="416">
        <f t="shared" si="308"/>
        <v>0</v>
      </c>
      <c r="BP679" s="416">
        <f t="shared" si="308"/>
        <v>0</v>
      </c>
      <c r="BQ679" s="416">
        <f t="shared" si="308"/>
        <v>0</v>
      </c>
      <c r="BR679" s="416">
        <f t="shared" si="308"/>
        <v>0</v>
      </c>
      <c r="BS679" s="416">
        <f t="shared" si="308"/>
        <v>0</v>
      </c>
      <c r="BT679" s="416">
        <f t="shared" si="308"/>
        <v>0</v>
      </c>
      <c r="BU679" s="416">
        <f t="shared" si="308"/>
        <v>0</v>
      </c>
      <c r="BV679" s="416">
        <f t="shared" si="308"/>
        <v>0</v>
      </c>
      <c r="BW679" s="416">
        <f t="shared" si="308"/>
        <v>0</v>
      </c>
      <c r="BX679" s="416">
        <f t="shared" si="308"/>
        <v>0</v>
      </c>
      <c r="BY679" s="416">
        <f t="shared" si="308"/>
        <v>0</v>
      </c>
      <c r="BZ679" s="416">
        <f t="shared" si="308"/>
        <v>157396240</v>
      </c>
      <c r="CA679" s="416">
        <f t="shared" si="308"/>
        <v>112000000</v>
      </c>
      <c r="CB679" s="416">
        <f t="shared" si="308"/>
        <v>74160000</v>
      </c>
    </row>
    <row r="680" spans="1:80" s="753" customFormat="1" ht="30" customHeight="1" x14ac:dyDescent="0.2">
      <c r="A680" s="65"/>
      <c r="B680" s="776"/>
      <c r="C680" s="778"/>
      <c r="D680" s="777"/>
      <c r="E680" s="778"/>
      <c r="F680" s="778"/>
      <c r="G680" s="148"/>
      <c r="H680" s="66"/>
      <c r="I680" s="65"/>
      <c r="J680" s="66"/>
      <c r="K680" s="149"/>
      <c r="L680" s="149"/>
      <c r="M680" s="149"/>
      <c r="N680" s="66"/>
      <c r="O680" s="66"/>
      <c r="P680" s="65"/>
      <c r="Q680" s="66"/>
      <c r="R680" s="422">
        <f t="shared" ref="R680:CB680" si="309">R679+R671+R643+R629+R561</f>
        <v>0</v>
      </c>
      <c r="S680" s="422">
        <f t="shared" si="309"/>
        <v>0</v>
      </c>
      <c r="T680" s="422">
        <f t="shared" si="309"/>
        <v>0</v>
      </c>
      <c r="U680" s="422">
        <f t="shared" si="309"/>
        <v>0</v>
      </c>
      <c r="V680" s="422">
        <f t="shared" si="309"/>
        <v>0</v>
      </c>
      <c r="W680" s="422">
        <f t="shared" si="309"/>
        <v>0</v>
      </c>
      <c r="X680" s="422">
        <f t="shared" si="309"/>
        <v>0</v>
      </c>
      <c r="Y680" s="422">
        <f t="shared" si="309"/>
        <v>0</v>
      </c>
      <c r="Z680" s="422">
        <f t="shared" si="309"/>
        <v>0</v>
      </c>
      <c r="AA680" s="422">
        <f t="shared" si="309"/>
        <v>0</v>
      </c>
      <c r="AB680" s="422">
        <f t="shared" si="309"/>
        <v>0</v>
      </c>
      <c r="AC680" s="422">
        <f t="shared" si="309"/>
        <v>0</v>
      </c>
      <c r="AD680" s="422">
        <f t="shared" si="309"/>
        <v>0</v>
      </c>
      <c r="AE680" s="422">
        <f t="shared" si="309"/>
        <v>0</v>
      </c>
      <c r="AF680" s="422">
        <f t="shared" si="309"/>
        <v>0</v>
      </c>
      <c r="AG680" s="422">
        <f t="shared" si="309"/>
        <v>0</v>
      </c>
      <c r="AH680" s="422">
        <f t="shared" si="309"/>
        <v>0</v>
      </c>
      <c r="AI680" s="422">
        <f t="shared" si="309"/>
        <v>0</v>
      </c>
      <c r="AJ680" s="422">
        <f t="shared" si="309"/>
        <v>0</v>
      </c>
      <c r="AK680" s="422">
        <f t="shared" si="309"/>
        <v>0</v>
      </c>
      <c r="AL680" s="422">
        <f t="shared" si="309"/>
        <v>0</v>
      </c>
      <c r="AM680" s="422">
        <f t="shared" si="309"/>
        <v>4131759812</v>
      </c>
      <c r="AN680" s="422">
        <f t="shared" si="309"/>
        <v>3409129965</v>
      </c>
      <c r="AO680" s="422">
        <f t="shared" si="309"/>
        <v>2188260364</v>
      </c>
      <c r="AP680" s="422">
        <f t="shared" si="309"/>
        <v>8532619661</v>
      </c>
      <c r="AQ680" s="422">
        <f t="shared" si="309"/>
        <v>7379829057</v>
      </c>
      <c r="AR680" s="422">
        <f t="shared" si="309"/>
        <v>1441976440</v>
      </c>
      <c r="AS680" s="422">
        <f t="shared" si="309"/>
        <v>22644190885</v>
      </c>
      <c r="AT680" s="422">
        <f t="shared" si="309"/>
        <v>5585154332</v>
      </c>
      <c r="AU680" s="422">
        <f t="shared" si="309"/>
        <v>2046353256</v>
      </c>
      <c r="AV680" s="422">
        <f t="shared" si="309"/>
        <v>4351775573</v>
      </c>
      <c r="AW680" s="422">
        <f t="shared" si="309"/>
        <v>1996327195</v>
      </c>
      <c r="AX680" s="422">
        <f t="shared" si="309"/>
        <v>1618165753</v>
      </c>
      <c r="AY680" s="422">
        <f t="shared" si="309"/>
        <v>0</v>
      </c>
      <c r="AZ680" s="422">
        <f t="shared" si="309"/>
        <v>0</v>
      </c>
      <c r="BA680" s="422">
        <f t="shared" si="309"/>
        <v>0</v>
      </c>
      <c r="BB680" s="422">
        <f t="shared" si="309"/>
        <v>0</v>
      </c>
      <c r="BC680" s="422">
        <f t="shared" si="309"/>
        <v>0</v>
      </c>
      <c r="BD680" s="422">
        <f t="shared" si="309"/>
        <v>0</v>
      </c>
      <c r="BE680" s="422">
        <f t="shared" si="309"/>
        <v>0</v>
      </c>
      <c r="BF680" s="422">
        <f t="shared" si="309"/>
        <v>0</v>
      </c>
      <c r="BG680" s="422">
        <f t="shared" si="309"/>
        <v>0</v>
      </c>
      <c r="BH680" s="422">
        <f t="shared" si="309"/>
        <v>0</v>
      </c>
      <c r="BI680" s="422">
        <f t="shared" si="309"/>
        <v>0</v>
      </c>
      <c r="BJ680" s="422">
        <f t="shared" si="309"/>
        <v>0</v>
      </c>
      <c r="BK680" s="422">
        <f t="shared" si="309"/>
        <v>968634695</v>
      </c>
      <c r="BL680" s="422">
        <f t="shared" si="309"/>
        <v>515831240</v>
      </c>
      <c r="BM680" s="422">
        <f t="shared" si="309"/>
        <v>410800000</v>
      </c>
      <c r="BN680" s="422">
        <f t="shared" si="309"/>
        <v>0</v>
      </c>
      <c r="BO680" s="422">
        <f t="shared" si="309"/>
        <v>0</v>
      </c>
      <c r="BP680" s="422">
        <f t="shared" si="309"/>
        <v>0</v>
      </c>
      <c r="BQ680" s="422">
        <f t="shared" si="309"/>
        <v>0</v>
      </c>
      <c r="BR680" s="422">
        <f t="shared" si="309"/>
        <v>0</v>
      </c>
      <c r="BS680" s="422">
        <f t="shared" si="309"/>
        <v>0</v>
      </c>
      <c r="BT680" s="422">
        <f t="shared" si="309"/>
        <v>0</v>
      </c>
      <c r="BU680" s="422">
        <f t="shared" si="309"/>
        <v>0</v>
      </c>
      <c r="BV680" s="422">
        <f t="shared" si="309"/>
        <v>0</v>
      </c>
      <c r="BW680" s="422">
        <f t="shared" si="309"/>
        <v>12607653295</v>
      </c>
      <c r="BX680" s="422">
        <f t="shared" si="309"/>
        <v>7018561791</v>
      </c>
      <c r="BY680" s="422">
        <f t="shared" si="309"/>
        <v>6831979076</v>
      </c>
      <c r="BZ680" s="422">
        <f t="shared" si="309"/>
        <v>53236633921</v>
      </c>
      <c r="CA680" s="422">
        <f t="shared" si="309"/>
        <v>25904833580</v>
      </c>
      <c r="CB680" s="422">
        <f t="shared" si="309"/>
        <v>14537534889</v>
      </c>
    </row>
    <row r="681" spans="1:80" s="753" customFormat="1" ht="30" customHeight="1" x14ac:dyDescent="0.2">
      <c r="A681" s="789"/>
      <c r="B681" s="781"/>
      <c r="C681" s="782"/>
      <c r="D681" s="783"/>
      <c r="E681" s="782"/>
      <c r="F681" s="782"/>
      <c r="G681" s="557"/>
      <c r="H681" s="556"/>
      <c r="I681" s="555"/>
      <c r="J681" s="556"/>
      <c r="K681" s="558"/>
      <c r="L681" s="558"/>
      <c r="M681" s="558"/>
      <c r="N681" s="556"/>
      <c r="O681" s="556"/>
      <c r="P681" s="555"/>
      <c r="Q681" s="556"/>
      <c r="R681" s="559">
        <f t="shared" ref="R681:CB681" si="310">R680</f>
        <v>0</v>
      </c>
      <c r="S681" s="559">
        <f t="shared" si="310"/>
        <v>0</v>
      </c>
      <c r="T681" s="559">
        <f t="shared" si="310"/>
        <v>0</v>
      </c>
      <c r="U681" s="559">
        <f t="shared" si="310"/>
        <v>0</v>
      </c>
      <c r="V681" s="559">
        <f t="shared" si="310"/>
        <v>0</v>
      </c>
      <c r="W681" s="559">
        <f t="shared" si="310"/>
        <v>0</v>
      </c>
      <c r="X681" s="559">
        <f t="shared" si="310"/>
        <v>0</v>
      </c>
      <c r="Y681" s="559">
        <f t="shared" si="310"/>
        <v>0</v>
      </c>
      <c r="Z681" s="559">
        <f t="shared" si="310"/>
        <v>0</v>
      </c>
      <c r="AA681" s="559">
        <f t="shared" si="310"/>
        <v>0</v>
      </c>
      <c r="AB681" s="559">
        <f t="shared" si="310"/>
        <v>0</v>
      </c>
      <c r="AC681" s="559">
        <f t="shared" si="310"/>
        <v>0</v>
      </c>
      <c r="AD681" s="559">
        <f t="shared" si="310"/>
        <v>0</v>
      </c>
      <c r="AE681" s="559">
        <f t="shared" si="310"/>
        <v>0</v>
      </c>
      <c r="AF681" s="559">
        <f t="shared" si="310"/>
        <v>0</v>
      </c>
      <c r="AG681" s="559">
        <f t="shared" si="310"/>
        <v>0</v>
      </c>
      <c r="AH681" s="559">
        <f t="shared" si="310"/>
        <v>0</v>
      </c>
      <c r="AI681" s="559">
        <f t="shared" si="310"/>
        <v>0</v>
      </c>
      <c r="AJ681" s="559">
        <f t="shared" si="310"/>
        <v>0</v>
      </c>
      <c r="AK681" s="559">
        <f t="shared" si="310"/>
        <v>0</v>
      </c>
      <c r="AL681" s="559">
        <f t="shared" si="310"/>
        <v>0</v>
      </c>
      <c r="AM681" s="559">
        <f t="shared" si="310"/>
        <v>4131759812</v>
      </c>
      <c r="AN681" s="559">
        <f t="shared" si="310"/>
        <v>3409129965</v>
      </c>
      <c r="AO681" s="559">
        <f t="shared" si="310"/>
        <v>2188260364</v>
      </c>
      <c r="AP681" s="559">
        <f t="shared" si="310"/>
        <v>8532619661</v>
      </c>
      <c r="AQ681" s="559">
        <f t="shared" si="310"/>
        <v>7379829057</v>
      </c>
      <c r="AR681" s="559">
        <f t="shared" si="310"/>
        <v>1441976440</v>
      </c>
      <c r="AS681" s="559">
        <f t="shared" si="310"/>
        <v>22644190885</v>
      </c>
      <c r="AT681" s="559">
        <f t="shared" si="310"/>
        <v>5585154332</v>
      </c>
      <c r="AU681" s="559">
        <f t="shared" si="310"/>
        <v>2046353256</v>
      </c>
      <c r="AV681" s="559">
        <f t="shared" si="310"/>
        <v>4351775573</v>
      </c>
      <c r="AW681" s="559">
        <f t="shared" si="310"/>
        <v>1996327195</v>
      </c>
      <c r="AX681" s="559">
        <f t="shared" si="310"/>
        <v>1618165753</v>
      </c>
      <c r="AY681" s="559">
        <f t="shared" si="310"/>
        <v>0</v>
      </c>
      <c r="AZ681" s="559">
        <f t="shared" si="310"/>
        <v>0</v>
      </c>
      <c r="BA681" s="559">
        <f t="shared" si="310"/>
        <v>0</v>
      </c>
      <c r="BB681" s="559">
        <f t="shared" si="310"/>
        <v>0</v>
      </c>
      <c r="BC681" s="559">
        <f t="shared" si="310"/>
        <v>0</v>
      </c>
      <c r="BD681" s="559">
        <f t="shared" si="310"/>
        <v>0</v>
      </c>
      <c r="BE681" s="559">
        <f t="shared" si="310"/>
        <v>0</v>
      </c>
      <c r="BF681" s="559">
        <f t="shared" si="310"/>
        <v>0</v>
      </c>
      <c r="BG681" s="559">
        <f t="shared" si="310"/>
        <v>0</v>
      </c>
      <c r="BH681" s="559">
        <f t="shared" si="310"/>
        <v>0</v>
      </c>
      <c r="BI681" s="559">
        <f t="shared" si="310"/>
        <v>0</v>
      </c>
      <c r="BJ681" s="559">
        <f t="shared" si="310"/>
        <v>0</v>
      </c>
      <c r="BK681" s="559">
        <f t="shared" si="310"/>
        <v>968634695</v>
      </c>
      <c r="BL681" s="559">
        <f t="shared" si="310"/>
        <v>515831240</v>
      </c>
      <c r="BM681" s="559">
        <f t="shared" si="310"/>
        <v>410800000</v>
      </c>
      <c r="BN681" s="559">
        <f t="shared" si="310"/>
        <v>0</v>
      </c>
      <c r="BO681" s="559">
        <f t="shared" si="310"/>
        <v>0</v>
      </c>
      <c r="BP681" s="559">
        <f t="shared" si="310"/>
        <v>0</v>
      </c>
      <c r="BQ681" s="559">
        <f t="shared" si="310"/>
        <v>0</v>
      </c>
      <c r="BR681" s="559">
        <f t="shared" si="310"/>
        <v>0</v>
      </c>
      <c r="BS681" s="559">
        <f t="shared" si="310"/>
        <v>0</v>
      </c>
      <c r="BT681" s="559">
        <f t="shared" si="310"/>
        <v>0</v>
      </c>
      <c r="BU681" s="559">
        <f t="shared" si="310"/>
        <v>0</v>
      </c>
      <c r="BV681" s="559">
        <f t="shared" si="310"/>
        <v>0</v>
      </c>
      <c r="BW681" s="559">
        <f t="shared" si="310"/>
        <v>12607653295</v>
      </c>
      <c r="BX681" s="559">
        <f t="shared" si="310"/>
        <v>7018561791</v>
      </c>
      <c r="BY681" s="559">
        <f t="shared" si="310"/>
        <v>6831979076</v>
      </c>
      <c r="BZ681" s="559">
        <f t="shared" si="310"/>
        <v>53236633921</v>
      </c>
      <c r="CA681" s="559">
        <f t="shared" si="310"/>
        <v>25904833580</v>
      </c>
      <c r="CB681" s="559">
        <f t="shared" si="310"/>
        <v>14537534889</v>
      </c>
    </row>
    <row r="682" spans="1:80" s="13" customFormat="1" ht="30" customHeight="1" x14ac:dyDescent="0.2">
      <c r="A682" s="901" t="s">
        <v>882</v>
      </c>
      <c r="B682" s="902"/>
      <c r="C682" s="902"/>
      <c r="D682" s="338"/>
      <c r="E682" s="338"/>
      <c r="F682" s="338"/>
      <c r="G682" s="338"/>
      <c r="H682" s="338"/>
      <c r="I682" s="338"/>
      <c r="J682" s="338"/>
      <c r="K682" s="339"/>
      <c r="L682" s="339"/>
      <c r="M682" s="339"/>
      <c r="N682" s="338"/>
      <c r="O682" s="338"/>
      <c r="P682" s="340"/>
      <c r="Q682" s="341"/>
      <c r="R682" s="510">
        <f t="shared" ref="R682:CB682" si="311">+R681+R551+R541+R475+R369+R352+R278+R236+R204+R125+R80+R66+R23</f>
        <v>2963763815</v>
      </c>
      <c r="S682" s="510">
        <f t="shared" si="311"/>
        <v>1136831860</v>
      </c>
      <c r="T682" s="510">
        <f t="shared" si="311"/>
        <v>539928289.38</v>
      </c>
      <c r="U682" s="510">
        <f t="shared" si="311"/>
        <v>3885430678</v>
      </c>
      <c r="V682" s="510">
        <f t="shared" si="311"/>
        <v>1099893892</v>
      </c>
      <c r="W682" s="510">
        <f t="shared" si="311"/>
        <v>1099893892</v>
      </c>
      <c r="X682" s="510">
        <f t="shared" si="311"/>
        <v>10961840365</v>
      </c>
      <c r="Y682" s="510">
        <f t="shared" si="311"/>
        <v>6294669575.9099998</v>
      </c>
      <c r="Z682" s="510">
        <f t="shared" si="311"/>
        <v>3905637008.5100002</v>
      </c>
      <c r="AA682" s="510">
        <f t="shared" si="311"/>
        <v>7014956012.3800001</v>
      </c>
      <c r="AB682" s="510">
        <f t="shared" si="311"/>
        <v>1459102717</v>
      </c>
      <c r="AC682" s="510">
        <f t="shared" si="311"/>
        <v>1021140213</v>
      </c>
      <c r="AD682" s="510">
        <f t="shared" si="311"/>
        <v>293558736</v>
      </c>
      <c r="AE682" s="510">
        <f t="shared" si="311"/>
        <v>41390000</v>
      </c>
      <c r="AF682" s="510">
        <f t="shared" si="311"/>
        <v>41273000</v>
      </c>
      <c r="AG682" s="510">
        <f t="shared" si="311"/>
        <v>893940463</v>
      </c>
      <c r="AH682" s="510">
        <f t="shared" si="311"/>
        <v>574338763</v>
      </c>
      <c r="AI682" s="510">
        <f t="shared" si="311"/>
        <v>492064457</v>
      </c>
      <c r="AJ682" s="510">
        <f t="shared" si="311"/>
        <v>3571563200</v>
      </c>
      <c r="AK682" s="510">
        <f t="shared" si="311"/>
        <v>3376355631</v>
      </c>
      <c r="AL682" s="510">
        <f t="shared" si="311"/>
        <v>1970793067</v>
      </c>
      <c r="AM682" s="510">
        <f t="shared" si="311"/>
        <v>4131759812</v>
      </c>
      <c r="AN682" s="510">
        <f t="shared" si="311"/>
        <v>3409129965</v>
      </c>
      <c r="AO682" s="510">
        <f t="shared" si="311"/>
        <v>2188260364</v>
      </c>
      <c r="AP682" s="510">
        <f t="shared" si="311"/>
        <v>8532619661</v>
      </c>
      <c r="AQ682" s="510">
        <f t="shared" si="311"/>
        <v>7379829057</v>
      </c>
      <c r="AR682" s="510">
        <f t="shared" si="311"/>
        <v>1441976440</v>
      </c>
      <c r="AS682" s="510">
        <f t="shared" si="311"/>
        <v>22644190885</v>
      </c>
      <c r="AT682" s="510">
        <f t="shared" si="311"/>
        <v>5585154332</v>
      </c>
      <c r="AU682" s="510">
        <f t="shared" si="311"/>
        <v>2046353256</v>
      </c>
      <c r="AV682" s="510">
        <f t="shared" si="311"/>
        <v>4351775573</v>
      </c>
      <c r="AW682" s="510">
        <f t="shared" si="311"/>
        <v>1996327195</v>
      </c>
      <c r="AX682" s="510">
        <f t="shared" si="311"/>
        <v>1618165753</v>
      </c>
      <c r="AY682" s="510">
        <f t="shared" si="311"/>
        <v>146517165276</v>
      </c>
      <c r="AZ682" s="510">
        <f t="shared" si="311"/>
        <v>68478582881.239998</v>
      </c>
      <c r="BA682" s="510">
        <f t="shared" si="311"/>
        <v>67596641915.239998</v>
      </c>
      <c r="BB682" s="510">
        <f t="shared" si="311"/>
        <v>26281000000</v>
      </c>
      <c r="BC682" s="510">
        <f t="shared" si="311"/>
        <v>14854729332</v>
      </c>
      <c r="BD682" s="510">
        <f t="shared" si="311"/>
        <v>14854729332</v>
      </c>
      <c r="BE682" s="510">
        <f t="shared" si="311"/>
        <v>9535927847</v>
      </c>
      <c r="BF682" s="510">
        <f t="shared" si="311"/>
        <v>8176025000</v>
      </c>
      <c r="BG682" s="510">
        <f t="shared" si="311"/>
        <v>2817827462</v>
      </c>
      <c r="BH682" s="510">
        <f t="shared" si="311"/>
        <v>2525108749</v>
      </c>
      <c r="BI682" s="510">
        <f t="shared" si="311"/>
        <v>2514716632</v>
      </c>
      <c r="BJ682" s="510">
        <f t="shared" si="311"/>
        <v>0</v>
      </c>
      <c r="BK682" s="510">
        <f t="shared" si="311"/>
        <v>26262356139</v>
      </c>
      <c r="BL682" s="510">
        <f t="shared" si="311"/>
        <v>17491654931</v>
      </c>
      <c r="BM682" s="510">
        <f t="shared" si="311"/>
        <v>11355029010.790001</v>
      </c>
      <c r="BN682" s="510">
        <f t="shared" si="311"/>
        <v>0</v>
      </c>
      <c r="BO682" s="510">
        <f t="shared" si="311"/>
        <v>0</v>
      </c>
      <c r="BP682" s="510">
        <f t="shared" si="311"/>
        <v>0</v>
      </c>
      <c r="BQ682" s="510">
        <f t="shared" si="311"/>
        <v>914175830</v>
      </c>
      <c r="BR682" s="510">
        <f t="shared" si="311"/>
        <v>274150000</v>
      </c>
      <c r="BS682" s="510">
        <f t="shared" si="311"/>
        <v>55286371</v>
      </c>
      <c r="BT682" s="510">
        <f t="shared" si="311"/>
        <v>10629232919</v>
      </c>
      <c r="BU682" s="510">
        <f t="shared" si="311"/>
        <v>2671595934</v>
      </c>
      <c r="BV682" s="510">
        <f t="shared" si="311"/>
        <v>255625386</v>
      </c>
      <c r="BW682" s="510">
        <f t="shared" si="311"/>
        <v>15041166447</v>
      </c>
      <c r="BX682" s="510">
        <f t="shared" si="311"/>
        <v>7018561791</v>
      </c>
      <c r="BY682" s="510">
        <f t="shared" si="311"/>
        <v>6831979076</v>
      </c>
      <c r="BZ682" s="510">
        <f t="shared" si="311"/>
        <v>306951532407.38</v>
      </c>
      <c r="CA682" s="510">
        <f t="shared" si="311"/>
        <v>164537680309.14999</v>
      </c>
      <c r="CB682" s="510">
        <f t="shared" si="311"/>
        <v>130475136828.92</v>
      </c>
    </row>
    <row r="683" spans="1:80" s="13" customFormat="1" ht="30" customHeight="1" x14ac:dyDescent="0.2">
      <c r="A683" s="899"/>
      <c r="B683" s="900"/>
      <c r="C683" s="900"/>
      <c r="D683" s="900"/>
      <c r="E683" s="900"/>
      <c r="F683" s="900"/>
      <c r="G683" s="900"/>
      <c r="H683" s="807"/>
      <c r="I683" s="807"/>
      <c r="J683" s="807"/>
      <c r="K683" s="808"/>
      <c r="L683" s="808"/>
      <c r="M683" s="808"/>
      <c r="N683" s="807"/>
      <c r="O683" s="807"/>
      <c r="P683" s="807"/>
      <c r="Q683" s="809"/>
      <c r="R683" s="810"/>
      <c r="S683" s="810"/>
      <c r="T683" s="810"/>
      <c r="U683" s="810"/>
      <c r="V683" s="810"/>
      <c r="W683" s="810"/>
      <c r="X683" s="810"/>
      <c r="Y683" s="810"/>
      <c r="Z683" s="810"/>
      <c r="AA683" s="810"/>
      <c r="AB683" s="810"/>
      <c r="AC683" s="810"/>
      <c r="AD683" s="810"/>
      <c r="AE683" s="810"/>
      <c r="AF683" s="810"/>
      <c r="AG683" s="810"/>
      <c r="AH683" s="810"/>
      <c r="AI683" s="810"/>
      <c r="AJ683" s="810"/>
      <c r="AK683" s="810"/>
      <c r="AL683" s="810"/>
      <c r="AM683" s="810"/>
      <c r="AN683" s="810"/>
      <c r="AO683" s="810"/>
      <c r="AP683" s="810"/>
      <c r="AQ683" s="810"/>
      <c r="AR683" s="810"/>
      <c r="AS683" s="810"/>
      <c r="AT683" s="810"/>
      <c r="AU683" s="810"/>
      <c r="AV683" s="810"/>
      <c r="AW683" s="810"/>
      <c r="AX683" s="810"/>
      <c r="AY683" s="810"/>
      <c r="AZ683" s="810"/>
      <c r="BA683" s="810"/>
      <c r="BB683" s="810"/>
      <c r="BC683" s="810"/>
      <c r="BD683" s="810"/>
      <c r="BE683" s="810"/>
      <c r="BF683" s="810"/>
      <c r="BG683" s="810"/>
      <c r="BH683" s="810"/>
      <c r="BI683" s="810"/>
      <c r="BJ683" s="810"/>
      <c r="BK683" s="810"/>
      <c r="BL683" s="810"/>
      <c r="BM683" s="810"/>
      <c r="BN683" s="810"/>
      <c r="BO683" s="810"/>
      <c r="BP683" s="810"/>
      <c r="BQ683" s="810"/>
      <c r="BR683" s="810"/>
      <c r="BS683" s="810"/>
      <c r="BT683" s="810"/>
      <c r="BU683" s="810"/>
      <c r="BV683" s="810"/>
      <c r="BW683" s="810"/>
      <c r="BX683" s="810"/>
      <c r="BY683" s="810"/>
      <c r="BZ683" s="810"/>
      <c r="CA683" s="810"/>
      <c r="CB683" s="811"/>
    </row>
    <row r="684" spans="1:80" ht="30" customHeight="1" x14ac:dyDescent="0.2">
      <c r="A684" s="31" t="s">
        <v>883</v>
      </c>
      <c r="B684" s="32"/>
      <c r="C684" s="33"/>
      <c r="D684" s="32"/>
      <c r="E684" s="32"/>
      <c r="F684" s="32"/>
      <c r="G684" s="32"/>
      <c r="H684" s="33"/>
      <c r="I684" s="32"/>
      <c r="J684" s="32"/>
      <c r="K684" s="262"/>
      <c r="L684" s="262"/>
      <c r="M684" s="262"/>
      <c r="N684" s="33"/>
      <c r="O684" s="33"/>
      <c r="P684" s="32"/>
      <c r="Q684" s="33"/>
      <c r="R684" s="472"/>
      <c r="S684" s="472"/>
      <c r="T684" s="472"/>
      <c r="U684" s="472"/>
      <c r="V684" s="472"/>
      <c r="W684" s="472"/>
      <c r="X684" s="472"/>
      <c r="Y684" s="472"/>
      <c r="Z684" s="472"/>
      <c r="AA684" s="472"/>
      <c r="AB684" s="472"/>
      <c r="AC684" s="472"/>
      <c r="AD684" s="472"/>
      <c r="AE684" s="472"/>
      <c r="AF684" s="472"/>
      <c r="AG684" s="472"/>
      <c r="AH684" s="472"/>
      <c r="AI684" s="472"/>
      <c r="AJ684" s="472"/>
      <c r="AK684" s="472"/>
      <c r="AL684" s="472"/>
      <c r="AM684" s="472"/>
      <c r="AN684" s="472"/>
      <c r="AO684" s="472"/>
      <c r="AP684" s="472"/>
      <c r="AQ684" s="472"/>
      <c r="AR684" s="472"/>
      <c r="AS684" s="472"/>
      <c r="AT684" s="472"/>
      <c r="AU684" s="472"/>
      <c r="AV684" s="472"/>
      <c r="AW684" s="472"/>
      <c r="AX684" s="472"/>
      <c r="AY684" s="472"/>
      <c r="AZ684" s="472"/>
      <c r="BA684" s="472"/>
      <c r="BB684" s="472"/>
      <c r="BC684" s="472"/>
      <c r="BD684" s="472"/>
      <c r="BE684" s="472"/>
      <c r="BF684" s="472"/>
      <c r="BG684" s="472"/>
      <c r="BH684" s="472"/>
      <c r="BI684" s="472"/>
      <c r="BJ684" s="472"/>
      <c r="BK684" s="473"/>
      <c r="BL684" s="473"/>
      <c r="BM684" s="473"/>
      <c r="BN684" s="474"/>
      <c r="BO684" s="474"/>
      <c r="BP684" s="474"/>
      <c r="BQ684" s="472"/>
      <c r="BR684" s="472"/>
      <c r="BS684" s="472"/>
      <c r="BT684" s="472"/>
      <c r="BU684" s="472"/>
      <c r="BV684" s="472"/>
      <c r="BW684" s="472"/>
      <c r="BX684" s="472"/>
      <c r="BY684" s="472"/>
      <c r="BZ684" s="632"/>
      <c r="CA684" s="632"/>
      <c r="CB684" s="632"/>
    </row>
    <row r="685" spans="1:80" ht="30" customHeight="1" x14ac:dyDescent="0.2">
      <c r="A685" s="787">
        <v>3</v>
      </c>
      <c r="B685" s="34" t="s">
        <v>454</v>
      </c>
      <c r="C685" s="35"/>
      <c r="D685" s="34"/>
      <c r="E685" s="34"/>
      <c r="F685" s="34"/>
      <c r="G685" s="34"/>
      <c r="H685" s="35"/>
      <c r="I685" s="34"/>
      <c r="J685" s="34"/>
      <c r="K685" s="124"/>
      <c r="L685" s="124"/>
      <c r="M685" s="124"/>
      <c r="N685" s="35"/>
      <c r="O685" s="35"/>
      <c r="P685" s="34"/>
      <c r="Q685" s="34"/>
      <c r="R685" s="432"/>
      <c r="S685" s="432"/>
      <c r="T685" s="432"/>
      <c r="U685" s="432"/>
      <c r="V685" s="432"/>
      <c r="W685" s="432"/>
      <c r="X685" s="432"/>
      <c r="Y685" s="432"/>
      <c r="Z685" s="432"/>
      <c r="AA685" s="432"/>
      <c r="AB685" s="432"/>
      <c r="AC685" s="432"/>
      <c r="AD685" s="432"/>
      <c r="AE685" s="432"/>
      <c r="AF685" s="432"/>
      <c r="AG685" s="432"/>
      <c r="AH685" s="432"/>
      <c r="AI685" s="432"/>
      <c r="AJ685" s="432"/>
      <c r="AK685" s="432"/>
      <c r="AL685" s="432"/>
      <c r="AM685" s="432"/>
      <c r="AN685" s="432"/>
      <c r="AO685" s="432"/>
      <c r="AP685" s="432"/>
      <c r="AQ685" s="432"/>
      <c r="AR685" s="432"/>
      <c r="AS685" s="432"/>
      <c r="AT685" s="432"/>
      <c r="AU685" s="432"/>
      <c r="AV685" s="432"/>
      <c r="AW685" s="432"/>
      <c r="AX685" s="432"/>
      <c r="AY685" s="432"/>
      <c r="AZ685" s="432"/>
      <c r="BA685" s="432"/>
      <c r="BB685" s="432"/>
      <c r="BC685" s="432"/>
      <c r="BD685" s="432"/>
      <c r="BE685" s="432"/>
      <c r="BF685" s="432"/>
      <c r="BG685" s="432"/>
      <c r="BH685" s="432"/>
      <c r="BI685" s="432"/>
      <c r="BJ685" s="432"/>
      <c r="BK685" s="433"/>
      <c r="BL685" s="433"/>
      <c r="BM685" s="433"/>
      <c r="BN685" s="432"/>
      <c r="BO685" s="432"/>
      <c r="BP685" s="432"/>
      <c r="BQ685" s="432"/>
      <c r="BR685" s="432"/>
      <c r="BS685" s="432"/>
      <c r="BT685" s="432"/>
      <c r="BU685" s="432"/>
      <c r="BV685" s="432"/>
      <c r="BW685" s="432"/>
      <c r="BX685" s="432"/>
      <c r="BY685" s="432"/>
      <c r="BZ685" s="633"/>
      <c r="CA685" s="633"/>
      <c r="CB685" s="633"/>
    </row>
    <row r="686" spans="1:80" ht="30" customHeight="1" x14ac:dyDescent="0.2">
      <c r="A686" s="76"/>
      <c r="B686" s="125">
        <v>20</v>
      </c>
      <c r="C686" s="40" t="s">
        <v>884</v>
      </c>
      <c r="D686" s="39"/>
      <c r="E686" s="39"/>
      <c r="F686" s="39"/>
      <c r="G686" s="39"/>
      <c r="H686" s="40"/>
      <c r="I686" s="39"/>
      <c r="J686" s="39"/>
      <c r="K686" s="126"/>
      <c r="L686" s="126"/>
      <c r="M686" s="126"/>
      <c r="N686" s="40"/>
      <c r="O686" s="40"/>
      <c r="P686" s="39"/>
      <c r="Q686" s="39"/>
      <c r="R686" s="412"/>
      <c r="S686" s="412"/>
      <c r="T686" s="412"/>
      <c r="U686" s="412"/>
      <c r="V686" s="412"/>
      <c r="W686" s="412"/>
      <c r="X686" s="412"/>
      <c r="Y686" s="412"/>
      <c r="Z686" s="412"/>
      <c r="AA686" s="412"/>
      <c r="AB686" s="412"/>
      <c r="AC686" s="412"/>
      <c r="AD686" s="412"/>
      <c r="AE686" s="412"/>
      <c r="AF686" s="412"/>
      <c r="AG686" s="412"/>
      <c r="AH686" s="412"/>
      <c r="AI686" s="412"/>
      <c r="AJ686" s="412"/>
      <c r="AK686" s="412"/>
      <c r="AL686" s="412"/>
      <c r="AM686" s="412"/>
      <c r="AN686" s="412"/>
      <c r="AO686" s="412"/>
      <c r="AP686" s="412"/>
      <c r="AQ686" s="412"/>
      <c r="AR686" s="412"/>
      <c r="AS686" s="412"/>
      <c r="AT686" s="412"/>
      <c r="AU686" s="412"/>
      <c r="AV686" s="412"/>
      <c r="AW686" s="412"/>
      <c r="AX686" s="412"/>
      <c r="AY686" s="412"/>
      <c r="AZ686" s="412"/>
      <c r="BA686" s="412"/>
      <c r="BB686" s="412"/>
      <c r="BC686" s="412"/>
      <c r="BD686" s="412"/>
      <c r="BE686" s="412"/>
      <c r="BF686" s="412"/>
      <c r="BG686" s="412"/>
      <c r="BH686" s="412"/>
      <c r="BI686" s="412"/>
      <c r="BJ686" s="412"/>
      <c r="BK686" s="413"/>
      <c r="BL686" s="413"/>
      <c r="BM686" s="413"/>
      <c r="BN686" s="412"/>
      <c r="BO686" s="412"/>
      <c r="BP686" s="412"/>
      <c r="BQ686" s="412"/>
      <c r="BR686" s="412"/>
      <c r="BS686" s="412"/>
      <c r="BT686" s="412"/>
      <c r="BU686" s="412"/>
      <c r="BV686" s="412"/>
      <c r="BW686" s="412"/>
      <c r="BX686" s="412"/>
      <c r="BY686" s="412"/>
      <c r="BZ686" s="509"/>
      <c r="CA686" s="509"/>
      <c r="CB686" s="509"/>
    </row>
    <row r="687" spans="1:80" ht="30" customHeight="1" x14ac:dyDescent="0.2">
      <c r="A687" s="42"/>
      <c r="B687" s="76"/>
      <c r="C687" s="713"/>
      <c r="D687" s="707"/>
      <c r="E687" s="713"/>
      <c r="F687" s="713"/>
      <c r="G687" s="219">
        <v>68</v>
      </c>
      <c r="H687" s="80" t="s">
        <v>885</v>
      </c>
      <c r="I687" s="80"/>
      <c r="J687" s="80"/>
      <c r="K687" s="128"/>
      <c r="L687" s="128"/>
      <c r="M687" s="128"/>
      <c r="N687" s="173"/>
      <c r="O687" s="173"/>
      <c r="P687" s="80"/>
      <c r="Q687" s="80"/>
      <c r="R687" s="267"/>
      <c r="S687" s="267"/>
      <c r="T687" s="267"/>
      <c r="U687" s="267"/>
      <c r="V687" s="267"/>
      <c r="W687" s="267"/>
      <c r="X687" s="267"/>
      <c r="Y687" s="267"/>
      <c r="Z687" s="267"/>
      <c r="AA687" s="267"/>
      <c r="AB687" s="267"/>
      <c r="AC687" s="267"/>
      <c r="AD687" s="267"/>
      <c r="AE687" s="267"/>
      <c r="AF687" s="267"/>
      <c r="AG687" s="267"/>
      <c r="AH687" s="267"/>
      <c r="AI687" s="267"/>
      <c r="AJ687" s="267"/>
      <c r="AK687" s="267"/>
      <c r="AL687" s="267"/>
      <c r="AM687" s="267"/>
      <c r="AN687" s="267"/>
      <c r="AO687" s="267"/>
      <c r="AP687" s="267"/>
      <c r="AQ687" s="267"/>
      <c r="AR687" s="267"/>
      <c r="AS687" s="267"/>
      <c r="AT687" s="267"/>
      <c r="AU687" s="267"/>
      <c r="AV687" s="267"/>
      <c r="AW687" s="267"/>
      <c r="AX687" s="267"/>
      <c r="AY687" s="267"/>
      <c r="AZ687" s="267"/>
      <c r="BA687" s="267"/>
      <c r="BB687" s="267"/>
      <c r="BC687" s="267"/>
      <c r="BD687" s="267"/>
      <c r="BE687" s="267"/>
      <c r="BF687" s="267"/>
      <c r="BG687" s="267"/>
      <c r="BH687" s="267"/>
      <c r="BI687" s="267"/>
      <c r="BJ687" s="267"/>
      <c r="BK687" s="414"/>
      <c r="BL687" s="414"/>
      <c r="BM687" s="414"/>
      <c r="BN687" s="267"/>
      <c r="BO687" s="267"/>
      <c r="BP687" s="267"/>
      <c r="BQ687" s="267"/>
      <c r="BR687" s="267"/>
      <c r="BS687" s="267"/>
      <c r="BT687" s="267"/>
      <c r="BU687" s="267"/>
      <c r="BV687" s="267"/>
      <c r="BW687" s="267"/>
      <c r="BX687" s="267"/>
      <c r="BY687" s="267"/>
      <c r="BZ687" s="508"/>
      <c r="CA687" s="508"/>
      <c r="CB687" s="508"/>
    </row>
    <row r="688" spans="1:80" ht="45" customHeight="1" x14ac:dyDescent="0.2">
      <c r="A688" s="42"/>
      <c r="B688" s="42"/>
      <c r="C688" s="883">
        <v>36</v>
      </c>
      <c r="D688" s="891" t="s">
        <v>886</v>
      </c>
      <c r="E688" s="893">
        <v>0.4</v>
      </c>
      <c r="F688" s="894">
        <v>0.6</v>
      </c>
      <c r="G688" s="43"/>
      <c r="H688" s="727">
        <v>202</v>
      </c>
      <c r="I688" s="729" t="s">
        <v>887</v>
      </c>
      <c r="J688" s="44">
        <v>23</v>
      </c>
      <c r="K688" s="45">
        <v>23</v>
      </c>
      <c r="L688" s="45">
        <v>23</v>
      </c>
      <c r="M688" s="884">
        <v>201700360036</v>
      </c>
      <c r="N688" s="44" t="s">
        <v>888</v>
      </c>
      <c r="O688" s="887" t="s">
        <v>889</v>
      </c>
      <c r="P688" s="896" t="s">
        <v>890</v>
      </c>
      <c r="Q688" s="44" t="s">
        <v>52</v>
      </c>
      <c r="R688" s="401">
        <v>0</v>
      </c>
      <c r="S688" s="401"/>
      <c r="T688" s="401"/>
      <c r="U688" s="401">
        <v>0</v>
      </c>
      <c r="V688" s="401"/>
      <c r="W688" s="401"/>
      <c r="X688" s="401">
        <v>0</v>
      </c>
      <c r="Y688" s="401"/>
      <c r="Z688" s="401"/>
      <c r="AA688" s="401">
        <v>0</v>
      </c>
      <c r="AB688" s="401"/>
      <c r="AC688" s="401"/>
      <c r="AD688" s="401">
        <v>0</v>
      </c>
      <c r="AE688" s="401"/>
      <c r="AF688" s="401"/>
      <c r="AG688" s="401">
        <v>0</v>
      </c>
      <c r="AH688" s="401"/>
      <c r="AI688" s="401"/>
      <c r="AJ688" s="401">
        <v>0</v>
      </c>
      <c r="AK688" s="401"/>
      <c r="AL688" s="401"/>
      <c r="AM688" s="401"/>
      <c r="AN688" s="401"/>
      <c r="AO688" s="401"/>
      <c r="AP688" s="401"/>
      <c r="AQ688" s="401"/>
      <c r="AR688" s="401"/>
      <c r="AS688" s="401">
        <v>0</v>
      </c>
      <c r="AT688" s="409"/>
      <c r="AU688" s="409"/>
      <c r="AV688" s="401">
        <v>0</v>
      </c>
      <c r="AW688" s="401"/>
      <c r="AX688" s="401"/>
      <c r="AY688" s="401"/>
      <c r="AZ688" s="401"/>
      <c r="BA688" s="401"/>
      <c r="BB688" s="401"/>
      <c r="BC688" s="401"/>
      <c r="BD688" s="401"/>
      <c r="BE688" s="401">
        <v>0</v>
      </c>
      <c r="BF688" s="401"/>
      <c r="BG688" s="401"/>
      <c r="BH688" s="401">
        <v>0</v>
      </c>
      <c r="BI688" s="401"/>
      <c r="BJ688" s="401"/>
      <c r="BK688" s="366">
        <v>331574677</v>
      </c>
      <c r="BL688" s="366">
        <v>311550400</v>
      </c>
      <c r="BM688" s="366">
        <v>288550000</v>
      </c>
      <c r="BN688" s="12">
        <f>230600000+600000000</f>
        <v>830600000</v>
      </c>
      <c r="BO688" s="366">
        <v>755676886</v>
      </c>
      <c r="BP688" s="366">
        <v>333100757</v>
      </c>
      <c r="BQ688" s="402"/>
      <c r="BR688" s="404"/>
      <c r="BS688" s="404"/>
      <c r="BT688" s="404"/>
      <c r="BU688" s="404"/>
      <c r="BV688" s="404"/>
      <c r="BW688" s="403">
        <v>12000000</v>
      </c>
      <c r="BX688" s="403">
        <v>1510000</v>
      </c>
      <c r="BY688" s="403">
        <v>1510000</v>
      </c>
      <c r="BZ688" s="401">
        <f t="shared" ref="BZ688:CB689" si="312">R688+U688+X688+AA688+AD688+AG688+AJ688+AM688+AP688+AS688+AV688+AY688+BB688+BE688+BH688+BK688+BN688+BQ688+BT688+BW688</f>
        <v>1174174677</v>
      </c>
      <c r="CA688" s="401">
        <f t="shared" si="312"/>
        <v>1068737286</v>
      </c>
      <c r="CB688" s="401">
        <f t="shared" si="312"/>
        <v>623160757</v>
      </c>
    </row>
    <row r="689" spans="1:80" ht="72.75" customHeight="1" x14ac:dyDescent="0.2">
      <c r="A689" s="42"/>
      <c r="B689" s="42"/>
      <c r="C689" s="883"/>
      <c r="D689" s="891"/>
      <c r="E689" s="893"/>
      <c r="F689" s="894"/>
      <c r="G689" s="49"/>
      <c r="H689" s="727">
        <v>203</v>
      </c>
      <c r="I689" s="729" t="s">
        <v>891</v>
      </c>
      <c r="J689" s="44">
        <v>20</v>
      </c>
      <c r="K689" s="45">
        <v>20</v>
      </c>
      <c r="L689" s="45">
        <v>20</v>
      </c>
      <c r="M689" s="886"/>
      <c r="N689" s="44" t="s">
        <v>888</v>
      </c>
      <c r="O689" s="889"/>
      <c r="P689" s="897"/>
      <c r="Q689" s="44" t="s">
        <v>52</v>
      </c>
      <c r="R689" s="401">
        <v>0</v>
      </c>
      <c r="S689" s="401"/>
      <c r="T689" s="401"/>
      <c r="U689" s="401">
        <v>0</v>
      </c>
      <c r="V689" s="401"/>
      <c r="W689" s="401"/>
      <c r="X689" s="401">
        <v>0</v>
      </c>
      <c r="Y689" s="401"/>
      <c r="Z689" s="401"/>
      <c r="AA689" s="401">
        <v>0</v>
      </c>
      <c r="AB689" s="401"/>
      <c r="AC689" s="401"/>
      <c r="AD689" s="401">
        <v>0</v>
      </c>
      <c r="AE689" s="401"/>
      <c r="AF689" s="401"/>
      <c r="AG689" s="401">
        <v>0</v>
      </c>
      <c r="AH689" s="401"/>
      <c r="AI689" s="401"/>
      <c r="AJ689" s="401">
        <v>0</v>
      </c>
      <c r="AK689" s="401"/>
      <c r="AL689" s="401"/>
      <c r="AM689" s="401"/>
      <c r="AN689" s="401"/>
      <c r="AO689" s="401"/>
      <c r="AP689" s="401"/>
      <c r="AQ689" s="401"/>
      <c r="AR689" s="401"/>
      <c r="AS689" s="401">
        <v>0</v>
      </c>
      <c r="AT689" s="401"/>
      <c r="AU689" s="401"/>
      <c r="AV689" s="401">
        <v>0</v>
      </c>
      <c r="AW689" s="401"/>
      <c r="AX689" s="401"/>
      <c r="AY689" s="401"/>
      <c r="AZ689" s="401"/>
      <c r="BA689" s="401"/>
      <c r="BB689" s="401"/>
      <c r="BC689" s="401"/>
      <c r="BD689" s="401"/>
      <c r="BE689" s="401">
        <v>0</v>
      </c>
      <c r="BF689" s="401"/>
      <c r="BG689" s="401"/>
      <c r="BH689" s="401">
        <v>0</v>
      </c>
      <c r="BI689" s="401"/>
      <c r="BJ689" s="401"/>
      <c r="BK689" s="455">
        <f>168000000</f>
        <v>168000000</v>
      </c>
      <c r="BL689" s="455">
        <v>94080000</v>
      </c>
      <c r="BM689" s="455">
        <v>94080000</v>
      </c>
      <c r="BN689" s="402"/>
      <c r="BO689" s="402"/>
      <c r="BP689" s="402"/>
      <c r="BQ689" s="401">
        <v>0</v>
      </c>
      <c r="BR689" s="403"/>
      <c r="BS689" s="403"/>
      <c r="BT689" s="403"/>
      <c r="BU689" s="403"/>
      <c r="BV689" s="403"/>
      <c r="BW689" s="403">
        <v>0</v>
      </c>
      <c r="BX689" s="403"/>
      <c r="BY689" s="403"/>
      <c r="BZ689" s="401">
        <f t="shared" si="312"/>
        <v>168000000</v>
      </c>
      <c r="CA689" s="401">
        <f t="shared" si="312"/>
        <v>94080000</v>
      </c>
      <c r="CB689" s="401">
        <f t="shared" si="312"/>
        <v>94080000</v>
      </c>
    </row>
    <row r="690" spans="1:80" ht="30" customHeight="1" x14ac:dyDescent="0.2">
      <c r="A690" s="42"/>
      <c r="B690" s="42"/>
      <c r="C690" s="714"/>
      <c r="D690" s="709"/>
      <c r="E690" s="714"/>
      <c r="F690" s="714"/>
      <c r="G690" s="58"/>
      <c r="H690" s="59"/>
      <c r="I690" s="58"/>
      <c r="J690" s="60"/>
      <c r="K690" s="113"/>
      <c r="L690" s="113"/>
      <c r="M690" s="113"/>
      <c r="N690" s="60"/>
      <c r="O690" s="60"/>
      <c r="P690" s="188"/>
      <c r="Q690" s="196">
        <f t="shared" ref="Q690:BZ690" si="313">SUM(Q688:Q689)</f>
        <v>0</v>
      </c>
      <c r="R690" s="476">
        <f t="shared" si="313"/>
        <v>0</v>
      </c>
      <c r="S690" s="476"/>
      <c r="T690" s="476"/>
      <c r="U690" s="476">
        <f t="shared" si="313"/>
        <v>0</v>
      </c>
      <c r="V690" s="476"/>
      <c r="W690" s="476"/>
      <c r="X690" s="476">
        <f t="shared" si="313"/>
        <v>0</v>
      </c>
      <c r="Y690" s="476"/>
      <c r="Z690" s="476"/>
      <c r="AA690" s="476">
        <f t="shared" si="313"/>
        <v>0</v>
      </c>
      <c r="AB690" s="476"/>
      <c r="AC690" s="476"/>
      <c r="AD690" s="476">
        <f t="shared" si="313"/>
        <v>0</v>
      </c>
      <c r="AE690" s="476"/>
      <c r="AF690" s="476"/>
      <c r="AG690" s="476">
        <f t="shared" si="313"/>
        <v>0</v>
      </c>
      <c r="AH690" s="476"/>
      <c r="AI690" s="476"/>
      <c r="AJ690" s="476">
        <f t="shared" si="313"/>
        <v>0</v>
      </c>
      <c r="AK690" s="476"/>
      <c r="AL690" s="476"/>
      <c r="AM690" s="476">
        <f t="shared" si="313"/>
        <v>0</v>
      </c>
      <c r="AN690" s="476"/>
      <c r="AO690" s="476"/>
      <c r="AP690" s="476">
        <f t="shared" si="313"/>
        <v>0</v>
      </c>
      <c r="AQ690" s="476"/>
      <c r="AR690" s="476"/>
      <c r="AS690" s="476">
        <f t="shared" si="313"/>
        <v>0</v>
      </c>
      <c r="AT690" s="476"/>
      <c r="AU690" s="476"/>
      <c r="AV690" s="476">
        <f t="shared" si="313"/>
        <v>0</v>
      </c>
      <c r="AW690" s="476"/>
      <c r="AX690" s="476"/>
      <c r="AY690" s="476">
        <f t="shared" si="313"/>
        <v>0</v>
      </c>
      <c r="AZ690" s="476"/>
      <c r="BA690" s="476"/>
      <c r="BB690" s="476">
        <f t="shared" si="313"/>
        <v>0</v>
      </c>
      <c r="BC690" s="476"/>
      <c r="BD690" s="476"/>
      <c r="BE690" s="476">
        <f t="shared" si="313"/>
        <v>0</v>
      </c>
      <c r="BF690" s="476"/>
      <c r="BG690" s="476"/>
      <c r="BH690" s="476">
        <f t="shared" si="313"/>
        <v>0</v>
      </c>
      <c r="BI690" s="476"/>
      <c r="BJ690" s="476"/>
      <c r="BK690" s="476">
        <f t="shared" si="313"/>
        <v>499574677</v>
      </c>
      <c r="BL690" s="476">
        <f t="shared" si="313"/>
        <v>405630400</v>
      </c>
      <c r="BM690" s="476">
        <f t="shared" si="313"/>
        <v>382630000</v>
      </c>
      <c r="BN690" s="476">
        <f t="shared" si="313"/>
        <v>830600000</v>
      </c>
      <c r="BO690" s="476">
        <f t="shared" si="313"/>
        <v>755676886</v>
      </c>
      <c r="BP690" s="476">
        <f t="shared" si="313"/>
        <v>333100757</v>
      </c>
      <c r="BQ690" s="476">
        <f t="shared" si="313"/>
        <v>0</v>
      </c>
      <c r="BR690" s="476"/>
      <c r="BS690" s="476"/>
      <c r="BT690" s="476">
        <f t="shared" si="313"/>
        <v>0</v>
      </c>
      <c r="BU690" s="476"/>
      <c r="BV690" s="476"/>
      <c r="BW690" s="476">
        <f t="shared" si="313"/>
        <v>12000000</v>
      </c>
      <c r="BX690" s="476">
        <f t="shared" si="313"/>
        <v>1510000</v>
      </c>
      <c r="BY690" s="476">
        <f t="shared" si="313"/>
        <v>1510000</v>
      </c>
      <c r="BZ690" s="476">
        <f t="shared" si="313"/>
        <v>1342174677</v>
      </c>
      <c r="CA690" s="476">
        <f t="shared" ref="CA690:CB690" si="314">SUM(CA688:CA689)</f>
        <v>1162817286</v>
      </c>
      <c r="CB690" s="476">
        <f t="shared" si="314"/>
        <v>717240757</v>
      </c>
    </row>
    <row r="691" spans="1:80" ht="30" customHeight="1" x14ac:dyDescent="0.2">
      <c r="A691" s="42"/>
      <c r="B691" s="42"/>
      <c r="C691" s="150"/>
      <c r="D691" s="72"/>
      <c r="E691" s="150"/>
      <c r="F691" s="150"/>
      <c r="G691" s="72"/>
      <c r="H691" s="150"/>
      <c r="I691" s="72"/>
      <c r="J691" s="150"/>
      <c r="K691" s="151"/>
      <c r="L691" s="265"/>
      <c r="M691" s="265"/>
      <c r="N691" s="400"/>
      <c r="O691" s="400"/>
      <c r="P691" s="101"/>
      <c r="Q691" s="150"/>
      <c r="R691" s="405"/>
      <c r="S691" s="405"/>
      <c r="T691" s="405"/>
      <c r="U691" s="406"/>
      <c r="V691" s="406"/>
      <c r="W691" s="406"/>
      <c r="X691" s="405"/>
      <c r="Y691" s="405"/>
      <c r="Z691" s="405"/>
      <c r="AA691" s="405"/>
      <c r="AB691" s="405"/>
      <c r="AC691" s="405"/>
      <c r="AD691" s="405"/>
      <c r="AE691" s="405"/>
      <c r="AF691" s="405"/>
      <c r="AG691" s="405"/>
      <c r="AH691" s="405"/>
      <c r="AI691" s="405"/>
      <c r="AJ691" s="405"/>
      <c r="AK691" s="405"/>
      <c r="AL691" s="405"/>
      <c r="AM691" s="405"/>
      <c r="AN691" s="405"/>
      <c r="AO691" s="405"/>
      <c r="AP691" s="405"/>
      <c r="AQ691" s="405"/>
      <c r="AR691" s="405"/>
      <c r="AS691" s="405"/>
      <c r="AT691" s="405"/>
      <c r="AU691" s="405"/>
      <c r="AV691" s="405"/>
      <c r="AW691" s="405"/>
      <c r="AX691" s="405"/>
      <c r="AY691" s="406"/>
      <c r="AZ691" s="406"/>
      <c r="BA691" s="406"/>
      <c r="BB691" s="406"/>
      <c r="BC691" s="406"/>
      <c r="BD691" s="406"/>
      <c r="BE691" s="405"/>
      <c r="BF691" s="405"/>
      <c r="BG691" s="405"/>
      <c r="BH691" s="405"/>
      <c r="BI691" s="405"/>
      <c r="BJ691" s="405"/>
      <c r="BK691" s="407"/>
      <c r="BL691" s="407"/>
      <c r="BM691" s="407"/>
      <c r="BN691" s="408"/>
      <c r="BO691" s="408"/>
      <c r="BP691" s="408"/>
      <c r="BQ691" s="405"/>
      <c r="BR691" s="405"/>
      <c r="BS691" s="405"/>
      <c r="BT691" s="405"/>
      <c r="BU691" s="405"/>
      <c r="BV691" s="405"/>
      <c r="BW691" s="406"/>
      <c r="BX691" s="406"/>
      <c r="BY691" s="406"/>
      <c r="BZ691" s="401"/>
      <c r="CA691" s="401"/>
      <c r="CB691" s="401"/>
    </row>
    <row r="692" spans="1:80" ht="30" customHeight="1" x14ac:dyDescent="0.2">
      <c r="A692" s="42"/>
      <c r="B692" s="42"/>
      <c r="C692" s="713"/>
      <c r="D692" s="707"/>
      <c r="E692" s="713"/>
      <c r="F692" s="713"/>
      <c r="G692" s="219">
        <v>69</v>
      </c>
      <c r="H692" s="80" t="s">
        <v>892</v>
      </c>
      <c r="I692" s="80"/>
      <c r="J692" s="80"/>
      <c r="K692" s="128"/>
      <c r="L692" s="128"/>
      <c r="M692" s="128"/>
      <c r="N692" s="173"/>
      <c r="O692" s="173"/>
      <c r="P692" s="80"/>
      <c r="Q692" s="80"/>
      <c r="R692" s="267"/>
      <c r="S692" s="267"/>
      <c r="T692" s="267"/>
      <c r="U692" s="267"/>
      <c r="V692" s="267"/>
      <c r="W692" s="267"/>
      <c r="X692" s="267"/>
      <c r="Y692" s="267"/>
      <c r="Z692" s="267"/>
      <c r="AA692" s="267"/>
      <c r="AB692" s="267"/>
      <c r="AC692" s="267"/>
      <c r="AD692" s="267"/>
      <c r="AE692" s="267"/>
      <c r="AF692" s="267"/>
      <c r="AG692" s="267"/>
      <c r="AH692" s="267"/>
      <c r="AI692" s="267"/>
      <c r="AJ692" s="267"/>
      <c r="AK692" s="267"/>
      <c r="AL692" s="267"/>
      <c r="AM692" s="267"/>
      <c r="AN692" s="267"/>
      <c r="AO692" s="267"/>
      <c r="AP692" s="267"/>
      <c r="AQ692" s="267"/>
      <c r="AR692" s="267"/>
      <c r="AS692" s="267"/>
      <c r="AT692" s="267"/>
      <c r="AU692" s="267"/>
      <c r="AV692" s="267"/>
      <c r="AW692" s="267"/>
      <c r="AX692" s="267"/>
      <c r="AY692" s="267"/>
      <c r="AZ692" s="267"/>
      <c r="BA692" s="267"/>
      <c r="BB692" s="267"/>
      <c r="BC692" s="267"/>
      <c r="BD692" s="267"/>
      <c r="BE692" s="267"/>
      <c r="BF692" s="267"/>
      <c r="BG692" s="267"/>
      <c r="BH692" s="267"/>
      <c r="BI692" s="267"/>
      <c r="BJ692" s="267"/>
      <c r="BK692" s="414"/>
      <c r="BL692" s="414"/>
      <c r="BM692" s="414"/>
      <c r="BN692" s="267"/>
      <c r="BO692" s="267"/>
      <c r="BP692" s="267"/>
      <c r="BQ692" s="267"/>
      <c r="BR692" s="267"/>
      <c r="BS692" s="267"/>
      <c r="BT692" s="267"/>
      <c r="BU692" s="267"/>
      <c r="BV692" s="267"/>
      <c r="BW692" s="267"/>
      <c r="BX692" s="267"/>
      <c r="BY692" s="267"/>
      <c r="BZ692" s="508"/>
      <c r="CA692" s="508"/>
      <c r="CB692" s="508"/>
    </row>
    <row r="693" spans="1:80" ht="57.75" customHeight="1" x14ac:dyDescent="0.2">
      <c r="A693" s="42"/>
      <c r="B693" s="42"/>
      <c r="C693" s="702">
        <v>36</v>
      </c>
      <c r="D693" s="708" t="s">
        <v>886</v>
      </c>
      <c r="E693" s="711">
        <v>0.4</v>
      </c>
      <c r="F693" s="712">
        <v>0.6</v>
      </c>
      <c r="G693" s="729"/>
      <c r="H693" s="57">
        <v>204</v>
      </c>
      <c r="I693" s="729" t="s">
        <v>893</v>
      </c>
      <c r="J693" s="44">
        <v>13</v>
      </c>
      <c r="K693" s="45">
        <v>13</v>
      </c>
      <c r="L693" s="45">
        <v>13</v>
      </c>
      <c r="M693" s="46">
        <v>201700360036</v>
      </c>
      <c r="N693" s="44" t="s">
        <v>888</v>
      </c>
      <c r="O693" s="704" t="s">
        <v>889</v>
      </c>
      <c r="P693" s="47" t="s">
        <v>890</v>
      </c>
      <c r="Q693" s="44" t="s">
        <v>52</v>
      </c>
      <c r="R693" s="401">
        <v>0</v>
      </c>
      <c r="S693" s="401"/>
      <c r="T693" s="401"/>
      <c r="U693" s="401">
        <v>0</v>
      </c>
      <c r="V693" s="401"/>
      <c r="W693" s="401"/>
      <c r="X693" s="401">
        <v>0</v>
      </c>
      <c r="Y693" s="401"/>
      <c r="Z693" s="401"/>
      <c r="AA693" s="401">
        <v>0</v>
      </c>
      <c r="AB693" s="401"/>
      <c r="AC693" s="401"/>
      <c r="AD693" s="401">
        <v>0</v>
      </c>
      <c r="AE693" s="401"/>
      <c r="AF693" s="401"/>
      <c r="AG693" s="401">
        <v>0</v>
      </c>
      <c r="AH693" s="401"/>
      <c r="AI693" s="401"/>
      <c r="AJ693" s="401">
        <v>0</v>
      </c>
      <c r="AK693" s="401"/>
      <c r="AL693" s="401"/>
      <c r="AM693" s="401"/>
      <c r="AN693" s="401"/>
      <c r="AO693" s="401"/>
      <c r="AP693" s="401"/>
      <c r="AQ693" s="401"/>
      <c r="AR693" s="401"/>
      <c r="AS693" s="401">
        <v>0</v>
      </c>
      <c r="AT693" s="401"/>
      <c r="AU693" s="401"/>
      <c r="AV693" s="401">
        <v>0</v>
      </c>
      <c r="AW693" s="401"/>
      <c r="AX693" s="401"/>
      <c r="AY693" s="401"/>
      <c r="AZ693" s="401"/>
      <c r="BA693" s="401"/>
      <c r="BB693" s="401"/>
      <c r="BC693" s="401"/>
      <c r="BD693" s="401"/>
      <c r="BE693" s="401">
        <v>0</v>
      </c>
      <c r="BF693" s="401"/>
      <c r="BG693" s="401"/>
      <c r="BH693" s="401">
        <v>0</v>
      </c>
      <c r="BI693" s="401"/>
      <c r="BJ693" s="401"/>
      <c r="BK693" s="455">
        <v>110200000</v>
      </c>
      <c r="BL693" s="455">
        <v>80760000</v>
      </c>
      <c r="BM693" s="455">
        <v>76960000</v>
      </c>
      <c r="BN693" s="366">
        <v>60000000</v>
      </c>
      <c r="BO693" s="366">
        <v>40276000</v>
      </c>
      <c r="BP693" s="366">
        <v>40276000</v>
      </c>
      <c r="BQ693" s="401">
        <v>0</v>
      </c>
      <c r="BR693" s="403"/>
      <c r="BS693" s="403"/>
      <c r="BT693" s="403"/>
      <c r="BU693" s="403"/>
      <c r="BV693" s="403"/>
      <c r="BW693" s="403">
        <v>0</v>
      </c>
      <c r="BX693" s="403"/>
      <c r="BY693" s="403"/>
      <c r="BZ693" s="401">
        <f t="shared" ref="BZ693:CB693" si="315">R693+U693+X693+AA693+AD693+AG693+AJ693+AM693+AP693+AS693+AV693+AY693+BB693+BE693+BH693+BK693+BN693+BQ693+BT693+BW693</f>
        <v>170200000</v>
      </c>
      <c r="CA693" s="401">
        <f t="shared" si="315"/>
        <v>121036000</v>
      </c>
      <c r="CB693" s="401">
        <f t="shared" si="315"/>
        <v>117236000</v>
      </c>
    </row>
    <row r="694" spans="1:80" ht="30" customHeight="1" x14ac:dyDescent="0.2">
      <c r="A694" s="42"/>
      <c r="B694" s="42"/>
      <c r="C694" s="714"/>
      <c r="D694" s="709"/>
      <c r="E694" s="714"/>
      <c r="F694" s="714"/>
      <c r="G694" s="58"/>
      <c r="H694" s="59"/>
      <c r="I694" s="58"/>
      <c r="J694" s="60"/>
      <c r="K694" s="113"/>
      <c r="L694" s="113"/>
      <c r="M694" s="113"/>
      <c r="N694" s="60"/>
      <c r="O694" s="60"/>
      <c r="P694" s="188"/>
      <c r="Q694" s="60"/>
      <c r="R694" s="410">
        <f t="shared" ref="R694:CB694" si="316">SUM(R693)</f>
        <v>0</v>
      </c>
      <c r="S694" s="410"/>
      <c r="T694" s="410"/>
      <c r="U694" s="410">
        <f t="shared" ref="U694" si="317">SUM(U693)</f>
        <v>0</v>
      </c>
      <c r="V694" s="410"/>
      <c r="W694" s="410"/>
      <c r="X694" s="410">
        <f t="shared" si="316"/>
        <v>0</v>
      </c>
      <c r="Y694" s="410"/>
      <c r="Z694" s="410"/>
      <c r="AA694" s="410">
        <f t="shared" si="316"/>
        <v>0</v>
      </c>
      <c r="AB694" s="410"/>
      <c r="AC694" s="410"/>
      <c r="AD694" s="410">
        <f t="shared" si="316"/>
        <v>0</v>
      </c>
      <c r="AE694" s="410"/>
      <c r="AF694" s="410"/>
      <c r="AG694" s="410">
        <f t="shared" si="316"/>
        <v>0</v>
      </c>
      <c r="AH694" s="410"/>
      <c r="AI694" s="410"/>
      <c r="AJ694" s="410">
        <f t="shared" si="316"/>
        <v>0</v>
      </c>
      <c r="AK694" s="410"/>
      <c r="AL694" s="410"/>
      <c r="AM694" s="410"/>
      <c r="AN694" s="410"/>
      <c r="AO694" s="410"/>
      <c r="AP694" s="410"/>
      <c r="AQ694" s="410"/>
      <c r="AR694" s="410"/>
      <c r="AS694" s="410">
        <f t="shared" si="316"/>
        <v>0</v>
      </c>
      <c r="AT694" s="410"/>
      <c r="AU694" s="410"/>
      <c r="AV694" s="410">
        <f t="shared" si="316"/>
        <v>0</v>
      </c>
      <c r="AW694" s="410"/>
      <c r="AX694" s="410"/>
      <c r="AY694" s="410">
        <f t="shared" si="316"/>
        <v>0</v>
      </c>
      <c r="AZ694" s="410"/>
      <c r="BA694" s="410"/>
      <c r="BB694" s="410">
        <f t="shared" si="316"/>
        <v>0</v>
      </c>
      <c r="BC694" s="410"/>
      <c r="BD694" s="410"/>
      <c r="BE694" s="410">
        <f t="shared" si="316"/>
        <v>0</v>
      </c>
      <c r="BF694" s="410"/>
      <c r="BG694" s="410"/>
      <c r="BH694" s="410">
        <f t="shared" si="316"/>
        <v>0</v>
      </c>
      <c r="BI694" s="410"/>
      <c r="BJ694" s="410"/>
      <c r="BK694" s="476">
        <f t="shared" si="316"/>
        <v>110200000</v>
      </c>
      <c r="BL694" s="476">
        <f t="shared" si="316"/>
        <v>80760000</v>
      </c>
      <c r="BM694" s="476">
        <f t="shared" si="316"/>
        <v>76960000</v>
      </c>
      <c r="BN694" s="476">
        <f t="shared" si="316"/>
        <v>60000000</v>
      </c>
      <c r="BO694" s="476">
        <f t="shared" si="316"/>
        <v>40276000</v>
      </c>
      <c r="BP694" s="476">
        <f t="shared" si="316"/>
        <v>40276000</v>
      </c>
      <c r="BQ694" s="476">
        <f t="shared" si="316"/>
        <v>0</v>
      </c>
      <c r="BR694" s="476">
        <f t="shared" si="316"/>
        <v>0</v>
      </c>
      <c r="BS694" s="476">
        <f t="shared" si="316"/>
        <v>0</v>
      </c>
      <c r="BT694" s="476">
        <f t="shared" si="316"/>
        <v>0</v>
      </c>
      <c r="BU694" s="476">
        <f t="shared" si="316"/>
        <v>0</v>
      </c>
      <c r="BV694" s="476">
        <f t="shared" si="316"/>
        <v>0</v>
      </c>
      <c r="BW694" s="476">
        <f t="shared" si="316"/>
        <v>0</v>
      </c>
      <c r="BX694" s="476">
        <f t="shared" si="316"/>
        <v>0</v>
      </c>
      <c r="BY694" s="476">
        <f t="shared" si="316"/>
        <v>0</v>
      </c>
      <c r="BZ694" s="476">
        <f t="shared" si="316"/>
        <v>170200000</v>
      </c>
      <c r="CA694" s="476">
        <f t="shared" si="316"/>
        <v>121036000</v>
      </c>
      <c r="CB694" s="476">
        <f t="shared" si="316"/>
        <v>117236000</v>
      </c>
    </row>
    <row r="695" spans="1:80" ht="30" customHeight="1" x14ac:dyDescent="0.2">
      <c r="A695" s="42"/>
      <c r="B695" s="42"/>
      <c r="C695" s="150"/>
      <c r="D695" s="72"/>
      <c r="E695" s="150"/>
      <c r="F695" s="150"/>
      <c r="G695" s="72"/>
      <c r="H695" s="150"/>
      <c r="I695" s="72"/>
      <c r="J695" s="150"/>
      <c r="K695" s="151"/>
      <c r="L695" s="265"/>
      <c r="M695" s="265"/>
      <c r="N695" s="400"/>
      <c r="O695" s="400"/>
      <c r="P695" s="101"/>
      <c r="Q695" s="150"/>
      <c r="R695" s="405"/>
      <c r="S695" s="405"/>
      <c r="T695" s="405"/>
      <c r="U695" s="405"/>
      <c r="V695" s="405"/>
      <c r="W695" s="405"/>
      <c r="X695" s="405"/>
      <c r="Y695" s="405"/>
      <c r="Z695" s="405"/>
      <c r="AA695" s="405"/>
      <c r="AB695" s="405"/>
      <c r="AC695" s="405"/>
      <c r="AD695" s="405"/>
      <c r="AE695" s="405"/>
      <c r="AF695" s="405"/>
      <c r="AG695" s="405"/>
      <c r="AH695" s="405"/>
      <c r="AI695" s="405"/>
      <c r="AJ695" s="405"/>
      <c r="AK695" s="405"/>
      <c r="AL695" s="405"/>
      <c r="AM695" s="405"/>
      <c r="AN695" s="405"/>
      <c r="AO695" s="405"/>
      <c r="AP695" s="405"/>
      <c r="AQ695" s="405"/>
      <c r="AR695" s="405"/>
      <c r="AS695" s="405"/>
      <c r="AT695" s="405"/>
      <c r="AU695" s="405"/>
      <c r="AV695" s="405"/>
      <c r="AW695" s="405"/>
      <c r="AX695" s="405"/>
      <c r="AY695" s="406"/>
      <c r="AZ695" s="406"/>
      <c r="BA695" s="406"/>
      <c r="BB695" s="406"/>
      <c r="BC695" s="406"/>
      <c r="BD695" s="406"/>
      <c r="BE695" s="405"/>
      <c r="BF695" s="405"/>
      <c r="BG695" s="405"/>
      <c r="BH695" s="405"/>
      <c r="BI695" s="405"/>
      <c r="BJ695" s="405"/>
      <c r="BK695" s="407"/>
      <c r="BL695" s="407"/>
      <c r="BM695" s="407"/>
      <c r="BN695" s="408"/>
      <c r="BO695" s="408"/>
      <c r="BP695" s="408"/>
      <c r="BQ695" s="405"/>
      <c r="BR695" s="405"/>
      <c r="BS695" s="405"/>
      <c r="BT695" s="405"/>
      <c r="BU695" s="405"/>
      <c r="BV695" s="405"/>
      <c r="BW695" s="406"/>
      <c r="BX695" s="406"/>
      <c r="BY695" s="406"/>
      <c r="BZ695" s="401"/>
      <c r="CA695" s="401"/>
      <c r="CB695" s="401"/>
    </row>
    <row r="696" spans="1:80" ht="30" customHeight="1" x14ac:dyDescent="0.2">
      <c r="A696" s="42"/>
      <c r="B696" s="42"/>
      <c r="C696" s="713"/>
      <c r="D696" s="707"/>
      <c r="E696" s="713"/>
      <c r="F696" s="713"/>
      <c r="G696" s="219">
        <v>70</v>
      </c>
      <c r="H696" s="79" t="s">
        <v>894</v>
      </c>
      <c r="I696" s="79"/>
      <c r="J696" s="79"/>
      <c r="K696" s="334"/>
      <c r="L696" s="334"/>
      <c r="M696" s="334"/>
      <c r="N696" s="173"/>
      <c r="O696" s="173"/>
      <c r="P696" s="79"/>
      <c r="Q696" s="79"/>
      <c r="R696" s="267"/>
      <c r="S696" s="267"/>
      <c r="T696" s="267"/>
      <c r="U696" s="267"/>
      <c r="V696" s="267"/>
      <c r="W696" s="267"/>
      <c r="X696" s="267"/>
      <c r="Y696" s="267"/>
      <c r="Z696" s="267"/>
      <c r="AA696" s="267"/>
      <c r="AB696" s="267"/>
      <c r="AC696" s="267"/>
      <c r="AD696" s="267"/>
      <c r="AE696" s="267"/>
      <c r="AF696" s="267"/>
      <c r="AG696" s="267"/>
      <c r="AH696" s="267"/>
      <c r="AI696" s="267"/>
      <c r="AJ696" s="267"/>
      <c r="AK696" s="267"/>
      <c r="AL696" s="267"/>
      <c r="AM696" s="267"/>
      <c r="AN696" s="267"/>
      <c r="AO696" s="267"/>
      <c r="AP696" s="267"/>
      <c r="AQ696" s="267"/>
      <c r="AR696" s="267"/>
      <c r="AS696" s="267"/>
      <c r="AT696" s="267"/>
      <c r="AU696" s="267"/>
      <c r="AV696" s="267"/>
      <c r="AW696" s="267"/>
      <c r="AX696" s="267"/>
      <c r="AY696" s="267"/>
      <c r="AZ696" s="267"/>
      <c r="BA696" s="267"/>
      <c r="BB696" s="267"/>
      <c r="BC696" s="267"/>
      <c r="BD696" s="267"/>
      <c r="BE696" s="267"/>
      <c r="BF696" s="267"/>
      <c r="BG696" s="267"/>
      <c r="BH696" s="267"/>
      <c r="BI696" s="267"/>
      <c r="BJ696" s="267"/>
      <c r="BK696" s="414"/>
      <c r="BL696" s="414"/>
      <c r="BM696" s="414"/>
      <c r="BN696" s="267"/>
      <c r="BO696" s="267"/>
      <c r="BP696" s="267"/>
      <c r="BQ696" s="267"/>
      <c r="BR696" s="267"/>
      <c r="BS696" s="267"/>
      <c r="BT696" s="267"/>
      <c r="BU696" s="267"/>
      <c r="BV696" s="267"/>
      <c r="BW696" s="267"/>
      <c r="BX696" s="267"/>
      <c r="BY696" s="267"/>
      <c r="BZ696" s="508"/>
      <c r="CA696" s="508"/>
      <c r="CB696" s="508"/>
    </row>
    <row r="697" spans="1:80" ht="51" customHeight="1" x14ac:dyDescent="0.2">
      <c r="A697" s="42"/>
      <c r="B697" s="42"/>
      <c r="C697" s="702">
        <v>36</v>
      </c>
      <c r="D697" s="708" t="s">
        <v>886</v>
      </c>
      <c r="E697" s="711">
        <v>0.4</v>
      </c>
      <c r="F697" s="712">
        <v>0.6</v>
      </c>
      <c r="G697" s="729"/>
      <c r="H697" s="57">
        <v>205</v>
      </c>
      <c r="I697" s="729" t="s">
        <v>895</v>
      </c>
      <c r="J697" s="44">
        <v>4</v>
      </c>
      <c r="K697" s="45">
        <v>1</v>
      </c>
      <c r="L697" s="112">
        <v>0.9</v>
      </c>
      <c r="M697" s="46">
        <v>201700360037</v>
      </c>
      <c r="N697" s="44" t="s">
        <v>888</v>
      </c>
      <c r="O697" s="704" t="s">
        <v>896</v>
      </c>
      <c r="P697" s="47" t="s">
        <v>897</v>
      </c>
      <c r="Q697" s="44" t="s">
        <v>67</v>
      </c>
      <c r="R697" s="401">
        <v>0</v>
      </c>
      <c r="S697" s="401"/>
      <c r="T697" s="401"/>
      <c r="U697" s="401">
        <v>0</v>
      </c>
      <c r="V697" s="401"/>
      <c r="W697" s="401"/>
      <c r="X697" s="401">
        <v>0</v>
      </c>
      <c r="Y697" s="401"/>
      <c r="Z697" s="401"/>
      <c r="AA697" s="401">
        <v>0</v>
      </c>
      <c r="AB697" s="401"/>
      <c r="AC697" s="401"/>
      <c r="AD697" s="401">
        <v>0</v>
      </c>
      <c r="AE697" s="401"/>
      <c r="AF697" s="401"/>
      <c r="AG697" s="401">
        <v>0</v>
      </c>
      <c r="AH697" s="401"/>
      <c r="AI697" s="401"/>
      <c r="AJ697" s="401">
        <v>0</v>
      </c>
      <c r="AK697" s="401"/>
      <c r="AL697" s="401"/>
      <c r="AM697" s="401"/>
      <c r="AN697" s="401"/>
      <c r="AO697" s="401"/>
      <c r="AP697" s="401"/>
      <c r="AQ697" s="401"/>
      <c r="AR697" s="401"/>
      <c r="AS697" s="401">
        <v>0</v>
      </c>
      <c r="AT697" s="401"/>
      <c r="AU697" s="401"/>
      <c r="AV697" s="401">
        <v>0</v>
      </c>
      <c r="AW697" s="401"/>
      <c r="AX697" s="401"/>
      <c r="AY697" s="401"/>
      <c r="AZ697" s="401"/>
      <c r="BA697" s="401"/>
      <c r="BB697" s="401"/>
      <c r="BC697" s="401"/>
      <c r="BD697" s="401"/>
      <c r="BE697" s="401">
        <v>0</v>
      </c>
      <c r="BF697" s="401"/>
      <c r="BG697" s="401"/>
      <c r="BH697" s="401">
        <v>0</v>
      </c>
      <c r="BI697" s="401"/>
      <c r="BJ697" s="401"/>
      <c r="BK697" s="366">
        <v>80000000</v>
      </c>
      <c r="BL697" s="366">
        <v>80000000</v>
      </c>
      <c r="BM697" s="366">
        <v>11900000</v>
      </c>
      <c r="BN697" s="12">
        <f>131000000+111879742</f>
        <v>242879742</v>
      </c>
      <c r="BO697" s="366">
        <v>192239742</v>
      </c>
      <c r="BP697" s="366">
        <v>147222809</v>
      </c>
      <c r="BQ697" s="401">
        <v>0</v>
      </c>
      <c r="BR697" s="403"/>
      <c r="BS697" s="403"/>
      <c r="BT697" s="403"/>
      <c r="BU697" s="403"/>
      <c r="BV697" s="403"/>
      <c r="BW697" s="366">
        <v>97227642</v>
      </c>
      <c r="BX697" s="366">
        <v>97227642</v>
      </c>
      <c r="BY697" s="366">
        <v>88974572</v>
      </c>
      <c r="BZ697" s="401">
        <f t="shared" ref="BZ697:CB697" si="318">R697+U697+X697+AA697+AD697+AG697+AJ697+AM697+AP697+AS697+AV697+AY697+BB697+BE697+BH697+BK697+BN697+BQ697+BT697+BW697</f>
        <v>420107384</v>
      </c>
      <c r="CA697" s="401">
        <f t="shared" si="318"/>
        <v>369467384</v>
      </c>
      <c r="CB697" s="401">
        <f t="shared" si="318"/>
        <v>248097381</v>
      </c>
    </row>
    <row r="698" spans="1:80" ht="30" customHeight="1" x14ac:dyDescent="0.2">
      <c r="A698" s="42"/>
      <c r="B698" s="42"/>
      <c r="C698" s="714"/>
      <c r="D698" s="709"/>
      <c r="E698" s="714"/>
      <c r="F698" s="714"/>
      <c r="G698" s="58"/>
      <c r="H698" s="59"/>
      <c r="I698" s="58"/>
      <c r="J698" s="60"/>
      <c r="K698" s="113"/>
      <c r="L698" s="113"/>
      <c r="M698" s="113"/>
      <c r="N698" s="60"/>
      <c r="O698" s="60"/>
      <c r="P698" s="188"/>
      <c r="Q698" s="60"/>
      <c r="R698" s="410">
        <f t="shared" ref="R698:CB698" si="319">SUM(R697)</f>
        <v>0</v>
      </c>
      <c r="S698" s="410"/>
      <c r="T698" s="410"/>
      <c r="U698" s="410">
        <f t="shared" ref="U698" si="320">SUM(U697)</f>
        <v>0</v>
      </c>
      <c r="V698" s="410"/>
      <c r="W698" s="410"/>
      <c r="X698" s="410">
        <f t="shared" si="319"/>
        <v>0</v>
      </c>
      <c r="Y698" s="410"/>
      <c r="Z698" s="410"/>
      <c r="AA698" s="410">
        <f t="shared" si="319"/>
        <v>0</v>
      </c>
      <c r="AB698" s="410"/>
      <c r="AC698" s="410"/>
      <c r="AD698" s="410">
        <f t="shared" si="319"/>
        <v>0</v>
      </c>
      <c r="AE698" s="410"/>
      <c r="AF698" s="410"/>
      <c r="AG698" s="410">
        <f t="shared" si="319"/>
        <v>0</v>
      </c>
      <c r="AH698" s="410"/>
      <c r="AI698" s="410"/>
      <c r="AJ698" s="410">
        <f t="shared" si="319"/>
        <v>0</v>
      </c>
      <c r="AK698" s="410"/>
      <c r="AL698" s="410"/>
      <c r="AM698" s="410"/>
      <c r="AN698" s="410"/>
      <c r="AO698" s="410"/>
      <c r="AP698" s="410"/>
      <c r="AQ698" s="410"/>
      <c r="AR698" s="410"/>
      <c r="AS698" s="410">
        <f t="shared" si="319"/>
        <v>0</v>
      </c>
      <c r="AT698" s="410"/>
      <c r="AU698" s="410"/>
      <c r="AV698" s="410">
        <f t="shared" si="319"/>
        <v>0</v>
      </c>
      <c r="AW698" s="410"/>
      <c r="AX698" s="410"/>
      <c r="AY698" s="410">
        <f t="shared" si="319"/>
        <v>0</v>
      </c>
      <c r="AZ698" s="410"/>
      <c r="BA698" s="410"/>
      <c r="BB698" s="410">
        <f t="shared" si="319"/>
        <v>0</v>
      </c>
      <c r="BC698" s="410"/>
      <c r="BD698" s="410"/>
      <c r="BE698" s="410">
        <f t="shared" si="319"/>
        <v>0</v>
      </c>
      <c r="BF698" s="410"/>
      <c r="BG698" s="410"/>
      <c r="BH698" s="410">
        <f t="shared" si="319"/>
        <v>0</v>
      </c>
      <c r="BI698" s="410"/>
      <c r="BJ698" s="410"/>
      <c r="BK698" s="476">
        <f t="shared" si="319"/>
        <v>80000000</v>
      </c>
      <c r="BL698" s="476">
        <f t="shared" si="319"/>
        <v>80000000</v>
      </c>
      <c r="BM698" s="476">
        <f t="shared" si="319"/>
        <v>11900000</v>
      </c>
      <c r="BN698" s="476">
        <f t="shared" si="319"/>
        <v>242879742</v>
      </c>
      <c r="BO698" s="476">
        <f t="shared" si="319"/>
        <v>192239742</v>
      </c>
      <c r="BP698" s="476">
        <f t="shared" si="319"/>
        <v>147222809</v>
      </c>
      <c r="BQ698" s="476">
        <f t="shared" si="319"/>
        <v>0</v>
      </c>
      <c r="BR698" s="476">
        <f t="shared" si="319"/>
        <v>0</v>
      </c>
      <c r="BS698" s="476">
        <f t="shared" si="319"/>
        <v>0</v>
      </c>
      <c r="BT698" s="476">
        <f t="shared" si="319"/>
        <v>0</v>
      </c>
      <c r="BU698" s="476">
        <f t="shared" si="319"/>
        <v>0</v>
      </c>
      <c r="BV698" s="476">
        <f t="shared" si="319"/>
        <v>0</v>
      </c>
      <c r="BW698" s="476">
        <f t="shared" si="319"/>
        <v>97227642</v>
      </c>
      <c r="BX698" s="476">
        <f t="shared" si="319"/>
        <v>97227642</v>
      </c>
      <c r="BY698" s="476">
        <f t="shared" si="319"/>
        <v>88974572</v>
      </c>
      <c r="BZ698" s="476">
        <f t="shared" si="319"/>
        <v>420107384</v>
      </c>
      <c r="CA698" s="476">
        <f t="shared" si="319"/>
        <v>369467384</v>
      </c>
      <c r="CB698" s="511">
        <f t="shared" si="319"/>
        <v>248097381</v>
      </c>
    </row>
    <row r="699" spans="1:80" ht="30" customHeight="1" x14ac:dyDescent="0.2">
      <c r="A699" s="42"/>
      <c r="B699" s="42"/>
      <c r="C699" s="150"/>
      <c r="D699" s="72"/>
      <c r="E699" s="150"/>
      <c r="F699" s="150"/>
      <c r="G699" s="72"/>
      <c r="H699" s="150"/>
      <c r="I699" s="72"/>
      <c r="J699" s="150"/>
      <c r="K699" s="151"/>
      <c r="L699" s="265"/>
      <c r="M699" s="265"/>
      <c r="N699" s="400"/>
      <c r="O699" s="400"/>
      <c r="P699" s="101"/>
      <c r="Q699" s="150"/>
      <c r="R699" s="405"/>
      <c r="S699" s="405"/>
      <c r="T699" s="405"/>
      <c r="U699" s="405"/>
      <c r="V699" s="405"/>
      <c r="W699" s="405"/>
      <c r="X699" s="405"/>
      <c r="Y699" s="405"/>
      <c r="Z699" s="405"/>
      <c r="AA699" s="405"/>
      <c r="AB699" s="405"/>
      <c r="AC699" s="405"/>
      <c r="AD699" s="405"/>
      <c r="AE699" s="405"/>
      <c r="AF699" s="405"/>
      <c r="AG699" s="405"/>
      <c r="AH699" s="405"/>
      <c r="AI699" s="405"/>
      <c r="AJ699" s="405"/>
      <c r="AK699" s="405"/>
      <c r="AL699" s="405"/>
      <c r="AM699" s="405"/>
      <c r="AN699" s="405"/>
      <c r="AO699" s="405"/>
      <c r="AP699" s="405"/>
      <c r="AQ699" s="405"/>
      <c r="AR699" s="405"/>
      <c r="AS699" s="405"/>
      <c r="AT699" s="405"/>
      <c r="AU699" s="405"/>
      <c r="AV699" s="405"/>
      <c r="AW699" s="405"/>
      <c r="AX699" s="405"/>
      <c r="AY699" s="406"/>
      <c r="AZ699" s="406"/>
      <c r="BA699" s="406"/>
      <c r="BB699" s="406"/>
      <c r="BC699" s="406"/>
      <c r="BD699" s="406"/>
      <c r="BE699" s="405"/>
      <c r="BF699" s="405"/>
      <c r="BG699" s="405"/>
      <c r="BH699" s="405"/>
      <c r="BI699" s="405"/>
      <c r="BJ699" s="405"/>
      <c r="BK699" s="407"/>
      <c r="BL699" s="407"/>
      <c r="BM699" s="407"/>
      <c r="BN699" s="408"/>
      <c r="BO699" s="408"/>
      <c r="BP699" s="408"/>
      <c r="BQ699" s="405"/>
      <c r="BR699" s="405"/>
      <c r="BS699" s="405"/>
      <c r="BT699" s="405"/>
      <c r="BU699" s="405"/>
      <c r="BV699" s="405"/>
      <c r="BW699" s="405"/>
      <c r="BX699" s="405"/>
      <c r="BY699" s="405"/>
      <c r="BZ699" s="401"/>
      <c r="CA699" s="401"/>
      <c r="CB699" s="401"/>
    </row>
    <row r="700" spans="1:80" ht="30" customHeight="1" x14ac:dyDescent="0.2">
      <c r="A700" s="42"/>
      <c r="B700" s="42"/>
      <c r="C700" s="713"/>
      <c r="D700" s="707"/>
      <c r="E700" s="713"/>
      <c r="F700" s="713"/>
      <c r="G700" s="219">
        <v>71</v>
      </c>
      <c r="H700" s="80" t="s">
        <v>898</v>
      </c>
      <c r="I700" s="80"/>
      <c r="J700" s="80"/>
      <c r="K700" s="128"/>
      <c r="L700" s="128"/>
      <c r="M700" s="128"/>
      <c r="N700" s="173"/>
      <c r="O700" s="173"/>
      <c r="P700" s="80"/>
      <c r="Q700" s="80"/>
      <c r="R700" s="267"/>
      <c r="S700" s="267"/>
      <c r="T700" s="267"/>
      <c r="U700" s="267"/>
      <c r="V700" s="267"/>
      <c r="W700" s="267"/>
      <c r="X700" s="267"/>
      <c r="Y700" s="267"/>
      <c r="Z700" s="267"/>
      <c r="AA700" s="267"/>
      <c r="AB700" s="267"/>
      <c r="AC700" s="267"/>
      <c r="AD700" s="267"/>
      <c r="AE700" s="267"/>
      <c r="AF700" s="267"/>
      <c r="AG700" s="267"/>
      <c r="AH700" s="267"/>
      <c r="AI700" s="267"/>
      <c r="AJ700" s="267"/>
      <c r="AK700" s="267"/>
      <c r="AL700" s="267"/>
      <c r="AM700" s="267"/>
      <c r="AN700" s="267"/>
      <c r="AO700" s="267"/>
      <c r="AP700" s="267"/>
      <c r="AQ700" s="267"/>
      <c r="AR700" s="267"/>
      <c r="AS700" s="267"/>
      <c r="AT700" s="267"/>
      <c r="AU700" s="267"/>
      <c r="AV700" s="267"/>
      <c r="AW700" s="267"/>
      <c r="AX700" s="267"/>
      <c r="AY700" s="267"/>
      <c r="AZ700" s="267"/>
      <c r="BA700" s="267"/>
      <c r="BB700" s="267"/>
      <c r="BC700" s="267"/>
      <c r="BD700" s="267"/>
      <c r="BE700" s="267"/>
      <c r="BF700" s="267"/>
      <c r="BG700" s="267"/>
      <c r="BH700" s="267"/>
      <c r="BI700" s="267"/>
      <c r="BJ700" s="267"/>
      <c r="BK700" s="414"/>
      <c r="BL700" s="414"/>
      <c r="BM700" s="414"/>
      <c r="BN700" s="267"/>
      <c r="BO700" s="267"/>
      <c r="BP700" s="267"/>
      <c r="BQ700" s="267"/>
      <c r="BR700" s="267"/>
      <c r="BS700" s="267"/>
      <c r="BT700" s="267"/>
      <c r="BU700" s="267"/>
      <c r="BV700" s="267"/>
      <c r="BW700" s="267"/>
      <c r="BX700" s="267"/>
      <c r="BY700" s="267"/>
      <c r="BZ700" s="508"/>
      <c r="CA700" s="508"/>
      <c r="CB700" s="508"/>
    </row>
    <row r="701" spans="1:80" ht="85.5" customHeight="1" x14ac:dyDescent="0.2">
      <c r="A701" s="42"/>
      <c r="B701" s="42"/>
      <c r="C701" s="883">
        <v>36</v>
      </c>
      <c r="D701" s="883" t="s">
        <v>886</v>
      </c>
      <c r="E701" s="893">
        <v>0.4</v>
      </c>
      <c r="F701" s="894">
        <v>0.6</v>
      </c>
      <c r="G701" s="895"/>
      <c r="H701" s="57">
        <v>206</v>
      </c>
      <c r="I701" s="729" t="s">
        <v>899</v>
      </c>
      <c r="J701" s="44">
        <v>12</v>
      </c>
      <c r="K701" s="45">
        <v>12</v>
      </c>
      <c r="L701" s="45">
        <v>11</v>
      </c>
      <c r="M701" s="884">
        <v>201700360039</v>
      </c>
      <c r="N701" s="44" t="s">
        <v>888</v>
      </c>
      <c r="O701" s="887" t="s">
        <v>900</v>
      </c>
      <c r="P701" s="890" t="s">
        <v>901</v>
      </c>
      <c r="Q701" s="44" t="s">
        <v>52</v>
      </c>
      <c r="R701" s="401">
        <v>0</v>
      </c>
      <c r="S701" s="401"/>
      <c r="T701" s="401"/>
      <c r="U701" s="401">
        <v>0</v>
      </c>
      <c r="V701" s="401"/>
      <c r="W701" s="401"/>
      <c r="X701" s="401">
        <v>0</v>
      </c>
      <c r="Y701" s="401"/>
      <c r="Z701" s="401"/>
      <c r="AA701" s="401">
        <v>0</v>
      </c>
      <c r="AB701" s="401"/>
      <c r="AC701" s="401"/>
      <c r="AD701" s="401">
        <v>0</v>
      </c>
      <c r="AE701" s="401"/>
      <c r="AF701" s="401"/>
      <c r="AG701" s="401">
        <v>0</v>
      </c>
      <c r="AH701" s="401"/>
      <c r="AI701" s="401"/>
      <c r="AJ701" s="401">
        <v>0</v>
      </c>
      <c r="AK701" s="401"/>
      <c r="AL701" s="401"/>
      <c r="AM701" s="401"/>
      <c r="AN701" s="401"/>
      <c r="AO701" s="401"/>
      <c r="AP701" s="401"/>
      <c r="AQ701" s="401"/>
      <c r="AR701" s="401"/>
      <c r="AS701" s="401">
        <v>0</v>
      </c>
      <c r="AT701" s="455"/>
      <c r="AU701" s="455"/>
      <c r="AV701" s="401">
        <v>0</v>
      </c>
      <c r="AW701" s="401"/>
      <c r="AX701" s="401"/>
      <c r="AY701" s="401"/>
      <c r="AZ701" s="401"/>
      <c r="BA701" s="401"/>
      <c r="BB701" s="401"/>
      <c r="BC701" s="401"/>
      <c r="BD701" s="401"/>
      <c r="BE701" s="401">
        <v>0</v>
      </c>
      <c r="BF701" s="401"/>
      <c r="BG701" s="401"/>
      <c r="BH701" s="401">
        <v>0</v>
      </c>
      <c r="BI701" s="401"/>
      <c r="BJ701" s="401"/>
      <c r="BK701" s="366"/>
      <c r="BL701" s="366"/>
      <c r="BM701" s="366"/>
      <c r="BN701" s="12">
        <f>60000000+15000000</f>
        <v>75000000</v>
      </c>
      <c r="BO701" s="366">
        <v>37275000</v>
      </c>
      <c r="BP701" s="366">
        <v>30375000</v>
      </c>
      <c r="BQ701" s="401">
        <v>0</v>
      </c>
      <c r="BR701" s="403"/>
      <c r="BS701" s="403"/>
      <c r="BT701" s="403"/>
      <c r="BU701" s="403"/>
      <c r="BV701" s="403"/>
      <c r="BW701" s="403">
        <v>0</v>
      </c>
      <c r="BX701" s="403"/>
      <c r="BY701" s="403"/>
      <c r="BZ701" s="401">
        <f t="shared" ref="BZ701:CB703" si="321">R701+U701+X701+AA701+AD701+AG701+AJ701+AM701+AP701+AS701+AV701+AY701+BB701+BE701+BH701+BK701+BN701+BQ701+BT701+BW701</f>
        <v>75000000</v>
      </c>
      <c r="CA701" s="401">
        <f t="shared" si="321"/>
        <v>37275000</v>
      </c>
      <c r="CB701" s="401">
        <f t="shared" si="321"/>
        <v>30375000</v>
      </c>
    </row>
    <row r="702" spans="1:80" ht="85.5" customHeight="1" x14ac:dyDescent="0.2">
      <c r="A702" s="42"/>
      <c r="B702" s="42"/>
      <c r="C702" s="883"/>
      <c r="D702" s="883"/>
      <c r="E702" s="893"/>
      <c r="F702" s="894"/>
      <c r="G702" s="883"/>
      <c r="H702" s="57">
        <v>207</v>
      </c>
      <c r="I702" s="729" t="s">
        <v>902</v>
      </c>
      <c r="J702" s="44">
        <v>4</v>
      </c>
      <c r="K702" s="45">
        <v>1</v>
      </c>
      <c r="L702" s="112">
        <v>0.9</v>
      </c>
      <c r="M702" s="885"/>
      <c r="N702" s="44" t="s">
        <v>888</v>
      </c>
      <c r="O702" s="888"/>
      <c r="P702" s="891"/>
      <c r="Q702" s="44" t="s">
        <v>67</v>
      </c>
      <c r="R702" s="401">
        <v>0</v>
      </c>
      <c r="S702" s="401"/>
      <c r="T702" s="401"/>
      <c r="U702" s="401">
        <v>0</v>
      </c>
      <c r="V702" s="401"/>
      <c r="W702" s="401"/>
      <c r="X702" s="401">
        <v>0</v>
      </c>
      <c r="Y702" s="401"/>
      <c r="Z702" s="401"/>
      <c r="AA702" s="401">
        <v>0</v>
      </c>
      <c r="AB702" s="401"/>
      <c r="AC702" s="401"/>
      <c r="AD702" s="401">
        <v>0</v>
      </c>
      <c r="AE702" s="401"/>
      <c r="AF702" s="401"/>
      <c r="AG702" s="401">
        <v>0</v>
      </c>
      <c r="AH702" s="401"/>
      <c r="AI702" s="401"/>
      <c r="AJ702" s="401">
        <v>0</v>
      </c>
      <c r="AK702" s="401"/>
      <c r="AL702" s="401"/>
      <c r="AM702" s="401"/>
      <c r="AN702" s="401"/>
      <c r="AO702" s="401"/>
      <c r="AP702" s="401"/>
      <c r="AQ702" s="401"/>
      <c r="AR702" s="401"/>
      <c r="AS702" s="401">
        <v>0</v>
      </c>
      <c r="AT702" s="401"/>
      <c r="AU702" s="401"/>
      <c r="AV702" s="401">
        <v>0</v>
      </c>
      <c r="AW702" s="401"/>
      <c r="AX702" s="401"/>
      <c r="AY702" s="401"/>
      <c r="AZ702" s="401"/>
      <c r="BA702" s="401"/>
      <c r="BB702" s="401"/>
      <c r="BC702" s="401"/>
      <c r="BD702" s="401"/>
      <c r="BE702" s="401">
        <v>0</v>
      </c>
      <c r="BF702" s="401"/>
      <c r="BG702" s="401"/>
      <c r="BH702" s="401">
        <v>0</v>
      </c>
      <c r="BI702" s="401"/>
      <c r="BJ702" s="401"/>
      <c r="BK702" s="12"/>
      <c r="BL702" s="366"/>
      <c r="BM702" s="366"/>
      <c r="BN702" s="677">
        <f>100000000+215000000+318766352</f>
        <v>633766352</v>
      </c>
      <c r="BO702" s="366">
        <v>305406059</v>
      </c>
      <c r="BP702" s="366">
        <v>183042558</v>
      </c>
      <c r="BQ702" s="574">
        <f>9101228+9792581+7266530+113181+5954640</f>
        <v>32228160</v>
      </c>
      <c r="BR702" s="403">
        <v>32228160</v>
      </c>
      <c r="BS702" s="403">
        <v>24228160</v>
      </c>
      <c r="BT702" s="403"/>
      <c r="BU702" s="403"/>
      <c r="BV702" s="403"/>
      <c r="BW702" s="403">
        <v>0</v>
      </c>
      <c r="BX702" s="403"/>
      <c r="BY702" s="403"/>
      <c r="BZ702" s="401">
        <f>R702+U702+X702+AA702+AD702+AG702+AJ702+AM702+AP702+AS702+AV702+AY702+BB702+BE702+BH702+BK702+BN702+BQ702+BT702+BW702</f>
        <v>665994512</v>
      </c>
      <c r="CA702" s="401">
        <f t="shared" si="321"/>
        <v>337634219</v>
      </c>
      <c r="CB702" s="401">
        <f t="shared" si="321"/>
        <v>207270718</v>
      </c>
    </row>
    <row r="703" spans="1:80" ht="85.5" customHeight="1" x14ac:dyDescent="0.2">
      <c r="A703" s="42"/>
      <c r="B703" s="42"/>
      <c r="C703" s="883"/>
      <c r="D703" s="883"/>
      <c r="E703" s="893"/>
      <c r="F703" s="894"/>
      <c r="G703" s="898"/>
      <c r="H703" s="57">
        <v>208</v>
      </c>
      <c r="I703" s="729" t="s">
        <v>903</v>
      </c>
      <c r="J703" s="44">
        <v>1</v>
      </c>
      <c r="K703" s="45">
        <v>1</v>
      </c>
      <c r="L703" s="45">
        <v>1</v>
      </c>
      <c r="M703" s="886"/>
      <c r="N703" s="44" t="s">
        <v>888</v>
      </c>
      <c r="O703" s="889"/>
      <c r="P703" s="892"/>
      <c r="Q703" s="44" t="s">
        <v>52</v>
      </c>
      <c r="R703" s="401">
        <v>0</v>
      </c>
      <c r="S703" s="401"/>
      <c r="T703" s="401"/>
      <c r="U703" s="401">
        <v>0</v>
      </c>
      <c r="V703" s="401"/>
      <c r="W703" s="401"/>
      <c r="X703" s="401">
        <v>0</v>
      </c>
      <c r="Y703" s="401"/>
      <c r="Z703" s="401"/>
      <c r="AA703" s="401">
        <v>0</v>
      </c>
      <c r="AB703" s="401"/>
      <c r="AC703" s="401"/>
      <c r="AD703" s="401">
        <v>0</v>
      </c>
      <c r="AE703" s="401"/>
      <c r="AF703" s="401"/>
      <c r="AG703" s="401">
        <v>0</v>
      </c>
      <c r="AH703" s="401"/>
      <c r="AI703" s="401"/>
      <c r="AJ703" s="401">
        <v>0</v>
      </c>
      <c r="AK703" s="401"/>
      <c r="AL703" s="401"/>
      <c r="AM703" s="401"/>
      <c r="AN703" s="401"/>
      <c r="AO703" s="401"/>
      <c r="AP703" s="401"/>
      <c r="AQ703" s="401"/>
      <c r="AR703" s="401"/>
      <c r="AS703" s="401">
        <v>0</v>
      </c>
      <c r="AT703" s="401"/>
      <c r="AU703" s="401"/>
      <c r="AV703" s="401">
        <v>0</v>
      </c>
      <c r="AW703" s="401"/>
      <c r="AX703" s="401"/>
      <c r="AY703" s="401"/>
      <c r="AZ703" s="401"/>
      <c r="BA703" s="401"/>
      <c r="BB703" s="401"/>
      <c r="BC703" s="401"/>
      <c r="BD703" s="401"/>
      <c r="BE703" s="401">
        <v>0</v>
      </c>
      <c r="BF703" s="401"/>
      <c r="BG703" s="401"/>
      <c r="BH703" s="401">
        <v>0</v>
      </c>
      <c r="BI703" s="401"/>
      <c r="BJ703" s="401"/>
      <c r="BK703" s="366">
        <v>20000000</v>
      </c>
      <c r="BL703" s="366">
        <v>12300000</v>
      </c>
      <c r="BM703" s="366">
        <v>12300000</v>
      </c>
      <c r="BN703" s="12">
        <f>25000000+70000000</f>
        <v>95000000</v>
      </c>
      <c r="BO703" s="366">
        <v>83100000</v>
      </c>
      <c r="BP703" s="366">
        <v>12939557</v>
      </c>
      <c r="BQ703" s="401">
        <v>0</v>
      </c>
      <c r="BR703" s="403"/>
      <c r="BS703" s="403"/>
      <c r="BT703" s="403"/>
      <c r="BU703" s="403"/>
      <c r="BV703" s="403"/>
      <c r="BW703" s="403">
        <v>0</v>
      </c>
      <c r="BX703" s="403"/>
      <c r="BY703" s="403"/>
      <c r="BZ703" s="401">
        <f t="shared" si="321"/>
        <v>115000000</v>
      </c>
      <c r="CA703" s="401">
        <f t="shared" si="321"/>
        <v>95400000</v>
      </c>
      <c r="CB703" s="401">
        <f t="shared" si="321"/>
        <v>25239557</v>
      </c>
    </row>
    <row r="704" spans="1:80" ht="30" customHeight="1" x14ac:dyDescent="0.2">
      <c r="A704" s="42"/>
      <c r="B704" s="55"/>
      <c r="C704" s="714"/>
      <c r="D704" s="709"/>
      <c r="E704" s="714"/>
      <c r="F704" s="714"/>
      <c r="G704" s="58"/>
      <c r="H704" s="59"/>
      <c r="I704" s="58"/>
      <c r="J704" s="60"/>
      <c r="K704" s="113"/>
      <c r="L704" s="113"/>
      <c r="M704" s="113"/>
      <c r="N704" s="60"/>
      <c r="O704" s="60"/>
      <c r="P704" s="188"/>
      <c r="Q704" s="60"/>
      <c r="R704" s="410">
        <f t="shared" ref="R704:BK704" si="322">SUM(R701:R703)</f>
        <v>0</v>
      </c>
      <c r="S704" s="410"/>
      <c r="T704" s="410"/>
      <c r="U704" s="410">
        <f t="shared" si="322"/>
        <v>0</v>
      </c>
      <c r="V704" s="410"/>
      <c r="W704" s="410"/>
      <c r="X704" s="410">
        <f t="shared" si="322"/>
        <v>0</v>
      </c>
      <c r="Y704" s="410"/>
      <c r="Z704" s="410"/>
      <c r="AA704" s="410">
        <f t="shared" si="322"/>
        <v>0</v>
      </c>
      <c r="AB704" s="410"/>
      <c r="AC704" s="410"/>
      <c r="AD704" s="410">
        <f t="shared" si="322"/>
        <v>0</v>
      </c>
      <c r="AE704" s="410"/>
      <c r="AF704" s="410"/>
      <c r="AG704" s="410">
        <f t="shared" si="322"/>
        <v>0</v>
      </c>
      <c r="AH704" s="410"/>
      <c r="AI704" s="410"/>
      <c r="AJ704" s="410">
        <f t="shared" si="322"/>
        <v>0</v>
      </c>
      <c r="AK704" s="410"/>
      <c r="AL704" s="410"/>
      <c r="AM704" s="410"/>
      <c r="AN704" s="410"/>
      <c r="AO704" s="410"/>
      <c r="AP704" s="410"/>
      <c r="AQ704" s="410"/>
      <c r="AR704" s="410"/>
      <c r="AS704" s="410">
        <f t="shared" si="322"/>
        <v>0</v>
      </c>
      <c r="AT704" s="410"/>
      <c r="AU704" s="410"/>
      <c r="AV704" s="410">
        <f t="shared" si="322"/>
        <v>0</v>
      </c>
      <c r="AW704" s="410"/>
      <c r="AX704" s="410"/>
      <c r="AY704" s="410">
        <f t="shared" si="322"/>
        <v>0</v>
      </c>
      <c r="AZ704" s="410"/>
      <c r="BA704" s="410"/>
      <c r="BB704" s="410">
        <f t="shared" si="322"/>
        <v>0</v>
      </c>
      <c r="BC704" s="410"/>
      <c r="BD704" s="410"/>
      <c r="BE704" s="410">
        <f t="shared" si="322"/>
        <v>0</v>
      </c>
      <c r="BF704" s="410"/>
      <c r="BG704" s="410"/>
      <c r="BH704" s="410">
        <f t="shared" si="322"/>
        <v>0</v>
      </c>
      <c r="BI704" s="410"/>
      <c r="BJ704" s="410"/>
      <c r="BK704" s="476">
        <f t="shared" si="322"/>
        <v>20000000</v>
      </c>
      <c r="BL704" s="476">
        <f t="shared" ref="BL704:BM704" si="323">SUM(BL701:BL703)</f>
        <v>12300000</v>
      </c>
      <c r="BM704" s="476">
        <f t="shared" si="323"/>
        <v>12300000</v>
      </c>
      <c r="BN704" s="410">
        <f>SUM(BN701:BN703)</f>
        <v>803766352</v>
      </c>
      <c r="BO704" s="410">
        <f t="shared" ref="BO704:BP704" si="324">SUM(BO701:BO703)</f>
        <v>425781059</v>
      </c>
      <c r="BP704" s="410">
        <f t="shared" si="324"/>
        <v>226357115</v>
      </c>
      <c r="BQ704" s="410">
        <f>SUM(BQ701:BQ703)</f>
        <v>32228160</v>
      </c>
      <c r="BR704" s="410">
        <f t="shared" ref="BR704:BS704" si="325">SUM(BR701:BR703)</f>
        <v>32228160</v>
      </c>
      <c r="BS704" s="410">
        <f t="shared" si="325"/>
        <v>24228160</v>
      </c>
      <c r="BT704" s="410">
        <f t="shared" ref="BT704:BW704" si="326">SUM(BT701:BT703)</f>
        <v>0</v>
      </c>
      <c r="BU704" s="410"/>
      <c r="BV704" s="410"/>
      <c r="BW704" s="410">
        <f t="shared" si="326"/>
        <v>0</v>
      </c>
      <c r="BX704" s="410">
        <f t="shared" ref="BX704:BY704" si="327">SUM(BX701:BX703)</f>
        <v>0</v>
      </c>
      <c r="BY704" s="410">
        <f t="shared" si="327"/>
        <v>0</v>
      </c>
      <c r="BZ704" s="410">
        <f>SUM(BZ701:BZ703)</f>
        <v>855994512</v>
      </c>
      <c r="CA704" s="410">
        <f>SUM(CA701:CA703)</f>
        <v>470309219</v>
      </c>
      <c r="CB704" s="410">
        <f t="shared" ref="CB704" si="328">SUM(CB701:CB703)</f>
        <v>262885275</v>
      </c>
    </row>
    <row r="705" spans="1:80" ht="30" customHeight="1" x14ac:dyDescent="0.2">
      <c r="A705" s="42"/>
      <c r="B705" s="258"/>
      <c r="C705" s="99"/>
      <c r="D705" s="62"/>
      <c r="E705" s="63"/>
      <c r="F705" s="63"/>
      <c r="G705" s="62"/>
      <c r="H705" s="63"/>
      <c r="I705" s="62"/>
      <c r="J705" s="64"/>
      <c r="K705" s="115"/>
      <c r="L705" s="115"/>
      <c r="M705" s="115"/>
      <c r="N705" s="64"/>
      <c r="O705" s="64"/>
      <c r="P705" s="343"/>
      <c r="Q705" s="64"/>
      <c r="R705" s="416">
        <f t="shared" ref="R705:AJ705" si="329">R704+R698+R694+R690</f>
        <v>0</v>
      </c>
      <c r="S705" s="416"/>
      <c r="T705" s="416"/>
      <c r="U705" s="416">
        <f t="shared" si="329"/>
        <v>0</v>
      </c>
      <c r="V705" s="416"/>
      <c r="W705" s="416"/>
      <c r="X705" s="416">
        <f t="shared" si="329"/>
        <v>0</v>
      </c>
      <c r="Y705" s="416"/>
      <c r="Z705" s="416"/>
      <c r="AA705" s="416">
        <f t="shared" si="329"/>
        <v>0</v>
      </c>
      <c r="AB705" s="416"/>
      <c r="AC705" s="416"/>
      <c r="AD705" s="416">
        <f t="shared" si="329"/>
        <v>0</v>
      </c>
      <c r="AE705" s="416"/>
      <c r="AF705" s="416"/>
      <c r="AG705" s="416">
        <f t="shared" si="329"/>
        <v>0</v>
      </c>
      <c r="AH705" s="416"/>
      <c r="AI705" s="416"/>
      <c r="AJ705" s="416">
        <f t="shared" si="329"/>
        <v>0</v>
      </c>
      <c r="AK705" s="416"/>
      <c r="AL705" s="416"/>
      <c r="AM705" s="416"/>
      <c r="AN705" s="416"/>
      <c r="AO705" s="416"/>
      <c r="AP705" s="416"/>
      <c r="AQ705" s="416"/>
      <c r="AR705" s="416"/>
      <c r="AS705" s="416">
        <f t="shared" ref="AS705:BB705" si="330">AS704+AS698+AS694+AS690</f>
        <v>0</v>
      </c>
      <c r="AT705" s="416"/>
      <c r="AU705" s="416"/>
      <c r="AV705" s="416">
        <f t="shared" si="330"/>
        <v>0</v>
      </c>
      <c r="AW705" s="416"/>
      <c r="AX705" s="416"/>
      <c r="AY705" s="416">
        <f t="shared" si="330"/>
        <v>0</v>
      </c>
      <c r="AZ705" s="416"/>
      <c r="BA705" s="416"/>
      <c r="BB705" s="416">
        <f t="shared" si="330"/>
        <v>0</v>
      </c>
      <c r="BC705" s="416"/>
      <c r="BD705" s="416"/>
      <c r="BE705" s="416">
        <f t="shared" ref="BE705:CB705" si="331">BE704+BE698+BE694+BE690</f>
        <v>0</v>
      </c>
      <c r="BF705" s="416"/>
      <c r="BG705" s="416"/>
      <c r="BH705" s="416">
        <f t="shared" si="331"/>
        <v>0</v>
      </c>
      <c r="BI705" s="416"/>
      <c r="BJ705" s="416"/>
      <c r="BK705" s="477">
        <f t="shared" si="331"/>
        <v>709774677</v>
      </c>
      <c r="BL705" s="477">
        <f t="shared" ref="BL705:BM705" si="332">BL704+BL698+BL694+BL690</f>
        <v>578690400</v>
      </c>
      <c r="BM705" s="477">
        <f t="shared" si="332"/>
        <v>483790000</v>
      </c>
      <c r="BN705" s="416">
        <f t="shared" si="331"/>
        <v>1937246094</v>
      </c>
      <c r="BO705" s="416">
        <f t="shared" ref="BO705:BP705" si="333">BO704+BO698+BO694+BO690</f>
        <v>1413973687</v>
      </c>
      <c r="BP705" s="416">
        <f t="shared" si="333"/>
        <v>746956681</v>
      </c>
      <c r="BQ705" s="416">
        <f t="shared" si="331"/>
        <v>32228160</v>
      </c>
      <c r="BR705" s="416">
        <f t="shared" ref="BR705:BS705" si="334">BR704+BR698+BR694+BR690</f>
        <v>32228160</v>
      </c>
      <c r="BS705" s="416">
        <f t="shared" si="334"/>
        <v>24228160</v>
      </c>
      <c r="BT705" s="416">
        <f t="shared" si="331"/>
        <v>0</v>
      </c>
      <c r="BU705" s="416"/>
      <c r="BV705" s="416"/>
      <c r="BW705" s="416">
        <f t="shared" si="331"/>
        <v>109227642</v>
      </c>
      <c r="BX705" s="416">
        <f t="shared" ref="BX705:BY705" si="335">BX704+BX698+BX694+BX690</f>
        <v>98737642</v>
      </c>
      <c r="BY705" s="416">
        <f t="shared" si="335"/>
        <v>90484572</v>
      </c>
      <c r="BZ705" s="416">
        <f t="shared" si="331"/>
        <v>2788476573</v>
      </c>
      <c r="CA705" s="416">
        <f t="shared" si="331"/>
        <v>2123629889</v>
      </c>
      <c r="CB705" s="416">
        <f t="shared" si="331"/>
        <v>1345459413</v>
      </c>
    </row>
    <row r="706" spans="1:80" ht="30" customHeight="1" x14ac:dyDescent="0.2">
      <c r="A706" s="42"/>
      <c r="B706" s="72"/>
      <c r="C706" s="150"/>
      <c r="D706" s="72"/>
      <c r="E706" s="150"/>
      <c r="F706" s="150"/>
      <c r="G706" s="72"/>
      <c r="H706" s="150"/>
      <c r="I706" s="72"/>
      <c r="J706" s="150"/>
      <c r="K706" s="151"/>
      <c r="L706" s="265"/>
      <c r="M706" s="265"/>
      <c r="N706" s="400"/>
      <c r="O706" s="400"/>
      <c r="P706" s="101"/>
      <c r="Q706" s="150"/>
      <c r="R706" s="405"/>
      <c r="S706" s="405"/>
      <c r="T706" s="405"/>
      <c r="U706" s="405"/>
      <c r="V706" s="405"/>
      <c r="W706" s="405"/>
      <c r="X706" s="405"/>
      <c r="Y706" s="405"/>
      <c r="Z706" s="405"/>
      <c r="AA706" s="405"/>
      <c r="AB706" s="405"/>
      <c r="AC706" s="405"/>
      <c r="AD706" s="405"/>
      <c r="AE706" s="405"/>
      <c r="AF706" s="405"/>
      <c r="AG706" s="405"/>
      <c r="AH706" s="405"/>
      <c r="AI706" s="405"/>
      <c r="AJ706" s="405"/>
      <c r="AK706" s="405"/>
      <c r="AL706" s="405"/>
      <c r="AM706" s="405"/>
      <c r="AN706" s="405"/>
      <c r="AO706" s="405"/>
      <c r="AP706" s="405"/>
      <c r="AQ706" s="405"/>
      <c r="AR706" s="405"/>
      <c r="AS706" s="405"/>
      <c r="AT706" s="405"/>
      <c r="AU706" s="405"/>
      <c r="AV706" s="405"/>
      <c r="AW706" s="405"/>
      <c r="AX706" s="405"/>
      <c r="AY706" s="406"/>
      <c r="AZ706" s="406"/>
      <c r="BA706" s="406"/>
      <c r="BB706" s="406"/>
      <c r="BC706" s="406"/>
      <c r="BD706" s="406"/>
      <c r="BE706" s="405"/>
      <c r="BF706" s="405"/>
      <c r="BG706" s="405"/>
      <c r="BH706" s="405"/>
      <c r="BI706" s="405"/>
      <c r="BJ706" s="405"/>
      <c r="BK706" s="407"/>
      <c r="BL706" s="407"/>
      <c r="BM706" s="407"/>
      <c r="BN706" s="405"/>
      <c r="BO706" s="405"/>
      <c r="BP706" s="405"/>
      <c r="BQ706" s="405"/>
      <c r="BR706" s="405"/>
      <c r="BS706" s="405"/>
      <c r="BT706" s="405"/>
      <c r="BU706" s="405"/>
      <c r="BV706" s="405"/>
      <c r="BW706" s="405"/>
      <c r="BX706" s="405"/>
      <c r="BY706" s="405"/>
      <c r="BZ706" s="401"/>
      <c r="CA706" s="401"/>
      <c r="CB706" s="401"/>
    </row>
    <row r="707" spans="1:80" ht="30" customHeight="1" x14ac:dyDescent="0.2">
      <c r="A707" s="42"/>
      <c r="B707" s="125">
        <v>21</v>
      </c>
      <c r="C707" s="38" t="s">
        <v>904</v>
      </c>
      <c r="D707" s="39"/>
      <c r="E707" s="39"/>
      <c r="F707" s="39"/>
      <c r="G707" s="39"/>
      <c r="H707" s="40"/>
      <c r="I707" s="39"/>
      <c r="J707" s="39"/>
      <c r="K707" s="126"/>
      <c r="L707" s="126"/>
      <c r="M707" s="126"/>
      <c r="N707" s="40"/>
      <c r="O707" s="40"/>
      <c r="P707" s="39"/>
      <c r="Q707" s="39"/>
      <c r="R707" s="412"/>
      <c r="S707" s="412"/>
      <c r="T707" s="412"/>
      <c r="U707" s="412"/>
      <c r="V707" s="412"/>
      <c r="W707" s="412"/>
      <c r="X707" s="412"/>
      <c r="Y707" s="412"/>
      <c r="Z707" s="412"/>
      <c r="AA707" s="412"/>
      <c r="AB707" s="412"/>
      <c r="AC707" s="412"/>
      <c r="AD707" s="412"/>
      <c r="AE707" s="412"/>
      <c r="AF707" s="412"/>
      <c r="AG707" s="412"/>
      <c r="AH707" s="412"/>
      <c r="AI707" s="412"/>
      <c r="AJ707" s="412"/>
      <c r="AK707" s="412"/>
      <c r="AL707" s="412"/>
      <c r="AM707" s="412"/>
      <c r="AN707" s="412"/>
      <c r="AO707" s="412"/>
      <c r="AP707" s="412"/>
      <c r="AQ707" s="412"/>
      <c r="AR707" s="412"/>
      <c r="AS707" s="412"/>
      <c r="AT707" s="412"/>
      <c r="AU707" s="412"/>
      <c r="AV707" s="412"/>
      <c r="AW707" s="412"/>
      <c r="AX707" s="412"/>
      <c r="AY707" s="412"/>
      <c r="AZ707" s="412"/>
      <c r="BA707" s="412"/>
      <c r="BB707" s="412"/>
      <c r="BC707" s="412"/>
      <c r="BD707" s="412"/>
      <c r="BE707" s="412"/>
      <c r="BF707" s="412"/>
      <c r="BG707" s="412"/>
      <c r="BH707" s="412"/>
      <c r="BI707" s="412"/>
      <c r="BJ707" s="412"/>
      <c r="BK707" s="413"/>
      <c r="BL707" s="413"/>
      <c r="BM707" s="413"/>
      <c r="BN707" s="412"/>
      <c r="BO707" s="412"/>
      <c r="BP707" s="412"/>
      <c r="BQ707" s="412"/>
      <c r="BR707" s="412"/>
      <c r="BS707" s="412"/>
      <c r="BT707" s="412"/>
      <c r="BU707" s="412"/>
      <c r="BV707" s="412"/>
      <c r="BW707" s="412"/>
      <c r="BX707" s="412"/>
      <c r="BY707" s="412"/>
      <c r="BZ707" s="509"/>
      <c r="CA707" s="509"/>
      <c r="CB707" s="509"/>
    </row>
    <row r="708" spans="1:80" ht="30" customHeight="1" x14ac:dyDescent="0.2">
      <c r="A708" s="42"/>
      <c r="B708" s="870"/>
      <c r="C708" s="713"/>
      <c r="D708" s="707"/>
      <c r="E708" s="713"/>
      <c r="F708" s="713"/>
      <c r="G708" s="219">
        <v>72</v>
      </c>
      <c r="H708" s="80" t="s">
        <v>905</v>
      </c>
      <c r="I708" s="80"/>
      <c r="J708" s="80"/>
      <c r="K708" s="128"/>
      <c r="L708" s="128"/>
      <c r="M708" s="128"/>
      <c r="N708" s="173"/>
      <c r="O708" s="173"/>
      <c r="P708" s="80"/>
      <c r="Q708" s="80"/>
      <c r="R708" s="267"/>
      <c r="S708" s="267"/>
      <c r="T708" s="267"/>
      <c r="U708" s="267"/>
      <c r="V708" s="267"/>
      <c r="W708" s="267"/>
      <c r="X708" s="267"/>
      <c r="Y708" s="267"/>
      <c r="Z708" s="267"/>
      <c r="AA708" s="267"/>
      <c r="AB708" s="267"/>
      <c r="AC708" s="267"/>
      <c r="AD708" s="267"/>
      <c r="AE708" s="267"/>
      <c r="AF708" s="267"/>
      <c r="AG708" s="267"/>
      <c r="AH708" s="267"/>
      <c r="AI708" s="267"/>
      <c r="AJ708" s="267"/>
      <c r="AK708" s="267"/>
      <c r="AL708" s="267"/>
      <c r="AM708" s="267"/>
      <c r="AN708" s="267"/>
      <c r="AO708" s="267"/>
      <c r="AP708" s="267"/>
      <c r="AQ708" s="267"/>
      <c r="AR708" s="267"/>
      <c r="AS708" s="267"/>
      <c r="AT708" s="267"/>
      <c r="AU708" s="267"/>
      <c r="AV708" s="267"/>
      <c r="AW708" s="267"/>
      <c r="AX708" s="267"/>
      <c r="AY708" s="267"/>
      <c r="AZ708" s="267"/>
      <c r="BA708" s="267"/>
      <c r="BB708" s="267"/>
      <c r="BC708" s="267"/>
      <c r="BD708" s="267"/>
      <c r="BE708" s="267"/>
      <c r="BF708" s="267"/>
      <c r="BG708" s="267"/>
      <c r="BH708" s="267"/>
      <c r="BI708" s="267"/>
      <c r="BJ708" s="267"/>
      <c r="BK708" s="414"/>
      <c r="BL708" s="414"/>
      <c r="BM708" s="414"/>
      <c r="BN708" s="267"/>
      <c r="BO708" s="267"/>
      <c r="BP708" s="267"/>
      <c r="BQ708" s="267"/>
      <c r="BR708" s="267"/>
      <c r="BS708" s="267"/>
      <c r="BT708" s="267"/>
      <c r="BU708" s="267"/>
      <c r="BV708" s="267"/>
      <c r="BW708" s="267"/>
      <c r="BX708" s="267"/>
      <c r="BY708" s="267"/>
      <c r="BZ708" s="508"/>
      <c r="CA708" s="508"/>
      <c r="CB708" s="508"/>
    </row>
    <row r="709" spans="1:80" ht="54" customHeight="1" x14ac:dyDescent="0.2">
      <c r="A709" s="42"/>
      <c r="B709" s="870"/>
      <c r="C709" s="883">
        <v>36</v>
      </c>
      <c r="D709" s="891" t="s">
        <v>886</v>
      </c>
      <c r="E709" s="893">
        <v>0.4</v>
      </c>
      <c r="F709" s="894">
        <v>0.6</v>
      </c>
      <c r="G709" s="895" t="s">
        <v>453</v>
      </c>
      <c r="H709" s="57">
        <v>209</v>
      </c>
      <c r="I709" s="729" t="s">
        <v>906</v>
      </c>
      <c r="J709" s="44">
        <v>1</v>
      </c>
      <c r="K709" s="45">
        <v>1</v>
      </c>
      <c r="L709" s="112">
        <v>0.8</v>
      </c>
      <c r="M709" s="884">
        <v>201700360040</v>
      </c>
      <c r="N709" s="44" t="s">
        <v>888</v>
      </c>
      <c r="O709" s="887" t="s">
        <v>907</v>
      </c>
      <c r="P709" s="890" t="s">
        <v>908</v>
      </c>
      <c r="Q709" s="44" t="s">
        <v>52</v>
      </c>
      <c r="R709" s="401">
        <v>0</v>
      </c>
      <c r="S709" s="401"/>
      <c r="T709" s="401"/>
      <c r="U709" s="401">
        <v>0</v>
      </c>
      <c r="V709" s="401"/>
      <c r="W709" s="401"/>
      <c r="X709" s="401">
        <v>0</v>
      </c>
      <c r="Y709" s="401"/>
      <c r="Z709" s="401"/>
      <c r="AA709" s="401">
        <v>0</v>
      </c>
      <c r="AB709" s="401"/>
      <c r="AC709" s="401"/>
      <c r="AD709" s="401">
        <v>0</v>
      </c>
      <c r="AE709" s="401"/>
      <c r="AF709" s="401"/>
      <c r="AG709" s="401">
        <v>0</v>
      </c>
      <c r="AH709" s="401"/>
      <c r="AI709" s="401"/>
      <c r="AJ709" s="401">
        <v>0</v>
      </c>
      <c r="AK709" s="401"/>
      <c r="AL709" s="401"/>
      <c r="AM709" s="401"/>
      <c r="AN709" s="401"/>
      <c r="AO709" s="401"/>
      <c r="AP709" s="401"/>
      <c r="AQ709" s="401"/>
      <c r="AR709" s="401"/>
      <c r="AS709" s="401">
        <v>0</v>
      </c>
      <c r="AT709" s="401"/>
      <c r="AU709" s="401"/>
      <c r="AV709" s="401">
        <v>0</v>
      </c>
      <c r="AW709" s="401"/>
      <c r="AX709" s="401"/>
      <c r="AY709" s="401"/>
      <c r="AZ709" s="401"/>
      <c r="BA709" s="401"/>
      <c r="BB709" s="401"/>
      <c r="BC709" s="401"/>
      <c r="BD709" s="401"/>
      <c r="BE709" s="401">
        <v>0</v>
      </c>
      <c r="BF709" s="401"/>
      <c r="BG709" s="401"/>
      <c r="BH709" s="401"/>
      <c r="BI709" s="401"/>
      <c r="BJ709" s="401"/>
      <c r="BK709" s="11">
        <v>30000000</v>
      </c>
      <c r="BL709" s="402">
        <v>27350000</v>
      </c>
      <c r="BM709" s="402"/>
      <c r="BN709" s="455">
        <v>29100000</v>
      </c>
      <c r="BO709" s="455">
        <v>18000000</v>
      </c>
      <c r="BP709" s="455">
        <v>15503046</v>
      </c>
      <c r="BQ709" s="401">
        <v>0</v>
      </c>
      <c r="BR709" s="403"/>
      <c r="BS709" s="403"/>
      <c r="BT709" s="403"/>
      <c r="BU709" s="403"/>
      <c r="BV709" s="403"/>
      <c r="BW709" s="512">
        <f>30772358</f>
        <v>30772358</v>
      </c>
      <c r="BX709" s="512"/>
      <c r="BY709" s="512"/>
      <c r="BZ709" s="401">
        <f t="shared" ref="BZ709:CB711" si="336">R709+U709+X709+AA709+AD709+AG709+AJ709+AM709+AP709+AS709+AV709+AY709+BB709+BE709+BH709+BK709+BN709+BQ709+BT709+BW709</f>
        <v>89872358</v>
      </c>
      <c r="CA709" s="401">
        <f t="shared" si="336"/>
        <v>45350000</v>
      </c>
      <c r="CB709" s="401">
        <f t="shared" si="336"/>
        <v>15503046</v>
      </c>
    </row>
    <row r="710" spans="1:80" ht="50.25" customHeight="1" x14ac:dyDescent="0.2">
      <c r="A710" s="42"/>
      <c r="B710" s="870"/>
      <c r="C710" s="883"/>
      <c r="D710" s="891"/>
      <c r="E710" s="893"/>
      <c r="F710" s="894"/>
      <c r="G710" s="883"/>
      <c r="H710" s="713">
        <v>210</v>
      </c>
      <c r="I710" s="707" t="s">
        <v>909</v>
      </c>
      <c r="J710" s="713">
        <v>1</v>
      </c>
      <c r="K710" s="717">
        <v>1</v>
      </c>
      <c r="L710" s="541">
        <v>0.85</v>
      </c>
      <c r="M710" s="885"/>
      <c r="N710" s="855" t="s">
        <v>888</v>
      </c>
      <c r="O710" s="888"/>
      <c r="P710" s="891"/>
      <c r="Q710" s="704" t="s">
        <v>52</v>
      </c>
      <c r="R710" s="440">
        <v>0</v>
      </c>
      <c r="S710" s="440"/>
      <c r="T710" s="440"/>
      <c r="U710" s="440">
        <v>0</v>
      </c>
      <c r="V710" s="440"/>
      <c r="W710" s="440"/>
      <c r="X710" s="440">
        <v>0</v>
      </c>
      <c r="Y710" s="440"/>
      <c r="Z710" s="440"/>
      <c r="AA710" s="440">
        <v>0</v>
      </c>
      <c r="AB710" s="440"/>
      <c r="AC710" s="440"/>
      <c r="AD710" s="440">
        <v>0</v>
      </c>
      <c r="AE710" s="440"/>
      <c r="AF710" s="440"/>
      <c r="AG710" s="440">
        <v>0</v>
      </c>
      <c r="AH710" s="440"/>
      <c r="AI710" s="440"/>
      <c r="AJ710" s="440">
        <v>0</v>
      </c>
      <c r="AK710" s="440"/>
      <c r="AL710" s="440"/>
      <c r="AM710" s="440"/>
      <c r="AN710" s="440"/>
      <c r="AO710" s="440"/>
      <c r="AP710" s="440"/>
      <c r="AQ710" s="440"/>
      <c r="AR710" s="440"/>
      <c r="AS710" s="440">
        <v>0</v>
      </c>
      <c r="AT710" s="440"/>
      <c r="AU710" s="440"/>
      <c r="AV710" s="440">
        <v>0</v>
      </c>
      <c r="AW710" s="440"/>
      <c r="AX710" s="440"/>
      <c r="AY710" s="440"/>
      <c r="AZ710" s="440"/>
      <c r="BA710" s="440"/>
      <c r="BB710" s="440"/>
      <c r="BC710" s="440"/>
      <c r="BD710" s="440"/>
      <c r="BE710" s="440">
        <v>0</v>
      </c>
      <c r="BF710" s="440"/>
      <c r="BG710" s="440"/>
      <c r="BH710" s="440"/>
      <c r="BI710" s="440"/>
      <c r="BJ710" s="440"/>
      <c r="BK710" s="735">
        <f>9000000+31618664</f>
        <v>40618664</v>
      </c>
      <c r="BL710" s="736">
        <f>'[8]Metas y Proyectos'!$P$38+'[8]Metas y Proyectos'!$P$39</f>
        <v>31575000</v>
      </c>
      <c r="BM710" s="736">
        <v>5700000</v>
      </c>
      <c r="BN710" s="737">
        <v>25000000</v>
      </c>
      <c r="BO710" s="737">
        <v>20100000</v>
      </c>
      <c r="BP710" s="737">
        <v>19100000</v>
      </c>
      <c r="BQ710" s="440">
        <v>0</v>
      </c>
      <c r="BR710" s="468"/>
      <c r="BS710" s="468"/>
      <c r="BT710" s="468"/>
      <c r="BU710" s="468"/>
      <c r="BV710" s="468"/>
      <c r="BW710" s="736">
        <f>16000000</f>
        <v>16000000</v>
      </c>
      <c r="BX710" s="736"/>
      <c r="BY710" s="736"/>
      <c r="BZ710" s="440">
        <f t="shared" si="336"/>
        <v>81618664</v>
      </c>
      <c r="CA710" s="440">
        <f t="shared" si="336"/>
        <v>51675000</v>
      </c>
      <c r="CB710" s="440">
        <f t="shared" si="336"/>
        <v>24800000</v>
      </c>
    </row>
    <row r="711" spans="1:80" s="750" customFormat="1" ht="70.5" customHeight="1" x14ac:dyDescent="0.2">
      <c r="A711" s="205"/>
      <c r="B711" s="870"/>
      <c r="C711" s="883"/>
      <c r="D711" s="891"/>
      <c r="E711" s="893"/>
      <c r="F711" s="894"/>
      <c r="G711" s="883"/>
      <c r="H711" s="57">
        <v>211</v>
      </c>
      <c r="I711" s="729" t="s">
        <v>910</v>
      </c>
      <c r="J711" s="44">
        <v>1</v>
      </c>
      <c r="K711" s="45">
        <v>1</v>
      </c>
      <c r="L711" s="111">
        <v>0.75</v>
      </c>
      <c r="M711" s="886"/>
      <c r="N711" s="749" t="s">
        <v>888</v>
      </c>
      <c r="O711" s="889"/>
      <c r="P711" s="892"/>
      <c r="Q711" s="44" t="s">
        <v>52</v>
      </c>
      <c r="R711" s="401">
        <v>0</v>
      </c>
      <c r="S711" s="401"/>
      <c r="T711" s="401"/>
      <c r="U711" s="401">
        <v>0</v>
      </c>
      <c r="V711" s="401"/>
      <c r="W711" s="401"/>
      <c r="X711" s="401">
        <v>0</v>
      </c>
      <c r="Y711" s="401"/>
      <c r="Z711" s="401"/>
      <c r="AA711" s="401">
        <v>0</v>
      </c>
      <c r="AB711" s="401"/>
      <c r="AC711" s="401"/>
      <c r="AD711" s="401">
        <v>0</v>
      </c>
      <c r="AE711" s="401"/>
      <c r="AF711" s="401"/>
      <c r="AG711" s="401">
        <v>0</v>
      </c>
      <c r="AH711" s="401"/>
      <c r="AI711" s="401"/>
      <c r="AJ711" s="401">
        <v>0</v>
      </c>
      <c r="AK711" s="401"/>
      <c r="AL711" s="401"/>
      <c r="AM711" s="401">
        <v>0</v>
      </c>
      <c r="AN711" s="401"/>
      <c r="AO711" s="401"/>
      <c r="AP711" s="401">
        <v>0</v>
      </c>
      <c r="AQ711" s="401"/>
      <c r="AR711" s="401"/>
      <c r="AS711" s="401">
        <v>0</v>
      </c>
      <c r="AT711" s="401"/>
      <c r="AU711" s="401"/>
      <c r="AV711" s="401">
        <v>0</v>
      </c>
      <c r="AW711" s="401"/>
      <c r="AX711" s="401"/>
      <c r="AY711" s="401">
        <v>0</v>
      </c>
      <c r="AZ711" s="401"/>
      <c r="BA711" s="401"/>
      <c r="BB711" s="401">
        <v>0</v>
      </c>
      <c r="BC711" s="401"/>
      <c r="BD711" s="401"/>
      <c r="BE711" s="401">
        <v>0</v>
      </c>
      <c r="BF711" s="401"/>
      <c r="BG711" s="401"/>
      <c r="BH711" s="401">
        <v>0</v>
      </c>
      <c r="BI711" s="401"/>
      <c r="BJ711" s="401"/>
      <c r="BK711" s="678"/>
      <c r="BL711" s="672"/>
      <c r="BM711" s="672"/>
      <c r="BN711" s="455">
        <f>22000000+29461261</f>
        <v>51461261</v>
      </c>
      <c r="BO711" s="455">
        <f>14975000+24250000</f>
        <v>39225000</v>
      </c>
      <c r="BP711" s="455">
        <f>13275000+1700000</f>
        <v>14975000</v>
      </c>
      <c r="BQ711" s="401">
        <v>0</v>
      </c>
      <c r="BR711" s="401"/>
      <c r="BS711" s="401"/>
      <c r="BT711" s="401"/>
      <c r="BU711" s="401"/>
      <c r="BV711" s="401"/>
      <c r="BW711" s="512">
        <f>16000000</f>
        <v>16000000</v>
      </c>
      <c r="BX711" s="512"/>
      <c r="BY711" s="512"/>
      <c r="BZ711" s="401">
        <f t="shared" si="336"/>
        <v>67461261</v>
      </c>
      <c r="CA711" s="401">
        <f t="shared" si="336"/>
        <v>39225000</v>
      </c>
      <c r="CB711" s="401">
        <f t="shared" si="336"/>
        <v>14975000</v>
      </c>
    </row>
    <row r="712" spans="1:80" ht="30" customHeight="1" x14ac:dyDescent="0.2">
      <c r="A712" s="42"/>
      <c r="B712" s="870"/>
      <c r="C712" s="714"/>
      <c r="D712" s="709"/>
      <c r="E712" s="714"/>
      <c r="F712" s="714"/>
      <c r="G712" s="738"/>
      <c r="H712" s="739"/>
      <c r="I712" s="738"/>
      <c r="J712" s="740"/>
      <c r="K712" s="741"/>
      <c r="L712" s="741"/>
      <c r="M712" s="741"/>
      <c r="N712" s="740"/>
      <c r="O712" s="740"/>
      <c r="P712" s="742"/>
      <c r="Q712" s="740"/>
      <c r="R712" s="743">
        <f t="shared" ref="R712:AJ712" si="337">SUM(R709:R711)</f>
        <v>0</v>
      </c>
      <c r="S712" s="743"/>
      <c r="T712" s="743"/>
      <c r="U712" s="743">
        <f t="shared" si="337"/>
        <v>0</v>
      </c>
      <c r="V712" s="743"/>
      <c r="W712" s="743"/>
      <c r="X712" s="743">
        <f t="shared" si="337"/>
        <v>0</v>
      </c>
      <c r="Y712" s="743"/>
      <c r="Z712" s="743"/>
      <c r="AA712" s="743">
        <f t="shared" si="337"/>
        <v>0</v>
      </c>
      <c r="AB712" s="743"/>
      <c r="AC712" s="743"/>
      <c r="AD712" s="743">
        <f t="shared" si="337"/>
        <v>0</v>
      </c>
      <c r="AE712" s="743"/>
      <c r="AF712" s="743"/>
      <c r="AG712" s="743">
        <f t="shared" si="337"/>
        <v>0</v>
      </c>
      <c r="AH712" s="743"/>
      <c r="AI712" s="743"/>
      <c r="AJ712" s="743">
        <f t="shared" si="337"/>
        <v>0</v>
      </c>
      <c r="AK712" s="743"/>
      <c r="AL712" s="743"/>
      <c r="AM712" s="743"/>
      <c r="AN712" s="743"/>
      <c r="AO712" s="743"/>
      <c r="AP712" s="743"/>
      <c r="AQ712" s="743"/>
      <c r="AR712" s="743"/>
      <c r="AS712" s="743">
        <f t="shared" ref="AS712:BY712" si="338">SUM(AS709:AS711)</f>
        <v>0</v>
      </c>
      <c r="AT712" s="743"/>
      <c r="AU712" s="743"/>
      <c r="AV712" s="743">
        <f t="shared" si="338"/>
        <v>0</v>
      </c>
      <c r="AW712" s="743"/>
      <c r="AX712" s="743"/>
      <c r="AY712" s="743">
        <f t="shared" si="338"/>
        <v>0</v>
      </c>
      <c r="AZ712" s="743"/>
      <c r="BA712" s="743"/>
      <c r="BB712" s="743">
        <f t="shared" si="338"/>
        <v>0</v>
      </c>
      <c r="BC712" s="743"/>
      <c r="BD712" s="743"/>
      <c r="BE712" s="743">
        <f t="shared" si="338"/>
        <v>0</v>
      </c>
      <c r="BF712" s="743"/>
      <c r="BG712" s="743"/>
      <c r="BH712" s="743">
        <f t="shared" si="338"/>
        <v>0</v>
      </c>
      <c r="BI712" s="743"/>
      <c r="BJ712" s="743"/>
      <c r="BK712" s="744">
        <f t="shared" si="338"/>
        <v>70618664</v>
      </c>
      <c r="BL712" s="744">
        <f t="shared" si="338"/>
        <v>58925000</v>
      </c>
      <c r="BM712" s="744">
        <f t="shared" si="338"/>
        <v>5700000</v>
      </c>
      <c r="BN712" s="744">
        <f t="shared" si="338"/>
        <v>105561261</v>
      </c>
      <c r="BO712" s="744">
        <f t="shared" si="338"/>
        <v>77325000</v>
      </c>
      <c r="BP712" s="745">
        <f t="shared" si="338"/>
        <v>49578046</v>
      </c>
      <c r="BQ712" s="745">
        <f t="shared" si="338"/>
        <v>0</v>
      </c>
      <c r="BR712" s="745"/>
      <c r="BS712" s="745"/>
      <c r="BT712" s="745">
        <f t="shared" si="338"/>
        <v>0</v>
      </c>
      <c r="BU712" s="745"/>
      <c r="BV712" s="745"/>
      <c r="BW712" s="745">
        <f t="shared" si="338"/>
        <v>62772358</v>
      </c>
      <c r="BX712" s="745">
        <f t="shared" si="338"/>
        <v>0</v>
      </c>
      <c r="BY712" s="745">
        <f t="shared" si="338"/>
        <v>0</v>
      </c>
      <c r="BZ712" s="745">
        <f>SUM(BZ709:BZ711)</f>
        <v>238952283</v>
      </c>
      <c r="CA712" s="745">
        <f t="shared" ref="CA712:CB712" si="339">SUM(CA709:CA711)</f>
        <v>136250000</v>
      </c>
      <c r="CB712" s="745">
        <f t="shared" si="339"/>
        <v>55278046</v>
      </c>
    </row>
    <row r="713" spans="1:80" ht="30" customHeight="1" x14ac:dyDescent="0.2">
      <c r="A713" s="42"/>
      <c r="B713" s="870"/>
      <c r="C713" s="150"/>
      <c r="D713" s="72"/>
      <c r="E713" s="150"/>
      <c r="F713" s="150"/>
      <c r="G713" s="72"/>
      <c r="H713" s="150"/>
      <c r="I713" s="72"/>
      <c r="J713" s="150"/>
      <c r="K713" s="151"/>
      <c r="L713" s="265"/>
      <c r="M713" s="265"/>
      <c r="N713" s="400"/>
      <c r="O713" s="400"/>
      <c r="P713" s="101"/>
      <c r="Q713" s="150"/>
      <c r="R713" s="405"/>
      <c r="S713" s="405"/>
      <c r="T713" s="405"/>
      <c r="U713" s="405"/>
      <c r="V713" s="405"/>
      <c r="W713" s="405"/>
      <c r="X713" s="405"/>
      <c r="Y713" s="405"/>
      <c r="Z713" s="405"/>
      <c r="AA713" s="405"/>
      <c r="AB713" s="405"/>
      <c r="AC713" s="405"/>
      <c r="AD713" s="405"/>
      <c r="AE713" s="405"/>
      <c r="AF713" s="405"/>
      <c r="AG713" s="405"/>
      <c r="AH713" s="405"/>
      <c r="AI713" s="405"/>
      <c r="AJ713" s="405"/>
      <c r="AK713" s="405"/>
      <c r="AL713" s="405"/>
      <c r="AM713" s="405"/>
      <c r="AN713" s="405"/>
      <c r="AO713" s="405"/>
      <c r="AP713" s="405"/>
      <c r="AQ713" s="405"/>
      <c r="AR713" s="405"/>
      <c r="AS713" s="405"/>
      <c r="AT713" s="405"/>
      <c r="AU713" s="405"/>
      <c r="AV713" s="405"/>
      <c r="AW713" s="405"/>
      <c r="AX713" s="405"/>
      <c r="AY713" s="406"/>
      <c r="AZ713" s="406"/>
      <c r="BA713" s="406"/>
      <c r="BB713" s="406"/>
      <c r="BC713" s="406"/>
      <c r="BD713" s="406"/>
      <c r="BE713" s="405"/>
      <c r="BF713" s="405"/>
      <c r="BG713" s="405"/>
      <c r="BH713" s="405"/>
      <c r="BI713" s="405"/>
      <c r="BJ713" s="405"/>
      <c r="BK713" s="407"/>
      <c r="BL713" s="407"/>
      <c r="BM713" s="407"/>
      <c r="BN713" s="408"/>
      <c r="BO713" s="408"/>
      <c r="BP713" s="408"/>
      <c r="BQ713" s="405"/>
      <c r="BR713" s="405"/>
      <c r="BS713" s="405"/>
      <c r="BT713" s="405"/>
      <c r="BU713" s="405"/>
      <c r="BV713" s="405"/>
      <c r="BW713" s="406"/>
      <c r="BX713" s="406"/>
      <c r="BY713" s="406"/>
      <c r="BZ713" s="401"/>
      <c r="CA713" s="401"/>
      <c r="CB713" s="401"/>
    </row>
    <row r="714" spans="1:80" ht="30" customHeight="1" x14ac:dyDescent="0.2">
      <c r="A714" s="42"/>
      <c r="B714" s="870"/>
      <c r="C714" s="713"/>
      <c r="D714" s="707"/>
      <c r="E714" s="713"/>
      <c r="F714" s="713"/>
      <c r="G714" s="219">
        <v>73</v>
      </c>
      <c r="H714" s="80" t="s">
        <v>911</v>
      </c>
      <c r="I714" s="80"/>
      <c r="J714" s="80"/>
      <c r="K714" s="128"/>
      <c r="L714" s="128"/>
      <c r="M714" s="128"/>
      <c r="N714" s="173"/>
      <c r="O714" s="173"/>
      <c r="P714" s="80"/>
      <c r="Q714" s="80"/>
      <c r="R714" s="267"/>
      <c r="S714" s="267"/>
      <c r="T714" s="267"/>
      <c r="U714" s="267"/>
      <c r="V714" s="267"/>
      <c r="W714" s="267"/>
      <c r="X714" s="267"/>
      <c r="Y714" s="267"/>
      <c r="Z714" s="267"/>
      <c r="AA714" s="267"/>
      <c r="AB714" s="267"/>
      <c r="AC714" s="267"/>
      <c r="AD714" s="267"/>
      <c r="AE714" s="267"/>
      <c r="AF714" s="267"/>
      <c r="AG714" s="267"/>
      <c r="AH714" s="267"/>
      <c r="AI714" s="267"/>
      <c r="AJ714" s="267"/>
      <c r="AK714" s="267"/>
      <c r="AL714" s="267"/>
      <c r="AM714" s="267"/>
      <c r="AN714" s="267"/>
      <c r="AO714" s="267"/>
      <c r="AP714" s="267"/>
      <c r="AQ714" s="267"/>
      <c r="AR714" s="267"/>
      <c r="AS714" s="267"/>
      <c r="AT714" s="267"/>
      <c r="AU714" s="267"/>
      <c r="AV714" s="267"/>
      <c r="AW714" s="267"/>
      <c r="AX714" s="267"/>
      <c r="AY714" s="267"/>
      <c r="AZ714" s="267"/>
      <c r="BA714" s="267"/>
      <c r="BB714" s="267"/>
      <c r="BC714" s="267"/>
      <c r="BD714" s="267"/>
      <c r="BE714" s="267"/>
      <c r="BF714" s="267"/>
      <c r="BG714" s="267"/>
      <c r="BH714" s="267"/>
      <c r="BI714" s="267"/>
      <c r="BJ714" s="267"/>
      <c r="BK714" s="414"/>
      <c r="BL714" s="414"/>
      <c r="BM714" s="414"/>
      <c r="BN714" s="267"/>
      <c r="BO714" s="267"/>
      <c r="BP714" s="267"/>
      <c r="BQ714" s="267"/>
      <c r="BR714" s="267"/>
      <c r="BS714" s="267"/>
      <c r="BT714" s="267"/>
      <c r="BU714" s="267"/>
      <c r="BV714" s="267"/>
      <c r="BW714" s="267"/>
      <c r="BX714" s="267"/>
      <c r="BY714" s="267"/>
      <c r="BZ714" s="508"/>
      <c r="CA714" s="508"/>
      <c r="CB714" s="508"/>
    </row>
    <row r="715" spans="1:80" ht="65.25" customHeight="1" x14ac:dyDescent="0.2">
      <c r="A715" s="42"/>
      <c r="B715" s="870"/>
      <c r="C715" s="702">
        <v>36</v>
      </c>
      <c r="D715" s="708" t="s">
        <v>886</v>
      </c>
      <c r="E715" s="711">
        <v>0.4</v>
      </c>
      <c r="F715" s="712">
        <v>0.6</v>
      </c>
      <c r="G715" s="707"/>
      <c r="H715" s="713">
        <v>212</v>
      </c>
      <c r="I715" s="707" t="s">
        <v>912</v>
      </c>
      <c r="J715" s="704">
        <v>1</v>
      </c>
      <c r="K715" s="50">
        <v>1</v>
      </c>
      <c r="L715" s="111">
        <v>0.75</v>
      </c>
      <c r="M715" s="46">
        <v>201700360041</v>
      </c>
      <c r="N715" s="44" t="s">
        <v>888</v>
      </c>
      <c r="O715" s="704" t="s">
        <v>913</v>
      </c>
      <c r="P715" s="47" t="s">
        <v>914</v>
      </c>
      <c r="Q715" s="44" t="s">
        <v>52</v>
      </c>
      <c r="R715" s="440">
        <v>0</v>
      </c>
      <c r="S715" s="440"/>
      <c r="T715" s="440"/>
      <c r="U715" s="440">
        <v>0</v>
      </c>
      <c r="V715" s="440"/>
      <c r="W715" s="440"/>
      <c r="X715" s="440">
        <v>0</v>
      </c>
      <c r="Y715" s="440"/>
      <c r="Z715" s="440"/>
      <c r="AA715" s="440">
        <v>0</v>
      </c>
      <c r="AB715" s="440"/>
      <c r="AC715" s="440"/>
      <c r="AD715" s="440">
        <v>0</v>
      </c>
      <c r="AE715" s="440"/>
      <c r="AF715" s="440"/>
      <c r="AG715" s="440">
        <v>0</v>
      </c>
      <c r="AH715" s="440"/>
      <c r="AI715" s="440"/>
      <c r="AJ715" s="440">
        <v>0</v>
      </c>
      <c r="AK715" s="440"/>
      <c r="AL715" s="440"/>
      <c r="AM715" s="440">
        <v>0</v>
      </c>
      <c r="AN715" s="440"/>
      <c r="AO715" s="440"/>
      <c r="AP715" s="440">
        <v>0</v>
      </c>
      <c r="AQ715" s="440"/>
      <c r="AR715" s="440"/>
      <c r="AS715" s="440">
        <v>0</v>
      </c>
      <c r="AT715" s="440"/>
      <c r="AU715" s="440"/>
      <c r="AV715" s="440">
        <v>0</v>
      </c>
      <c r="AW715" s="440"/>
      <c r="AX715" s="440"/>
      <c r="AY715" s="440">
        <v>0</v>
      </c>
      <c r="AZ715" s="440"/>
      <c r="BA715" s="440"/>
      <c r="BB715" s="440">
        <v>0</v>
      </c>
      <c r="BC715" s="440"/>
      <c r="BD715" s="440"/>
      <c r="BE715" s="440">
        <v>0</v>
      </c>
      <c r="BF715" s="440"/>
      <c r="BG715" s="440"/>
      <c r="BH715" s="440">
        <v>0</v>
      </c>
      <c r="BI715" s="440"/>
      <c r="BJ715" s="440"/>
      <c r="BK715" s="11">
        <v>30000000</v>
      </c>
      <c r="BL715" s="458">
        <v>12550000</v>
      </c>
      <c r="BM715" s="458">
        <v>4850000</v>
      </c>
      <c r="BN715" s="679">
        <f>40000000+13500000</f>
        <v>53500000</v>
      </c>
      <c r="BO715" s="440">
        <v>24850000</v>
      </c>
      <c r="BP715" s="440">
        <v>24850000</v>
      </c>
      <c r="BQ715" s="440">
        <v>0</v>
      </c>
      <c r="BR715" s="468"/>
      <c r="BS715" s="468"/>
      <c r="BT715" s="468"/>
      <c r="BU715" s="468"/>
      <c r="BV715" s="468"/>
      <c r="BW715" s="512">
        <v>79747962</v>
      </c>
      <c r="BX715" s="512"/>
      <c r="BY715" s="512"/>
      <c r="BZ715" s="401">
        <f t="shared" ref="BZ715:CB715" si="340">R715+U715+X715+AA715+AD715+AG715+AJ715+AM715+AP715+AS715+AV715+AY715+BB715+BE715+BH715+BK715+BN715+BQ715+BT715+BW715</f>
        <v>163247962</v>
      </c>
      <c r="CA715" s="401">
        <f t="shared" si="340"/>
        <v>37400000</v>
      </c>
      <c r="CB715" s="401">
        <f t="shared" si="340"/>
        <v>29700000</v>
      </c>
    </row>
    <row r="716" spans="1:80" s="2" customFormat="1" ht="30" customHeight="1" x14ac:dyDescent="0.25">
      <c r="A716" s="42"/>
      <c r="B716" s="870"/>
      <c r="C716" s="714"/>
      <c r="D716" s="709"/>
      <c r="E716" s="714"/>
      <c r="F716" s="714"/>
      <c r="G716" s="93"/>
      <c r="H716" s="94"/>
      <c r="I716" s="93"/>
      <c r="J716" s="344"/>
      <c r="K716" s="345"/>
      <c r="L716" s="345"/>
      <c r="M716" s="345"/>
      <c r="N716" s="344"/>
      <c r="O716" s="344"/>
      <c r="P716" s="346"/>
      <c r="Q716" s="344"/>
      <c r="R716" s="450">
        <f t="shared" ref="R716:BM716" si="341">SUM(R715)</f>
        <v>0</v>
      </c>
      <c r="S716" s="450"/>
      <c r="T716" s="450"/>
      <c r="U716" s="450">
        <f t="shared" ref="U716" si="342">SUM(U715)</f>
        <v>0</v>
      </c>
      <c r="V716" s="450"/>
      <c r="W716" s="450"/>
      <c r="X716" s="450">
        <f t="shared" si="341"/>
        <v>0</v>
      </c>
      <c r="Y716" s="450"/>
      <c r="Z716" s="450"/>
      <c r="AA716" s="450">
        <f t="shared" si="341"/>
        <v>0</v>
      </c>
      <c r="AB716" s="450"/>
      <c r="AC716" s="450"/>
      <c r="AD716" s="450">
        <f t="shared" si="341"/>
        <v>0</v>
      </c>
      <c r="AE716" s="450"/>
      <c r="AF716" s="450"/>
      <c r="AG716" s="450">
        <f t="shared" si="341"/>
        <v>0</v>
      </c>
      <c r="AH716" s="450"/>
      <c r="AI716" s="450"/>
      <c r="AJ716" s="450">
        <f t="shared" si="341"/>
        <v>0</v>
      </c>
      <c r="AK716" s="450"/>
      <c r="AL716" s="450"/>
      <c r="AM716" s="450"/>
      <c r="AN716" s="450"/>
      <c r="AO716" s="450"/>
      <c r="AP716" s="450"/>
      <c r="AQ716" s="450"/>
      <c r="AR716" s="450"/>
      <c r="AS716" s="450">
        <f t="shared" si="341"/>
        <v>0</v>
      </c>
      <c r="AT716" s="450"/>
      <c r="AU716" s="450"/>
      <c r="AV716" s="450">
        <f t="shared" si="341"/>
        <v>0</v>
      </c>
      <c r="AW716" s="450"/>
      <c r="AX716" s="450"/>
      <c r="AY716" s="450">
        <f t="shared" si="341"/>
        <v>0</v>
      </c>
      <c r="AZ716" s="450"/>
      <c r="BA716" s="450"/>
      <c r="BB716" s="450">
        <f t="shared" si="341"/>
        <v>0</v>
      </c>
      <c r="BC716" s="450"/>
      <c r="BD716" s="450"/>
      <c r="BE716" s="450">
        <f t="shared" si="341"/>
        <v>0</v>
      </c>
      <c r="BF716" s="450"/>
      <c r="BG716" s="450"/>
      <c r="BH716" s="450">
        <f t="shared" si="341"/>
        <v>0</v>
      </c>
      <c r="BI716" s="450"/>
      <c r="BJ716" s="450"/>
      <c r="BK716" s="513">
        <f t="shared" si="341"/>
        <v>30000000</v>
      </c>
      <c r="BL716" s="513">
        <f t="shared" si="341"/>
        <v>12550000</v>
      </c>
      <c r="BM716" s="513">
        <f t="shared" si="341"/>
        <v>4850000</v>
      </c>
      <c r="BN716" s="514">
        <f>SUM(BN715)</f>
        <v>53500000</v>
      </c>
      <c r="BO716" s="514"/>
      <c r="BP716" s="514"/>
      <c r="BQ716" s="514">
        <f>SUM(BQ715)</f>
        <v>0</v>
      </c>
      <c r="BR716" s="514"/>
      <c r="BS716" s="514"/>
      <c r="BT716" s="514">
        <f t="shared" ref="BT716:BW716" si="343">SUM(BT715)</f>
        <v>0</v>
      </c>
      <c r="BU716" s="514"/>
      <c r="BV716" s="514"/>
      <c r="BW716" s="514">
        <f t="shared" si="343"/>
        <v>79747962</v>
      </c>
      <c r="BX716" s="514"/>
      <c r="BY716" s="514"/>
      <c r="BZ716" s="514">
        <f>SUM(BZ715)</f>
        <v>163247962</v>
      </c>
      <c r="CA716" s="514">
        <f t="shared" ref="CA716:CB716" si="344">SUM(CA715)</f>
        <v>37400000</v>
      </c>
      <c r="CB716" s="514">
        <f t="shared" si="344"/>
        <v>29700000</v>
      </c>
    </row>
    <row r="717" spans="1:80" ht="30" customHeight="1" x14ac:dyDescent="0.2">
      <c r="A717" s="42"/>
      <c r="B717" s="258"/>
      <c r="C717" s="99"/>
      <c r="D717" s="98"/>
      <c r="E717" s="99"/>
      <c r="F717" s="99"/>
      <c r="G717" s="98"/>
      <c r="H717" s="99"/>
      <c r="I717" s="98"/>
      <c r="J717" s="347"/>
      <c r="K717" s="348"/>
      <c r="L717" s="348"/>
      <c r="M717" s="348"/>
      <c r="N717" s="347"/>
      <c r="O717" s="347"/>
      <c r="P717" s="349"/>
      <c r="Q717" s="347"/>
      <c r="R717" s="470">
        <f t="shared" ref="R717:BM717" si="345">R716+R712</f>
        <v>0</v>
      </c>
      <c r="S717" s="470"/>
      <c r="T717" s="470"/>
      <c r="U717" s="470">
        <f t="shared" si="345"/>
        <v>0</v>
      </c>
      <c r="V717" s="470"/>
      <c r="W717" s="470"/>
      <c r="X717" s="470">
        <f t="shared" si="345"/>
        <v>0</v>
      </c>
      <c r="Y717" s="470"/>
      <c r="Z717" s="470"/>
      <c r="AA717" s="470">
        <f t="shared" si="345"/>
        <v>0</v>
      </c>
      <c r="AB717" s="470"/>
      <c r="AC717" s="470"/>
      <c r="AD717" s="470">
        <f t="shared" si="345"/>
        <v>0</v>
      </c>
      <c r="AE717" s="470"/>
      <c r="AF717" s="470"/>
      <c r="AG717" s="470">
        <f t="shared" si="345"/>
        <v>0</v>
      </c>
      <c r="AH717" s="470"/>
      <c r="AI717" s="470"/>
      <c r="AJ717" s="470">
        <f t="shared" si="345"/>
        <v>0</v>
      </c>
      <c r="AK717" s="470"/>
      <c r="AL717" s="470"/>
      <c r="AM717" s="470"/>
      <c r="AN717" s="470"/>
      <c r="AO717" s="470"/>
      <c r="AP717" s="470"/>
      <c r="AQ717" s="470"/>
      <c r="AR717" s="470"/>
      <c r="AS717" s="470">
        <f t="shared" si="345"/>
        <v>0</v>
      </c>
      <c r="AT717" s="470"/>
      <c r="AU717" s="470"/>
      <c r="AV717" s="470">
        <f t="shared" si="345"/>
        <v>0</v>
      </c>
      <c r="AW717" s="470"/>
      <c r="AX717" s="470"/>
      <c r="AY717" s="470">
        <f t="shared" si="345"/>
        <v>0</v>
      </c>
      <c r="AZ717" s="470"/>
      <c r="BA717" s="470"/>
      <c r="BB717" s="470">
        <f t="shared" si="345"/>
        <v>0</v>
      </c>
      <c r="BC717" s="470"/>
      <c r="BD717" s="470"/>
      <c r="BE717" s="470">
        <f t="shared" si="345"/>
        <v>0</v>
      </c>
      <c r="BF717" s="470"/>
      <c r="BG717" s="470"/>
      <c r="BH717" s="470">
        <f t="shared" si="345"/>
        <v>0</v>
      </c>
      <c r="BI717" s="470"/>
      <c r="BJ717" s="470"/>
      <c r="BK717" s="515">
        <f t="shared" si="345"/>
        <v>100618664</v>
      </c>
      <c r="BL717" s="515">
        <f t="shared" si="345"/>
        <v>71475000</v>
      </c>
      <c r="BM717" s="515">
        <f t="shared" si="345"/>
        <v>10550000</v>
      </c>
      <c r="BN717" s="516">
        <f>BN716+BN712</f>
        <v>159061261</v>
      </c>
      <c r="BO717" s="516"/>
      <c r="BP717" s="516"/>
      <c r="BQ717" s="516">
        <f>BQ716+BQ712</f>
        <v>0</v>
      </c>
      <c r="BR717" s="516"/>
      <c r="BS717" s="516"/>
      <c r="BT717" s="516">
        <f t="shared" ref="BT717:BW717" si="346">BT716+BT712</f>
        <v>0</v>
      </c>
      <c r="BU717" s="516"/>
      <c r="BV717" s="516"/>
      <c r="BW717" s="516">
        <f t="shared" si="346"/>
        <v>142520320</v>
      </c>
      <c r="BX717" s="516"/>
      <c r="BY717" s="516"/>
      <c r="BZ717" s="516">
        <f>BZ716+BZ712</f>
        <v>402200245</v>
      </c>
      <c r="CA717" s="516">
        <f t="shared" ref="CA717:CB717" si="347">CA716+CA712</f>
        <v>173650000</v>
      </c>
      <c r="CB717" s="516">
        <f t="shared" si="347"/>
        <v>84978046</v>
      </c>
    </row>
    <row r="718" spans="1:80" ht="30" customHeight="1" x14ac:dyDescent="0.2">
      <c r="A718" s="42"/>
      <c r="B718" s="72"/>
      <c r="C718" s="150"/>
      <c r="D718" s="72"/>
      <c r="E718" s="150"/>
      <c r="F718" s="150"/>
      <c r="G718" s="72"/>
      <c r="H718" s="150"/>
      <c r="I718" s="72"/>
      <c r="J718" s="150"/>
      <c r="K718" s="151"/>
      <c r="L718" s="265"/>
      <c r="M718" s="265"/>
      <c r="N718" s="400"/>
      <c r="O718" s="400"/>
      <c r="P718" s="101"/>
      <c r="Q718" s="150"/>
      <c r="R718" s="405"/>
      <c r="S718" s="405"/>
      <c r="T718" s="405"/>
      <c r="U718" s="405"/>
      <c r="V718" s="405"/>
      <c r="W718" s="405"/>
      <c r="X718" s="405"/>
      <c r="Y718" s="405"/>
      <c r="Z718" s="405"/>
      <c r="AA718" s="405"/>
      <c r="AB718" s="405"/>
      <c r="AC718" s="405"/>
      <c r="AD718" s="405"/>
      <c r="AE718" s="405"/>
      <c r="AF718" s="405"/>
      <c r="AG718" s="405"/>
      <c r="AH718" s="405"/>
      <c r="AI718" s="405"/>
      <c r="AJ718" s="405"/>
      <c r="AK718" s="405"/>
      <c r="AL718" s="405"/>
      <c r="AM718" s="405"/>
      <c r="AN718" s="405"/>
      <c r="AO718" s="405"/>
      <c r="AP718" s="405"/>
      <c r="AQ718" s="405"/>
      <c r="AR718" s="405"/>
      <c r="AS718" s="405"/>
      <c r="AT718" s="405"/>
      <c r="AU718" s="405"/>
      <c r="AV718" s="405"/>
      <c r="AW718" s="405"/>
      <c r="AX718" s="405"/>
      <c r="AY718" s="406"/>
      <c r="AZ718" s="406"/>
      <c r="BA718" s="406"/>
      <c r="BB718" s="406"/>
      <c r="BC718" s="406"/>
      <c r="BD718" s="406"/>
      <c r="BE718" s="405"/>
      <c r="BF718" s="405"/>
      <c r="BG718" s="405"/>
      <c r="BH718" s="405"/>
      <c r="BI718" s="405"/>
      <c r="BJ718" s="405"/>
      <c r="BK718" s="407"/>
      <c r="BL718" s="407"/>
      <c r="BM718" s="407"/>
      <c r="BN718" s="405"/>
      <c r="BO718" s="405"/>
      <c r="BP718" s="405"/>
      <c r="BQ718" s="405"/>
      <c r="BR718" s="405"/>
      <c r="BS718" s="405"/>
      <c r="BT718" s="405"/>
      <c r="BU718" s="405"/>
      <c r="BV718" s="405"/>
      <c r="BW718" s="405"/>
      <c r="BX718" s="405"/>
      <c r="BY718" s="405"/>
      <c r="BZ718" s="401"/>
      <c r="CA718" s="401"/>
      <c r="CB718" s="401"/>
    </row>
    <row r="719" spans="1:80" ht="30" customHeight="1" x14ac:dyDescent="0.2">
      <c r="A719" s="42"/>
      <c r="B719" s="350">
        <v>22</v>
      </c>
      <c r="C719" s="38" t="s">
        <v>915</v>
      </c>
      <c r="D719" s="39"/>
      <c r="E719" s="39"/>
      <c r="F719" s="39"/>
      <c r="G719" s="39"/>
      <c r="H719" s="40"/>
      <c r="I719" s="39"/>
      <c r="J719" s="39"/>
      <c r="K719" s="126"/>
      <c r="L719" s="126"/>
      <c r="M719" s="126"/>
      <c r="N719" s="40"/>
      <c r="O719" s="40"/>
      <c r="P719" s="39"/>
      <c r="Q719" s="39"/>
      <c r="R719" s="412"/>
      <c r="S719" s="412"/>
      <c r="T719" s="412"/>
      <c r="U719" s="412"/>
      <c r="V719" s="412"/>
      <c r="W719" s="412"/>
      <c r="X719" s="412"/>
      <c r="Y719" s="412"/>
      <c r="Z719" s="412"/>
      <c r="AA719" s="412"/>
      <c r="AB719" s="412"/>
      <c r="AC719" s="412"/>
      <c r="AD719" s="412"/>
      <c r="AE719" s="412"/>
      <c r="AF719" s="412"/>
      <c r="AG719" s="412"/>
      <c r="AH719" s="412"/>
      <c r="AI719" s="412"/>
      <c r="AJ719" s="412"/>
      <c r="AK719" s="412"/>
      <c r="AL719" s="412"/>
      <c r="AM719" s="412"/>
      <c r="AN719" s="412"/>
      <c r="AO719" s="412"/>
      <c r="AP719" s="412"/>
      <c r="AQ719" s="412"/>
      <c r="AR719" s="412"/>
      <c r="AS719" s="412"/>
      <c r="AT719" s="412"/>
      <c r="AU719" s="412"/>
      <c r="AV719" s="412"/>
      <c r="AW719" s="412"/>
      <c r="AX719" s="412"/>
      <c r="AY719" s="412"/>
      <c r="AZ719" s="412"/>
      <c r="BA719" s="412"/>
      <c r="BB719" s="412"/>
      <c r="BC719" s="412"/>
      <c r="BD719" s="412"/>
      <c r="BE719" s="412"/>
      <c r="BF719" s="412"/>
      <c r="BG719" s="412"/>
      <c r="BH719" s="412"/>
      <c r="BI719" s="412"/>
      <c r="BJ719" s="412"/>
      <c r="BK719" s="413"/>
      <c r="BL719" s="413"/>
      <c r="BM719" s="413"/>
      <c r="BN719" s="412"/>
      <c r="BO719" s="412"/>
      <c r="BP719" s="412"/>
      <c r="BQ719" s="412"/>
      <c r="BR719" s="412"/>
      <c r="BS719" s="412"/>
      <c r="BT719" s="412"/>
      <c r="BU719" s="412"/>
      <c r="BV719" s="412"/>
      <c r="BW719" s="412"/>
      <c r="BX719" s="412"/>
      <c r="BY719" s="412"/>
      <c r="BZ719" s="509"/>
      <c r="CA719" s="509"/>
      <c r="CB719" s="509"/>
    </row>
    <row r="720" spans="1:80" ht="30" customHeight="1" x14ac:dyDescent="0.2">
      <c r="A720" s="42"/>
      <c r="B720" s="870"/>
      <c r="C720" s="713"/>
      <c r="D720" s="707"/>
      <c r="E720" s="713"/>
      <c r="F720" s="713"/>
      <c r="G720" s="219">
        <v>74</v>
      </c>
      <c r="H720" s="80" t="s">
        <v>916</v>
      </c>
      <c r="I720" s="80"/>
      <c r="J720" s="80"/>
      <c r="K720" s="128"/>
      <c r="L720" s="128"/>
      <c r="M720" s="128"/>
      <c r="N720" s="173"/>
      <c r="O720" s="173"/>
      <c r="P720" s="80"/>
      <c r="Q720" s="80"/>
      <c r="R720" s="267"/>
      <c r="S720" s="267"/>
      <c r="T720" s="267"/>
      <c r="U720" s="267"/>
      <c r="V720" s="267"/>
      <c r="W720" s="267"/>
      <c r="X720" s="267"/>
      <c r="Y720" s="267"/>
      <c r="Z720" s="267"/>
      <c r="AA720" s="267"/>
      <c r="AB720" s="267"/>
      <c r="AC720" s="267"/>
      <c r="AD720" s="267"/>
      <c r="AE720" s="267"/>
      <c r="AF720" s="267"/>
      <c r="AG720" s="267"/>
      <c r="AH720" s="267"/>
      <c r="AI720" s="267"/>
      <c r="AJ720" s="267"/>
      <c r="AK720" s="267"/>
      <c r="AL720" s="267"/>
      <c r="AM720" s="267"/>
      <c r="AN720" s="267"/>
      <c r="AO720" s="267"/>
      <c r="AP720" s="267"/>
      <c r="AQ720" s="267"/>
      <c r="AR720" s="267"/>
      <c r="AS720" s="267"/>
      <c r="AT720" s="267"/>
      <c r="AU720" s="267"/>
      <c r="AV720" s="267"/>
      <c r="AW720" s="267"/>
      <c r="AX720" s="267"/>
      <c r="AY720" s="267"/>
      <c r="AZ720" s="267"/>
      <c r="BA720" s="267"/>
      <c r="BB720" s="267"/>
      <c r="BC720" s="267"/>
      <c r="BD720" s="267"/>
      <c r="BE720" s="267"/>
      <c r="BF720" s="267"/>
      <c r="BG720" s="267"/>
      <c r="BH720" s="267"/>
      <c r="BI720" s="267"/>
      <c r="BJ720" s="267"/>
      <c r="BK720" s="414"/>
      <c r="BL720" s="414"/>
      <c r="BM720" s="414"/>
      <c r="BN720" s="267"/>
      <c r="BO720" s="267"/>
      <c r="BP720" s="267"/>
      <c r="BQ720" s="267"/>
      <c r="BR720" s="267"/>
      <c r="BS720" s="267"/>
      <c r="BT720" s="267"/>
      <c r="BU720" s="267"/>
      <c r="BV720" s="267"/>
      <c r="BW720" s="267"/>
      <c r="BX720" s="267"/>
      <c r="BY720" s="267"/>
      <c r="BZ720" s="508"/>
      <c r="CA720" s="508"/>
      <c r="CB720" s="508"/>
    </row>
    <row r="721" spans="1:80" ht="63.75" customHeight="1" x14ac:dyDescent="0.2">
      <c r="A721" s="42"/>
      <c r="B721" s="870"/>
      <c r="C721" s="702">
        <v>36</v>
      </c>
      <c r="D721" s="708" t="s">
        <v>886</v>
      </c>
      <c r="E721" s="711">
        <v>0.4</v>
      </c>
      <c r="F721" s="712">
        <v>0.6</v>
      </c>
      <c r="G721" s="729"/>
      <c r="H721" s="57">
        <v>213</v>
      </c>
      <c r="I721" s="729" t="s">
        <v>917</v>
      </c>
      <c r="J721" s="44">
        <v>12</v>
      </c>
      <c r="K721" s="45">
        <v>12</v>
      </c>
      <c r="L721" s="45">
        <v>0</v>
      </c>
      <c r="M721" s="46">
        <v>201700360042</v>
      </c>
      <c r="N721" s="44" t="s">
        <v>888</v>
      </c>
      <c r="O721" s="704" t="s">
        <v>918</v>
      </c>
      <c r="P721" s="729" t="s">
        <v>919</v>
      </c>
      <c r="Q721" s="44" t="s">
        <v>52</v>
      </c>
      <c r="R721" s="401"/>
      <c r="S721" s="401"/>
      <c r="T721" s="401"/>
      <c r="U721" s="401"/>
      <c r="V721" s="401"/>
      <c r="W721" s="401"/>
      <c r="X721" s="401"/>
      <c r="Y721" s="401"/>
      <c r="Z721" s="401"/>
      <c r="AA721" s="401"/>
      <c r="AB721" s="401"/>
      <c r="AC721" s="401"/>
      <c r="AD721" s="401"/>
      <c r="AE721" s="401"/>
      <c r="AF721" s="401"/>
      <c r="AG721" s="401"/>
      <c r="AH721" s="401"/>
      <c r="AI721" s="401"/>
      <c r="AJ721" s="401"/>
      <c r="AK721" s="401"/>
      <c r="AL721" s="401"/>
      <c r="AM721" s="401"/>
      <c r="AN721" s="401"/>
      <c r="AO721" s="401"/>
      <c r="AP721" s="401"/>
      <c r="AQ721" s="401"/>
      <c r="AR721" s="401"/>
      <c r="AS721" s="401"/>
      <c r="AT721" s="401"/>
      <c r="AU721" s="401"/>
      <c r="AV721" s="401"/>
      <c r="AW721" s="401"/>
      <c r="AX721" s="401"/>
      <c r="AY721" s="401"/>
      <c r="AZ721" s="401"/>
      <c r="BA721" s="401"/>
      <c r="BB721" s="401"/>
      <c r="BC721" s="401"/>
      <c r="BD721" s="401"/>
      <c r="BE721" s="401"/>
      <c r="BF721" s="401"/>
      <c r="BG721" s="401"/>
      <c r="BH721" s="401"/>
      <c r="BI721" s="401"/>
      <c r="BJ721" s="401"/>
      <c r="BK721" s="402"/>
      <c r="BL721" s="402"/>
      <c r="BM721" s="402"/>
      <c r="BN721" s="415"/>
      <c r="BO721" s="415"/>
      <c r="BP721" s="415"/>
      <c r="BQ721" s="402">
        <v>244500000</v>
      </c>
      <c r="BR721" s="404"/>
      <c r="BS721" s="404"/>
      <c r="BT721" s="403"/>
      <c r="BU721" s="403"/>
      <c r="BV721" s="403"/>
      <c r="BW721" s="403"/>
      <c r="BX721" s="403"/>
      <c r="BY721" s="403"/>
      <c r="BZ721" s="401">
        <f t="shared" ref="BZ721:CB721" si="348">R721+U721+X721+AA721+AD721+AG721+AJ721+AM721+AP721+AS721+AV721+AY721+BB721+BE721+BH721+BK721+BN721+BQ721+BT721+BW721</f>
        <v>244500000</v>
      </c>
      <c r="CA721" s="401">
        <f t="shared" si="348"/>
        <v>0</v>
      </c>
      <c r="CB721" s="401">
        <f t="shared" si="348"/>
        <v>0</v>
      </c>
    </row>
    <row r="722" spans="1:80" ht="30" customHeight="1" x14ac:dyDescent="0.2">
      <c r="A722" s="42"/>
      <c r="B722" s="870"/>
      <c r="C722" s="714"/>
      <c r="D722" s="709"/>
      <c r="E722" s="714"/>
      <c r="F722" s="714"/>
      <c r="G722" s="58"/>
      <c r="H722" s="59"/>
      <c r="I722" s="58"/>
      <c r="J722" s="60"/>
      <c r="K722" s="113"/>
      <c r="L722" s="113"/>
      <c r="M722" s="113"/>
      <c r="N722" s="60"/>
      <c r="O722" s="60"/>
      <c r="P722" s="188"/>
      <c r="Q722" s="60"/>
      <c r="R722" s="410">
        <f t="shared" ref="R722:BK722" si="349">SUM(R721)</f>
        <v>0</v>
      </c>
      <c r="S722" s="410"/>
      <c r="T722" s="410"/>
      <c r="U722" s="410">
        <f t="shared" ref="U722" si="350">SUM(U721)</f>
        <v>0</v>
      </c>
      <c r="V722" s="410"/>
      <c r="W722" s="410"/>
      <c r="X722" s="410">
        <f t="shared" si="349"/>
        <v>0</v>
      </c>
      <c r="Y722" s="410"/>
      <c r="Z722" s="410"/>
      <c r="AA722" s="410">
        <f t="shared" si="349"/>
        <v>0</v>
      </c>
      <c r="AB722" s="410"/>
      <c r="AC722" s="410"/>
      <c r="AD722" s="410">
        <f t="shared" si="349"/>
        <v>0</v>
      </c>
      <c r="AE722" s="410"/>
      <c r="AF722" s="410"/>
      <c r="AG722" s="410">
        <f t="shared" si="349"/>
        <v>0</v>
      </c>
      <c r="AH722" s="410"/>
      <c r="AI722" s="410"/>
      <c r="AJ722" s="410">
        <f t="shared" si="349"/>
        <v>0</v>
      </c>
      <c r="AK722" s="410"/>
      <c r="AL722" s="410"/>
      <c r="AM722" s="410"/>
      <c r="AN722" s="410"/>
      <c r="AO722" s="410"/>
      <c r="AP722" s="410"/>
      <c r="AQ722" s="410"/>
      <c r="AR722" s="410"/>
      <c r="AS722" s="410">
        <f t="shared" si="349"/>
        <v>0</v>
      </c>
      <c r="AT722" s="410"/>
      <c r="AU722" s="410"/>
      <c r="AV722" s="410">
        <f t="shared" si="349"/>
        <v>0</v>
      </c>
      <c r="AW722" s="410"/>
      <c r="AX722" s="410"/>
      <c r="AY722" s="410">
        <f t="shared" si="349"/>
        <v>0</v>
      </c>
      <c r="AZ722" s="410"/>
      <c r="BA722" s="410"/>
      <c r="BB722" s="410">
        <f t="shared" si="349"/>
        <v>0</v>
      </c>
      <c r="BC722" s="410"/>
      <c r="BD722" s="410"/>
      <c r="BE722" s="410">
        <f t="shared" si="349"/>
        <v>0</v>
      </c>
      <c r="BF722" s="410"/>
      <c r="BG722" s="410"/>
      <c r="BH722" s="410">
        <f t="shared" si="349"/>
        <v>0</v>
      </c>
      <c r="BI722" s="410"/>
      <c r="BJ722" s="410"/>
      <c r="BK722" s="476">
        <f t="shared" si="349"/>
        <v>0</v>
      </c>
      <c r="BL722" s="476"/>
      <c r="BM722" s="476"/>
      <c r="BN722" s="410">
        <f>SUM(BN721)</f>
        <v>0</v>
      </c>
      <c r="BO722" s="410"/>
      <c r="BP722" s="410"/>
      <c r="BQ722" s="410">
        <f t="shared" ref="BQ722:BW722" si="351">SUM(BQ721)</f>
        <v>244500000</v>
      </c>
      <c r="BR722" s="410">
        <f t="shared" ref="BR722:BS722" si="352">SUM(BR721)</f>
        <v>0</v>
      </c>
      <c r="BS722" s="410">
        <f t="shared" si="352"/>
        <v>0</v>
      </c>
      <c r="BT722" s="410">
        <f t="shared" si="351"/>
        <v>0</v>
      </c>
      <c r="BU722" s="410"/>
      <c r="BV722" s="410"/>
      <c r="BW722" s="410">
        <f t="shared" si="351"/>
        <v>0</v>
      </c>
      <c r="BX722" s="410"/>
      <c r="BY722" s="410"/>
      <c r="BZ722" s="410">
        <f>SUM(BZ721)</f>
        <v>244500000</v>
      </c>
      <c r="CA722" s="410">
        <f t="shared" ref="CA722:CB722" si="353">SUM(CA721)</f>
        <v>0</v>
      </c>
      <c r="CB722" s="410">
        <f t="shared" si="353"/>
        <v>0</v>
      </c>
    </row>
    <row r="723" spans="1:80" ht="30" customHeight="1" x14ac:dyDescent="0.2">
      <c r="A723" s="55"/>
      <c r="B723" s="95"/>
      <c r="C723" s="63"/>
      <c r="D723" s="62"/>
      <c r="E723" s="63"/>
      <c r="F723" s="63"/>
      <c r="G723" s="62"/>
      <c r="H723" s="63"/>
      <c r="I723" s="62"/>
      <c r="J723" s="64"/>
      <c r="K723" s="115"/>
      <c r="L723" s="115"/>
      <c r="M723" s="115"/>
      <c r="N723" s="64"/>
      <c r="O723" s="64"/>
      <c r="P723" s="343"/>
      <c r="Q723" s="64"/>
      <c r="R723" s="416">
        <f t="shared" ref="R723:BK723" si="354">R722</f>
        <v>0</v>
      </c>
      <c r="S723" s="416"/>
      <c r="T723" s="416"/>
      <c r="U723" s="416">
        <f t="shared" si="354"/>
        <v>0</v>
      </c>
      <c r="V723" s="416"/>
      <c r="W723" s="416"/>
      <c r="X723" s="416">
        <f t="shared" si="354"/>
        <v>0</v>
      </c>
      <c r="Y723" s="416"/>
      <c r="Z723" s="416"/>
      <c r="AA723" s="416">
        <f t="shared" si="354"/>
        <v>0</v>
      </c>
      <c r="AB723" s="416"/>
      <c r="AC723" s="416"/>
      <c r="AD723" s="416">
        <f t="shared" si="354"/>
        <v>0</v>
      </c>
      <c r="AE723" s="416"/>
      <c r="AF723" s="416"/>
      <c r="AG723" s="416">
        <f t="shared" si="354"/>
        <v>0</v>
      </c>
      <c r="AH723" s="416"/>
      <c r="AI723" s="416"/>
      <c r="AJ723" s="416">
        <f t="shared" si="354"/>
        <v>0</v>
      </c>
      <c r="AK723" s="416"/>
      <c r="AL723" s="416"/>
      <c r="AM723" s="416"/>
      <c r="AN723" s="416"/>
      <c r="AO723" s="416"/>
      <c r="AP723" s="416"/>
      <c r="AQ723" s="416"/>
      <c r="AR723" s="416"/>
      <c r="AS723" s="416">
        <f t="shared" si="354"/>
        <v>0</v>
      </c>
      <c r="AT723" s="416"/>
      <c r="AU723" s="416"/>
      <c r="AV723" s="416">
        <f t="shared" si="354"/>
        <v>0</v>
      </c>
      <c r="AW723" s="416"/>
      <c r="AX723" s="416"/>
      <c r="AY723" s="416">
        <f t="shared" si="354"/>
        <v>0</v>
      </c>
      <c r="AZ723" s="416"/>
      <c r="BA723" s="416"/>
      <c r="BB723" s="416">
        <f t="shared" si="354"/>
        <v>0</v>
      </c>
      <c r="BC723" s="416"/>
      <c r="BD723" s="416"/>
      <c r="BE723" s="416">
        <f t="shared" si="354"/>
        <v>0</v>
      </c>
      <c r="BF723" s="416"/>
      <c r="BG723" s="416"/>
      <c r="BH723" s="416">
        <f t="shared" si="354"/>
        <v>0</v>
      </c>
      <c r="BI723" s="416"/>
      <c r="BJ723" s="416"/>
      <c r="BK723" s="477">
        <f t="shared" si="354"/>
        <v>0</v>
      </c>
      <c r="BL723" s="477"/>
      <c r="BM723" s="477"/>
      <c r="BN723" s="416">
        <f>BN722</f>
        <v>0</v>
      </c>
      <c r="BO723" s="416"/>
      <c r="BP723" s="416"/>
      <c r="BQ723" s="416">
        <f t="shared" ref="BQ723:BW723" si="355">BQ722</f>
        <v>244500000</v>
      </c>
      <c r="BR723" s="416">
        <f t="shared" ref="BR723:BS723" si="356">BR722</f>
        <v>0</v>
      </c>
      <c r="BS723" s="416">
        <f t="shared" si="356"/>
        <v>0</v>
      </c>
      <c r="BT723" s="416">
        <f t="shared" si="355"/>
        <v>0</v>
      </c>
      <c r="BU723" s="416"/>
      <c r="BV723" s="416"/>
      <c r="BW723" s="416">
        <f t="shared" si="355"/>
        <v>0</v>
      </c>
      <c r="BX723" s="416"/>
      <c r="BY723" s="416"/>
      <c r="BZ723" s="416">
        <f>BZ722</f>
        <v>244500000</v>
      </c>
      <c r="CA723" s="416">
        <f t="shared" ref="CA723:CB723" si="357">CA722</f>
        <v>0</v>
      </c>
      <c r="CB723" s="416">
        <f t="shared" si="357"/>
        <v>0</v>
      </c>
    </row>
    <row r="724" spans="1:80" ht="30" customHeight="1" x14ac:dyDescent="0.2">
      <c r="A724" s="65"/>
      <c r="B724" s="65"/>
      <c r="C724" s="66"/>
      <c r="D724" s="65"/>
      <c r="E724" s="66"/>
      <c r="F724" s="66"/>
      <c r="G724" s="65"/>
      <c r="H724" s="66"/>
      <c r="I724" s="65"/>
      <c r="J724" s="67"/>
      <c r="K724" s="116"/>
      <c r="L724" s="116"/>
      <c r="M724" s="116"/>
      <c r="N724" s="67"/>
      <c r="O724" s="67"/>
      <c r="P724" s="351"/>
      <c r="Q724" s="67"/>
      <c r="R724" s="422">
        <f t="shared" ref="R724:AJ724" si="358">R723+R717+R705</f>
        <v>0</v>
      </c>
      <c r="S724" s="422"/>
      <c r="T724" s="422"/>
      <c r="U724" s="422">
        <f t="shared" si="358"/>
        <v>0</v>
      </c>
      <c r="V724" s="422"/>
      <c r="W724" s="422"/>
      <c r="X724" s="422">
        <f t="shared" si="358"/>
        <v>0</v>
      </c>
      <c r="Y724" s="422"/>
      <c r="Z724" s="422"/>
      <c r="AA724" s="422">
        <f t="shared" si="358"/>
        <v>0</v>
      </c>
      <c r="AB724" s="422"/>
      <c r="AC724" s="422"/>
      <c r="AD724" s="422">
        <f t="shared" si="358"/>
        <v>0</v>
      </c>
      <c r="AE724" s="422"/>
      <c r="AF724" s="422"/>
      <c r="AG724" s="422">
        <f t="shared" si="358"/>
        <v>0</v>
      </c>
      <c r="AH724" s="422"/>
      <c r="AI724" s="422"/>
      <c r="AJ724" s="422">
        <f t="shared" si="358"/>
        <v>0</v>
      </c>
      <c r="AK724" s="422"/>
      <c r="AL724" s="422"/>
      <c r="AM724" s="422"/>
      <c r="AN724" s="422"/>
      <c r="AO724" s="422"/>
      <c r="AP724" s="422"/>
      <c r="AQ724" s="422"/>
      <c r="AR724" s="422"/>
      <c r="AS724" s="422">
        <f t="shared" ref="AS724:BK724" si="359">AS723+AS717+AS705</f>
        <v>0</v>
      </c>
      <c r="AT724" s="422"/>
      <c r="AU724" s="422"/>
      <c r="AV724" s="422">
        <f t="shared" si="359"/>
        <v>0</v>
      </c>
      <c r="AW724" s="422"/>
      <c r="AX724" s="422"/>
      <c r="AY724" s="422">
        <f t="shared" si="359"/>
        <v>0</v>
      </c>
      <c r="AZ724" s="422"/>
      <c r="BA724" s="422"/>
      <c r="BB724" s="422">
        <f t="shared" si="359"/>
        <v>0</v>
      </c>
      <c r="BC724" s="422"/>
      <c r="BD724" s="422"/>
      <c r="BE724" s="422">
        <f t="shared" si="359"/>
        <v>0</v>
      </c>
      <c r="BF724" s="422"/>
      <c r="BG724" s="422"/>
      <c r="BH724" s="422">
        <f t="shared" si="359"/>
        <v>0</v>
      </c>
      <c r="BI724" s="422"/>
      <c r="BJ724" s="422"/>
      <c r="BK724" s="478">
        <f t="shared" si="359"/>
        <v>810393341</v>
      </c>
      <c r="BL724" s="478">
        <f t="shared" ref="BL724:BM724" si="360">BL723+BL717+BL705</f>
        <v>650165400</v>
      </c>
      <c r="BM724" s="478">
        <f t="shared" si="360"/>
        <v>494340000</v>
      </c>
      <c r="BN724" s="422">
        <f>BN723+BN717+BN705</f>
        <v>2096307355</v>
      </c>
      <c r="BO724" s="422">
        <f t="shared" ref="BO724:BP724" si="361">BO723+BO717+BO705</f>
        <v>1413973687</v>
      </c>
      <c r="BP724" s="422">
        <f t="shared" si="361"/>
        <v>746956681</v>
      </c>
      <c r="BQ724" s="422">
        <f t="shared" ref="BQ724:BW724" si="362">BQ723+BQ717+BQ705</f>
        <v>276728160</v>
      </c>
      <c r="BR724" s="422">
        <f t="shared" ref="BR724:BS724" si="363">BR723+BR717+BR705</f>
        <v>32228160</v>
      </c>
      <c r="BS724" s="422">
        <f t="shared" si="363"/>
        <v>24228160</v>
      </c>
      <c r="BT724" s="422">
        <f t="shared" si="362"/>
        <v>0</v>
      </c>
      <c r="BU724" s="422"/>
      <c r="BV724" s="422"/>
      <c r="BW724" s="422">
        <f t="shared" si="362"/>
        <v>251747962</v>
      </c>
      <c r="BX724" s="422"/>
      <c r="BY724" s="422"/>
      <c r="BZ724" s="422">
        <f>BZ723+BZ717+BZ705</f>
        <v>3435176818</v>
      </c>
      <c r="CA724" s="422">
        <f t="shared" ref="CA724:CB724" si="364">CA723+CA717+CA705</f>
        <v>2297279889</v>
      </c>
      <c r="CB724" s="422">
        <f t="shared" si="364"/>
        <v>1430437459</v>
      </c>
    </row>
    <row r="725" spans="1:80" s="2" customFormat="1" ht="30" customHeight="1" x14ac:dyDescent="0.25">
      <c r="A725" s="68"/>
      <c r="B725" s="68"/>
      <c r="C725" s="69"/>
      <c r="D725" s="68"/>
      <c r="E725" s="69"/>
      <c r="F725" s="69"/>
      <c r="G725" s="68"/>
      <c r="H725" s="69"/>
      <c r="I725" s="68"/>
      <c r="J725" s="70"/>
      <c r="K725" s="117"/>
      <c r="L725" s="117"/>
      <c r="M725" s="117"/>
      <c r="N725" s="70"/>
      <c r="O725" s="70"/>
      <c r="P725" s="325"/>
      <c r="Q725" s="70"/>
      <c r="R725" s="423">
        <f t="shared" ref="R725:AJ725" si="365">R724</f>
        <v>0</v>
      </c>
      <c r="S725" s="423"/>
      <c r="T725" s="423"/>
      <c r="U725" s="423">
        <f t="shared" si="365"/>
        <v>0</v>
      </c>
      <c r="V725" s="423"/>
      <c r="W725" s="423"/>
      <c r="X725" s="423">
        <f t="shared" si="365"/>
        <v>0</v>
      </c>
      <c r="Y725" s="423"/>
      <c r="Z725" s="423"/>
      <c r="AA725" s="423">
        <f t="shared" si="365"/>
        <v>0</v>
      </c>
      <c r="AB725" s="423"/>
      <c r="AC725" s="423"/>
      <c r="AD725" s="423">
        <f t="shared" si="365"/>
        <v>0</v>
      </c>
      <c r="AE725" s="423"/>
      <c r="AF725" s="423"/>
      <c r="AG725" s="423">
        <f t="shared" si="365"/>
        <v>0</v>
      </c>
      <c r="AH725" s="423"/>
      <c r="AI725" s="423"/>
      <c r="AJ725" s="423">
        <f t="shared" si="365"/>
        <v>0</v>
      </c>
      <c r="AK725" s="423"/>
      <c r="AL725" s="423"/>
      <c r="AM725" s="423"/>
      <c r="AN725" s="423"/>
      <c r="AO725" s="423"/>
      <c r="AP725" s="423"/>
      <c r="AQ725" s="423"/>
      <c r="AR725" s="423"/>
      <c r="AS725" s="423">
        <f t="shared" ref="AS725:BB725" si="366">AS724</f>
        <v>0</v>
      </c>
      <c r="AT725" s="423"/>
      <c r="AU725" s="423"/>
      <c r="AV725" s="423">
        <f t="shared" si="366"/>
        <v>0</v>
      </c>
      <c r="AW725" s="423"/>
      <c r="AX725" s="423"/>
      <c r="AY725" s="423">
        <f t="shared" si="366"/>
        <v>0</v>
      </c>
      <c r="AZ725" s="423"/>
      <c r="BA725" s="423"/>
      <c r="BB725" s="423">
        <f t="shared" si="366"/>
        <v>0</v>
      </c>
      <c r="BC725" s="423"/>
      <c r="BD725" s="423"/>
      <c r="BE725" s="423">
        <f t="shared" ref="BE725:BK725" si="367">BE724</f>
        <v>0</v>
      </c>
      <c r="BF725" s="423"/>
      <c r="BG725" s="423"/>
      <c r="BH725" s="423">
        <f t="shared" si="367"/>
        <v>0</v>
      </c>
      <c r="BI725" s="423"/>
      <c r="BJ725" s="423"/>
      <c r="BK725" s="479">
        <f t="shared" si="367"/>
        <v>810393341</v>
      </c>
      <c r="BL725" s="479">
        <f t="shared" ref="BL725:BM725" si="368">BL724</f>
        <v>650165400</v>
      </c>
      <c r="BM725" s="479">
        <f t="shared" si="368"/>
        <v>494340000</v>
      </c>
      <c r="BN725" s="423">
        <f>BN724</f>
        <v>2096307355</v>
      </c>
      <c r="BO725" s="423">
        <f t="shared" ref="BO725:BP725" si="369">BO724</f>
        <v>1413973687</v>
      </c>
      <c r="BP725" s="423">
        <f t="shared" si="369"/>
        <v>746956681</v>
      </c>
      <c r="BQ725" s="423">
        <f t="shared" ref="BQ725:BW725" si="370">BQ724</f>
        <v>276728160</v>
      </c>
      <c r="BR725" s="423">
        <f t="shared" ref="BR725:BS725" si="371">BR724</f>
        <v>32228160</v>
      </c>
      <c r="BS725" s="423">
        <f t="shared" si="371"/>
        <v>24228160</v>
      </c>
      <c r="BT725" s="423">
        <f t="shared" si="370"/>
        <v>0</v>
      </c>
      <c r="BU725" s="423"/>
      <c r="BV725" s="423"/>
      <c r="BW725" s="423">
        <f t="shared" si="370"/>
        <v>251747962</v>
      </c>
      <c r="BX725" s="423"/>
      <c r="BY725" s="423"/>
      <c r="BZ725" s="423">
        <f>BZ724</f>
        <v>3435176818</v>
      </c>
      <c r="CA725" s="423">
        <f t="shared" ref="CA725:CB725" si="372">CA724</f>
        <v>2297279889</v>
      </c>
      <c r="CB725" s="423">
        <f t="shared" si="372"/>
        <v>1430437459</v>
      </c>
    </row>
    <row r="726" spans="1:80" s="2" customFormat="1" ht="30" customHeight="1" x14ac:dyDescent="0.25">
      <c r="A726" s="71"/>
      <c r="B726" s="72"/>
      <c r="C726" s="150"/>
      <c r="D726" s="72"/>
      <c r="E726" s="150"/>
      <c r="F726" s="150"/>
      <c r="G726" s="72"/>
      <c r="H726" s="150"/>
      <c r="I726" s="72"/>
      <c r="J726" s="73"/>
      <c r="K726" s="261"/>
      <c r="L726" s="261"/>
      <c r="M726" s="261"/>
      <c r="N726" s="73"/>
      <c r="O726" s="73"/>
      <c r="P726" s="89"/>
      <c r="Q726" s="73"/>
      <c r="R726" s="405"/>
      <c r="S726" s="405"/>
      <c r="T726" s="405"/>
      <c r="U726" s="406"/>
      <c r="V726" s="406"/>
      <c r="W726" s="406"/>
      <c r="X726" s="405"/>
      <c r="Y726" s="405"/>
      <c r="Z726" s="405"/>
      <c r="AA726" s="405"/>
      <c r="AB726" s="405"/>
      <c r="AC726" s="405"/>
      <c r="AD726" s="405"/>
      <c r="AE726" s="405"/>
      <c r="AF726" s="405"/>
      <c r="AG726" s="405"/>
      <c r="AH726" s="405"/>
      <c r="AI726" s="405"/>
      <c r="AJ726" s="405"/>
      <c r="AK726" s="405"/>
      <c r="AL726" s="405"/>
      <c r="AM726" s="405"/>
      <c r="AN726" s="405"/>
      <c r="AO726" s="405"/>
      <c r="AP726" s="405"/>
      <c r="AQ726" s="405"/>
      <c r="AR726" s="405"/>
      <c r="AS726" s="405"/>
      <c r="AT726" s="405"/>
      <c r="AU726" s="405"/>
      <c r="AV726" s="405"/>
      <c r="AW726" s="405"/>
      <c r="AX726" s="405"/>
      <c r="AY726" s="405"/>
      <c r="AZ726" s="405"/>
      <c r="BA726" s="405"/>
      <c r="BB726" s="405"/>
      <c r="BC726" s="405"/>
      <c r="BD726" s="405"/>
      <c r="BE726" s="405"/>
      <c r="BF726" s="405"/>
      <c r="BG726" s="405"/>
      <c r="BH726" s="405"/>
      <c r="BI726" s="405"/>
      <c r="BJ726" s="405"/>
      <c r="BK726" s="405"/>
      <c r="BL726" s="405"/>
      <c r="BM726" s="405"/>
      <c r="BN726" s="405"/>
      <c r="BO726" s="405"/>
      <c r="BP726" s="405"/>
      <c r="BQ726" s="405"/>
      <c r="BR726" s="405"/>
      <c r="BS726" s="405"/>
      <c r="BT726" s="405"/>
      <c r="BU726" s="405"/>
      <c r="BV726" s="405"/>
      <c r="BW726" s="406"/>
      <c r="BX726" s="406"/>
      <c r="BY726" s="406"/>
      <c r="BZ726" s="405"/>
      <c r="CA726" s="405"/>
      <c r="CB726" s="409"/>
    </row>
    <row r="727" spans="1:80" ht="30" customHeight="1" x14ac:dyDescent="0.2">
      <c r="A727" s="352" t="s">
        <v>920</v>
      </c>
      <c r="B727" s="352"/>
      <c r="C727" s="353"/>
      <c r="D727" s="352"/>
      <c r="E727" s="352"/>
      <c r="F727" s="352"/>
      <c r="G727" s="354"/>
      <c r="H727" s="355"/>
      <c r="I727" s="354"/>
      <c r="J727" s="354"/>
      <c r="K727" s="356"/>
      <c r="L727" s="356"/>
      <c r="M727" s="356"/>
      <c r="N727" s="355"/>
      <c r="O727" s="355"/>
      <c r="P727" s="354"/>
      <c r="Q727" s="355"/>
      <c r="R727" s="517"/>
      <c r="S727" s="517"/>
      <c r="T727" s="517"/>
      <c r="U727" s="517"/>
      <c r="V727" s="517"/>
      <c r="W727" s="517"/>
      <c r="X727" s="517"/>
      <c r="Y727" s="517"/>
      <c r="Z727" s="517"/>
      <c r="AA727" s="517"/>
      <c r="AB727" s="517"/>
      <c r="AC727" s="517"/>
      <c r="AD727" s="517"/>
      <c r="AE727" s="517"/>
      <c r="AF727" s="517"/>
      <c r="AG727" s="517"/>
      <c r="AH727" s="517"/>
      <c r="AI727" s="517"/>
      <c r="AJ727" s="517"/>
      <c r="AK727" s="517"/>
      <c r="AL727" s="517"/>
      <c r="AM727" s="517"/>
      <c r="AN727" s="517"/>
      <c r="AO727" s="517"/>
      <c r="AP727" s="517"/>
      <c r="AQ727" s="517"/>
      <c r="AR727" s="517"/>
      <c r="AS727" s="517"/>
      <c r="AT727" s="517"/>
      <c r="AU727" s="517"/>
      <c r="AV727" s="517"/>
      <c r="AW727" s="517"/>
      <c r="AX727" s="517"/>
      <c r="AY727" s="517"/>
      <c r="AZ727" s="517"/>
      <c r="BA727" s="517"/>
      <c r="BB727" s="517"/>
      <c r="BC727" s="517"/>
      <c r="BD727" s="517"/>
      <c r="BE727" s="517"/>
      <c r="BF727" s="517"/>
      <c r="BG727" s="517"/>
      <c r="BH727" s="517"/>
      <c r="BI727" s="517"/>
      <c r="BJ727" s="517"/>
      <c r="BK727" s="518"/>
      <c r="BL727" s="518"/>
      <c r="BM727" s="518"/>
      <c r="BN727" s="519"/>
      <c r="BO727" s="519"/>
      <c r="BP727" s="519"/>
      <c r="BQ727" s="517"/>
      <c r="BR727" s="517"/>
      <c r="BS727" s="517"/>
      <c r="BT727" s="517"/>
      <c r="BU727" s="517"/>
      <c r="BV727" s="517"/>
      <c r="BW727" s="517"/>
      <c r="BX727" s="517"/>
      <c r="BY727" s="517"/>
      <c r="BZ727" s="520"/>
      <c r="CA727" s="520"/>
      <c r="CB727" s="520"/>
    </row>
    <row r="728" spans="1:80" ht="30" customHeight="1" x14ac:dyDescent="0.2">
      <c r="A728" s="710">
        <v>2</v>
      </c>
      <c r="B728" s="871" t="s">
        <v>129</v>
      </c>
      <c r="C728" s="871"/>
      <c r="D728" s="871"/>
      <c r="E728" s="871"/>
      <c r="F728" s="238"/>
      <c r="G728" s="357"/>
      <c r="H728" s="358"/>
      <c r="I728" s="357"/>
      <c r="J728" s="357"/>
      <c r="K728" s="359"/>
      <c r="L728" s="359"/>
      <c r="M728" s="359"/>
      <c r="N728" s="358"/>
      <c r="O728" s="358"/>
      <c r="P728" s="357"/>
      <c r="Q728" s="357"/>
      <c r="R728" s="521"/>
      <c r="S728" s="521"/>
      <c r="T728" s="521"/>
      <c r="U728" s="521"/>
      <c r="V728" s="521"/>
      <c r="W728" s="521"/>
      <c r="X728" s="521"/>
      <c r="Y728" s="521"/>
      <c r="Z728" s="521"/>
      <c r="AA728" s="521"/>
      <c r="AB728" s="521"/>
      <c r="AC728" s="521"/>
      <c r="AD728" s="521"/>
      <c r="AE728" s="521"/>
      <c r="AF728" s="521"/>
      <c r="AG728" s="521"/>
      <c r="AH728" s="521"/>
      <c r="AI728" s="521"/>
      <c r="AJ728" s="521"/>
      <c r="AK728" s="521"/>
      <c r="AL728" s="521"/>
      <c r="AM728" s="521"/>
      <c r="AN728" s="521"/>
      <c r="AO728" s="521"/>
      <c r="AP728" s="521"/>
      <c r="AQ728" s="521"/>
      <c r="AR728" s="521"/>
      <c r="AS728" s="521"/>
      <c r="AT728" s="521"/>
      <c r="AU728" s="521"/>
      <c r="AV728" s="521"/>
      <c r="AW728" s="521"/>
      <c r="AX728" s="521"/>
      <c r="AY728" s="521"/>
      <c r="AZ728" s="521"/>
      <c r="BA728" s="521"/>
      <c r="BB728" s="521"/>
      <c r="BC728" s="521"/>
      <c r="BD728" s="521"/>
      <c r="BE728" s="521"/>
      <c r="BF728" s="521"/>
      <c r="BG728" s="521"/>
      <c r="BH728" s="521"/>
      <c r="BI728" s="521"/>
      <c r="BJ728" s="521"/>
      <c r="BK728" s="522"/>
      <c r="BL728" s="522"/>
      <c r="BM728" s="522"/>
      <c r="BN728" s="521"/>
      <c r="BO728" s="521"/>
      <c r="BP728" s="521"/>
      <c r="BQ728" s="521"/>
      <c r="BR728" s="521"/>
      <c r="BS728" s="521"/>
      <c r="BT728" s="521"/>
      <c r="BU728" s="521"/>
      <c r="BV728" s="521"/>
      <c r="BW728" s="521"/>
      <c r="BX728" s="521"/>
      <c r="BY728" s="521"/>
      <c r="BZ728" s="465"/>
      <c r="CA728" s="465"/>
      <c r="CB728" s="465"/>
    </row>
    <row r="729" spans="1:80" ht="30" customHeight="1" x14ac:dyDescent="0.2">
      <c r="A729" s="382"/>
      <c r="B729" s="152">
        <v>4</v>
      </c>
      <c r="C729" s="872" t="s">
        <v>130</v>
      </c>
      <c r="D729" s="872"/>
      <c r="E729" s="872"/>
      <c r="F729" s="872"/>
      <c r="G729" s="360"/>
      <c r="H729" s="361"/>
      <c r="I729" s="360"/>
      <c r="J729" s="360"/>
      <c r="K729" s="362"/>
      <c r="L729" s="362"/>
      <c r="M729" s="362"/>
      <c r="N729" s="361"/>
      <c r="O729" s="361"/>
      <c r="P729" s="360"/>
      <c r="Q729" s="360"/>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3"/>
      <c r="AY729" s="523"/>
      <c r="AZ729" s="523"/>
      <c r="BA729" s="523"/>
      <c r="BB729" s="523"/>
      <c r="BC729" s="523"/>
      <c r="BD729" s="523"/>
      <c r="BE729" s="523"/>
      <c r="BF729" s="523"/>
      <c r="BG729" s="523"/>
      <c r="BH729" s="523"/>
      <c r="BI729" s="523"/>
      <c r="BJ729" s="523"/>
      <c r="BK729" s="524"/>
      <c r="BL729" s="524"/>
      <c r="BM729" s="524"/>
      <c r="BN729" s="523"/>
      <c r="BO729" s="523"/>
      <c r="BP729" s="523"/>
      <c r="BQ729" s="523"/>
      <c r="BR729" s="523"/>
      <c r="BS729" s="523"/>
      <c r="BT729" s="523"/>
      <c r="BU729" s="523"/>
      <c r="BV729" s="523"/>
      <c r="BW729" s="523"/>
      <c r="BX729" s="523"/>
      <c r="BY729" s="523"/>
      <c r="BZ729" s="525"/>
      <c r="CA729" s="525"/>
      <c r="CB729" s="525"/>
    </row>
    <row r="730" spans="1:80" ht="30" customHeight="1" x14ac:dyDescent="0.2">
      <c r="A730" s="42"/>
      <c r="B730" s="76"/>
      <c r="C730" s="27"/>
      <c r="D730" s="76"/>
      <c r="E730" s="76"/>
      <c r="F730" s="76"/>
      <c r="G730" s="219">
        <v>14</v>
      </c>
      <c r="H730" s="173" t="s">
        <v>131</v>
      </c>
      <c r="I730" s="80"/>
      <c r="J730" s="80"/>
      <c r="K730" s="128"/>
      <c r="L730" s="128"/>
      <c r="M730" s="128"/>
      <c r="N730" s="173"/>
      <c r="O730" s="173"/>
      <c r="P730" s="80"/>
      <c r="Q730" s="80"/>
      <c r="R730" s="267"/>
      <c r="S730" s="267"/>
      <c r="T730" s="267"/>
      <c r="U730" s="267"/>
      <c r="V730" s="267"/>
      <c r="W730" s="267"/>
      <c r="X730" s="267"/>
      <c r="Y730" s="267"/>
      <c r="Z730" s="267"/>
      <c r="AA730" s="267"/>
      <c r="AB730" s="267"/>
      <c r="AC730" s="267"/>
      <c r="AD730" s="267"/>
      <c r="AE730" s="267"/>
      <c r="AF730" s="267"/>
      <c r="AG730" s="267"/>
      <c r="AH730" s="267"/>
      <c r="AI730" s="267"/>
      <c r="AJ730" s="267"/>
      <c r="AK730" s="267"/>
      <c r="AL730" s="267"/>
      <c r="AM730" s="267"/>
      <c r="AN730" s="267"/>
      <c r="AO730" s="267"/>
      <c r="AP730" s="267"/>
      <c r="AQ730" s="267"/>
      <c r="AR730" s="267"/>
      <c r="AS730" s="267"/>
      <c r="AT730" s="267"/>
      <c r="AU730" s="267"/>
      <c r="AV730" s="267"/>
      <c r="AW730" s="267"/>
      <c r="AX730" s="267"/>
      <c r="AY730" s="267"/>
      <c r="AZ730" s="267"/>
      <c r="BA730" s="267"/>
      <c r="BB730" s="267"/>
      <c r="BC730" s="267"/>
      <c r="BD730" s="267"/>
      <c r="BE730" s="267"/>
      <c r="BF730" s="267"/>
      <c r="BG730" s="267"/>
      <c r="BH730" s="267"/>
      <c r="BI730" s="267"/>
      <c r="BJ730" s="267"/>
      <c r="BK730" s="414"/>
      <c r="BL730" s="414"/>
      <c r="BM730" s="414"/>
      <c r="BN730" s="267"/>
      <c r="BO730" s="267"/>
      <c r="BP730" s="267"/>
      <c r="BQ730" s="267"/>
      <c r="BR730" s="267"/>
      <c r="BS730" s="267"/>
      <c r="BT730" s="267"/>
      <c r="BU730" s="267"/>
      <c r="BV730" s="267"/>
      <c r="BW730" s="267"/>
      <c r="BX730" s="267"/>
      <c r="BY730" s="267"/>
      <c r="BZ730" s="269"/>
      <c r="CA730" s="269"/>
      <c r="CB730" s="269"/>
    </row>
    <row r="731" spans="1:80" ht="88.5" customHeight="1" x14ac:dyDescent="0.2">
      <c r="A731" s="42"/>
      <c r="B731" s="42"/>
      <c r="C731" s="702">
        <v>7</v>
      </c>
      <c r="D731" s="708" t="s">
        <v>921</v>
      </c>
      <c r="E731" s="716">
        <v>0.317</v>
      </c>
      <c r="F731" s="712">
        <v>0.27</v>
      </c>
      <c r="G731" s="51"/>
      <c r="H731" s="134">
        <v>54</v>
      </c>
      <c r="I731" s="729" t="s">
        <v>133</v>
      </c>
      <c r="J731" s="57">
        <v>129.85</v>
      </c>
      <c r="K731" s="107">
        <v>130</v>
      </c>
      <c r="L731" s="107">
        <v>0</v>
      </c>
      <c r="M731" s="46">
        <v>2017003630058</v>
      </c>
      <c r="N731" s="57" t="s">
        <v>922</v>
      </c>
      <c r="O731" s="704" t="s">
        <v>923</v>
      </c>
      <c r="P731" s="363" t="s">
        <v>924</v>
      </c>
      <c r="Q731" s="57" t="s">
        <v>52</v>
      </c>
      <c r="R731" s="401"/>
      <c r="S731" s="401"/>
      <c r="T731" s="401"/>
      <c r="U731" s="401"/>
      <c r="V731" s="401"/>
      <c r="W731" s="401"/>
      <c r="X731" s="401"/>
      <c r="Y731" s="401"/>
      <c r="Z731" s="401"/>
      <c r="AA731" s="401"/>
      <c r="AB731" s="401"/>
      <c r="AC731" s="401"/>
      <c r="AD731" s="401"/>
      <c r="AE731" s="403"/>
      <c r="AF731" s="403"/>
      <c r="AG731" s="404"/>
      <c r="AH731" s="404"/>
      <c r="AI731" s="404"/>
      <c r="AJ731" s="401"/>
      <c r="AK731" s="401"/>
      <c r="AL731" s="401"/>
      <c r="AM731" s="401"/>
      <c r="AN731" s="401"/>
      <c r="AO731" s="401"/>
      <c r="AP731" s="401"/>
      <c r="AQ731" s="401"/>
      <c r="AR731" s="401"/>
      <c r="AS731" s="401"/>
      <c r="AT731" s="401"/>
      <c r="AU731" s="401"/>
      <c r="AV731" s="401"/>
      <c r="AW731" s="401"/>
      <c r="AX731" s="401"/>
      <c r="AY731" s="401"/>
      <c r="AZ731" s="401"/>
      <c r="BA731" s="401"/>
      <c r="BB731" s="401"/>
      <c r="BC731" s="401"/>
      <c r="BD731" s="401"/>
      <c r="BE731" s="401"/>
      <c r="BF731" s="401"/>
      <c r="BG731" s="401"/>
      <c r="BH731" s="401"/>
      <c r="BI731" s="401"/>
      <c r="BJ731" s="401"/>
      <c r="BK731" s="402">
        <v>0</v>
      </c>
      <c r="BL731" s="402"/>
      <c r="BM731" s="402"/>
      <c r="BN731" s="415"/>
      <c r="BO731" s="441"/>
      <c r="BP731" s="441"/>
      <c r="BQ731" s="364">
        <f>240000000</f>
        <v>240000000</v>
      </c>
      <c r="BR731" s="365">
        <v>220511333.33000001</v>
      </c>
      <c r="BS731" s="365">
        <v>90982539.189999998</v>
      </c>
      <c r="BT731" s="365"/>
      <c r="BU731" s="365"/>
      <c r="BV731" s="365"/>
      <c r="BW731" s="403"/>
      <c r="BX731" s="403"/>
      <c r="BY731" s="403"/>
      <c r="BZ731" s="401">
        <f t="shared" ref="BZ731:CB731" si="373">R731+U731+X731+AA731+AD731+AG731+AJ731+AM731+AP731+AS731+AV731+AY731+BB731+BE731+BH731+BK731+BN731+BQ731+BT731+BW731</f>
        <v>240000000</v>
      </c>
      <c r="CA731" s="401">
        <f t="shared" si="373"/>
        <v>220511333.33000001</v>
      </c>
      <c r="CB731" s="401">
        <f t="shared" si="373"/>
        <v>90982539.189999998</v>
      </c>
    </row>
    <row r="732" spans="1:80" ht="30" customHeight="1" x14ac:dyDescent="0.2">
      <c r="A732" s="42"/>
      <c r="B732" s="42"/>
      <c r="C732" s="702"/>
      <c r="D732" s="49"/>
      <c r="E732" s="49"/>
      <c r="F732" s="49"/>
      <c r="G732" s="570">
        <v>15</v>
      </c>
      <c r="H732" s="161" t="s">
        <v>139</v>
      </c>
      <c r="I732" s="162"/>
      <c r="J732" s="162"/>
      <c r="K732" s="551"/>
      <c r="L732" s="551"/>
      <c r="M732" s="551"/>
      <c r="N732" s="393"/>
      <c r="O732" s="393"/>
      <c r="P732" s="162"/>
      <c r="Q732" s="162"/>
      <c r="R732" s="444">
        <f>SUM(R731)</f>
        <v>0</v>
      </c>
      <c r="S732" s="444"/>
      <c r="T732" s="444"/>
      <c r="U732" s="444">
        <f>SUM(U731)</f>
        <v>0</v>
      </c>
      <c r="V732" s="444"/>
      <c r="W732" s="444"/>
      <c r="X732" s="444">
        <f t="shared" ref="X732:BW732" si="374">SUM(X731)</f>
        <v>0</v>
      </c>
      <c r="Y732" s="444"/>
      <c r="Z732" s="444"/>
      <c r="AA732" s="444">
        <f t="shared" si="374"/>
        <v>0</v>
      </c>
      <c r="AB732" s="444"/>
      <c r="AC732" s="444"/>
      <c r="AD732" s="444">
        <f t="shared" si="374"/>
        <v>0</v>
      </c>
      <c r="AE732" s="444"/>
      <c r="AF732" s="444"/>
      <c r="AG732" s="444">
        <f t="shared" si="374"/>
        <v>0</v>
      </c>
      <c r="AH732" s="444"/>
      <c r="AI732" s="444"/>
      <c r="AJ732" s="444">
        <f t="shared" si="374"/>
        <v>0</v>
      </c>
      <c r="AK732" s="444"/>
      <c r="AL732" s="444"/>
      <c r="AM732" s="444">
        <f t="shared" si="374"/>
        <v>0</v>
      </c>
      <c r="AN732" s="444"/>
      <c r="AO732" s="444"/>
      <c r="AP732" s="444">
        <f t="shared" si="374"/>
        <v>0</v>
      </c>
      <c r="AQ732" s="444"/>
      <c r="AR732" s="444"/>
      <c r="AS732" s="444">
        <f t="shared" si="374"/>
        <v>0</v>
      </c>
      <c r="AT732" s="444"/>
      <c r="AU732" s="444"/>
      <c r="AV732" s="444">
        <f t="shared" si="374"/>
        <v>0</v>
      </c>
      <c r="AW732" s="444"/>
      <c r="AX732" s="444"/>
      <c r="AY732" s="444">
        <f t="shared" si="374"/>
        <v>0</v>
      </c>
      <c r="AZ732" s="444"/>
      <c r="BA732" s="444"/>
      <c r="BB732" s="444">
        <f t="shared" si="374"/>
        <v>0</v>
      </c>
      <c r="BC732" s="444"/>
      <c r="BD732" s="444"/>
      <c r="BE732" s="444">
        <f t="shared" si="374"/>
        <v>0</v>
      </c>
      <c r="BF732" s="444"/>
      <c r="BG732" s="444"/>
      <c r="BH732" s="444">
        <f t="shared" si="374"/>
        <v>0</v>
      </c>
      <c r="BI732" s="444"/>
      <c r="BJ732" s="444"/>
      <c r="BK732" s="445">
        <f t="shared" si="374"/>
        <v>0</v>
      </c>
      <c r="BL732" s="445"/>
      <c r="BM732" s="445"/>
      <c r="BN732" s="445">
        <f t="shared" si="374"/>
        <v>0</v>
      </c>
      <c r="BO732" s="445"/>
      <c r="BP732" s="445"/>
      <c r="BQ732" s="513">
        <f t="shared" si="374"/>
        <v>240000000</v>
      </c>
      <c r="BR732" s="513">
        <f t="shared" si="374"/>
        <v>220511333.33000001</v>
      </c>
      <c r="BS732" s="513">
        <f t="shared" si="374"/>
        <v>90982539.189999998</v>
      </c>
      <c r="BT732" s="445">
        <f t="shared" si="374"/>
        <v>0</v>
      </c>
      <c r="BU732" s="445"/>
      <c r="BV732" s="445"/>
      <c r="BW732" s="445">
        <f t="shared" si="374"/>
        <v>0</v>
      </c>
      <c r="BX732" s="445"/>
      <c r="BY732" s="445"/>
      <c r="BZ732" s="604">
        <f>SUM(BZ731)</f>
        <v>240000000</v>
      </c>
      <c r="CA732" s="604">
        <f t="shared" ref="CA732:CB732" si="375">SUM(CA731)</f>
        <v>220511333.33000001</v>
      </c>
      <c r="CB732" s="812">
        <f t="shared" si="375"/>
        <v>90982539.189999998</v>
      </c>
    </row>
    <row r="733" spans="1:80" ht="30" customHeight="1" x14ac:dyDescent="0.2">
      <c r="A733" s="42"/>
      <c r="B733" s="205"/>
      <c r="C733" s="137"/>
      <c r="D733" s="138"/>
      <c r="E733" s="138"/>
      <c r="F733" s="138"/>
      <c r="G733" s="249"/>
      <c r="H733" s="41"/>
      <c r="I733" s="41"/>
      <c r="J733" s="41"/>
      <c r="K733" s="552"/>
      <c r="L733" s="552"/>
      <c r="M733" s="552"/>
      <c r="N733" s="216"/>
      <c r="O733" s="216"/>
      <c r="P733" s="41"/>
      <c r="Q733" s="41"/>
      <c r="R733" s="553"/>
      <c r="S733" s="553"/>
      <c r="T733" s="553"/>
      <c r="U733" s="553"/>
      <c r="V733" s="553"/>
      <c r="W733" s="553"/>
      <c r="X733" s="553"/>
      <c r="Y733" s="553"/>
      <c r="Z733" s="553"/>
      <c r="AA733" s="553"/>
      <c r="AB733" s="553"/>
      <c r="AC733" s="553"/>
      <c r="AD733" s="553"/>
      <c r="AE733" s="553"/>
      <c r="AF733" s="553"/>
      <c r="AG733" s="553"/>
      <c r="AH733" s="553"/>
      <c r="AI733" s="553"/>
      <c r="AJ733" s="553"/>
      <c r="AK733" s="553"/>
      <c r="AL733" s="553"/>
      <c r="AM733" s="553"/>
      <c r="AN733" s="553"/>
      <c r="AO733" s="553"/>
      <c r="AP733" s="553"/>
      <c r="AQ733" s="553"/>
      <c r="AR733" s="553"/>
      <c r="AS733" s="553"/>
      <c r="AT733" s="553"/>
      <c r="AU733" s="553"/>
      <c r="AV733" s="553"/>
      <c r="AW733" s="553"/>
      <c r="AX733" s="553"/>
      <c r="AY733" s="553"/>
      <c r="AZ733" s="553"/>
      <c r="BA733" s="553"/>
      <c r="BB733" s="553"/>
      <c r="BC733" s="553"/>
      <c r="BD733" s="553"/>
      <c r="BE733" s="553"/>
      <c r="BF733" s="553"/>
      <c r="BG733" s="553"/>
      <c r="BH733" s="553"/>
      <c r="BI733" s="553"/>
      <c r="BJ733" s="553"/>
      <c r="BK733" s="554"/>
      <c r="BL733" s="554"/>
      <c r="BM733" s="554"/>
      <c r="BN733" s="554"/>
      <c r="BO733" s="554"/>
      <c r="BP733" s="554"/>
      <c r="BQ733" s="554"/>
      <c r="BR733" s="554"/>
      <c r="BS733" s="554"/>
      <c r="BT733" s="554"/>
      <c r="BU733" s="554"/>
      <c r="BV733" s="554"/>
      <c r="BW733" s="554"/>
      <c r="BX733" s="554"/>
      <c r="BY733" s="554"/>
      <c r="BZ733" s="553"/>
      <c r="CA733" s="553"/>
      <c r="CB733" s="573"/>
    </row>
    <row r="734" spans="1:80" ht="77.25" customHeight="1" x14ac:dyDescent="0.2">
      <c r="A734" s="42"/>
      <c r="B734" s="42"/>
      <c r="C734" s="714">
        <v>7</v>
      </c>
      <c r="D734" s="709" t="s">
        <v>921</v>
      </c>
      <c r="E734" s="287">
        <v>0.317</v>
      </c>
      <c r="F734" s="715">
        <v>0.27</v>
      </c>
      <c r="G734" s="51"/>
      <c r="H734" s="714">
        <v>59</v>
      </c>
      <c r="I734" s="709" t="s">
        <v>147</v>
      </c>
      <c r="J734" s="714">
        <v>82</v>
      </c>
      <c r="K734" s="718">
        <v>12</v>
      </c>
      <c r="L734" s="718">
        <v>12</v>
      </c>
      <c r="M734" s="877">
        <v>2017003630058</v>
      </c>
      <c r="N734" s="856" t="s">
        <v>146</v>
      </c>
      <c r="O734" s="879" t="s">
        <v>923</v>
      </c>
      <c r="P734" s="881" t="s">
        <v>924</v>
      </c>
      <c r="Q734" s="714" t="s">
        <v>67</v>
      </c>
      <c r="R734" s="426">
        <v>0</v>
      </c>
      <c r="S734" s="426"/>
      <c r="T734" s="426"/>
      <c r="U734" s="426">
        <v>0</v>
      </c>
      <c r="V734" s="426"/>
      <c r="W734" s="426"/>
      <c r="X734" s="734">
        <f>550000000+17250000+632750000</f>
        <v>1200000000</v>
      </c>
      <c r="Y734" s="571">
        <v>1173939275.1199999</v>
      </c>
      <c r="Z734" s="571">
        <v>179519219.03999999</v>
      </c>
      <c r="AA734" s="426">
        <v>0</v>
      </c>
      <c r="AB734" s="426"/>
      <c r="AC734" s="426"/>
      <c r="AD734" s="426">
        <v>0</v>
      </c>
      <c r="AE734" s="426"/>
      <c r="AF734" s="426"/>
      <c r="AG734" s="426">
        <v>0</v>
      </c>
      <c r="AH734" s="426"/>
      <c r="AI734" s="426"/>
      <c r="AJ734" s="426">
        <v>0</v>
      </c>
      <c r="AK734" s="426"/>
      <c r="AL734" s="426"/>
      <c r="AM734" s="426"/>
      <c r="AN734" s="426"/>
      <c r="AO734" s="426"/>
      <c r="AP734" s="426"/>
      <c r="AQ734" s="426"/>
      <c r="AR734" s="426"/>
      <c r="AS734" s="426">
        <v>0</v>
      </c>
      <c r="AT734" s="426"/>
      <c r="AU734" s="426"/>
      <c r="AV734" s="426">
        <v>0</v>
      </c>
      <c r="AW734" s="426"/>
      <c r="AX734" s="426"/>
      <c r="AY734" s="426"/>
      <c r="AZ734" s="426"/>
      <c r="BA734" s="426"/>
      <c r="BB734" s="426"/>
      <c r="BC734" s="426"/>
      <c r="BD734" s="426"/>
      <c r="BE734" s="426">
        <v>0</v>
      </c>
      <c r="BF734" s="426"/>
      <c r="BG734" s="426"/>
      <c r="BH734" s="426">
        <v>0</v>
      </c>
      <c r="BI734" s="426"/>
      <c r="BJ734" s="426"/>
      <c r="BK734" s="453">
        <v>0</v>
      </c>
      <c r="BL734" s="453"/>
      <c r="BM734" s="453"/>
      <c r="BN734" s="452"/>
      <c r="BO734" s="452"/>
      <c r="BP734" s="452"/>
      <c r="BQ734" s="571">
        <v>0</v>
      </c>
      <c r="BR734" s="572"/>
      <c r="BS734" s="572"/>
      <c r="BT734" s="572">
        <v>0</v>
      </c>
      <c r="BU734" s="572"/>
      <c r="BV734" s="572"/>
      <c r="BW734" s="457">
        <v>0</v>
      </c>
      <c r="BX734" s="457"/>
      <c r="BY734" s="457"/>
      <c r="BZ734" s="401">
        <f t="shared" ref="BZ734:CB737" si="376">R734+U734+X734+AA734+AD734+AG734+AJ734+AM734+AP734+AS734+AV734+AY734+BB734+BE734+BH734+BK734+BN734+BQ734+BT734+BW734</f>
        <v>1200000000</v>
      </c>
      <c r="CA734" s="401">
        <f t="shared" si="376"/>
        <v>1173939275.1199999</v>
      </c>
      <c r="CB734" s="401">
        <f t="shared" si="376"/>
        <v>179519219.03999999</v>
      </c>
    </row>
    <row r="735" spans="1:80" ht="77.25" customHeight="1" x14ac:dyDescent="0.2">
      <c r="A735" s="42"/>
      <c r="B735" s="42"/>
      <c r="C735" s="57">
        <v>7</v>
      </c>
      <c r="D735" s="729" t="s">
        <v>921</v>
      </c>
      <c r="E735" s="263">
        <v>0.317</v>
      </c>
      <c r="F735" s="256">
        <v>0.27</v>
      </c>
      <c r="G735" s="51"/>
      <c r="H735" s="57">
        <v>57</v>
      </c>
      <c r="I735" s="729" t="s">
        <v>141</v>
      </c>
      <c r="J735" s="57">
        <v>103</v>
      </c>
      <c r="K735" s="107">
        <v>12</v>
      </c>
      <c r="L735" s="107">
        <v>5</v>
      </c>
      <c r="M735" s="877"/>
      <c r="N735" s="44" t="s">
        <v>142</v>
      </c>
      <c r="O735" s="879"/>
      <c r="P735" s="881"/>
      <c r="Q735" s="57" t="s">
        <v>67</v>
      </c>
      <c r="R735" s="401"/>
      <c r="S735" s="401"/>
      <c r="T735" s="401"/>
      <c r="U735" s="401"/>
      <c r="V735" s="401"/>
      <c r="W735" s="401"/>
      <c r="X735" s="366">
        <f>550000000-250000000</f>
        <v>300000000</v>
      </c>
      <c r="Y735" s="366">
        <v>195038666.66999999</v>
      </c>
      <c r="Z735" s="366">
        <v>163289656.62</v>
      </c>
      <c r="AA735" s="401"/>
      <c r="AB735" s="401"/>
      <c r="AC735" s="401"/>
      <c r="AD735" s="401"/>
      <c r="AE735" s="401"/>
      <c r="AF735" s="401"/>
      <c r="AG735" s="401"/>
      <c r="AH735" s="401"/>
      <c r="AI735" s="401"/>
      <c r="AJ735" s="401"/>
      <c r="AK735" s="401"/>
      <c r="AL735" s="401"/>
      <c r="AM735" s="401"/>
      <c r="AN735" s="401"/>
      <c r="AO735" s="401"/>
      <c r="AP735" s="401"/>
      <c r="AQ735" s="401"/>
      <c r="AR735" s="401"/>
      <c r="AS735" s="401"/>
      <c r="AT735" s="401"/>
      <c r="AU735" s="401"/>
      <c r="AV735" s="401"/>
      <c r="AW735" s="401"/>
      <c r="AX735" s="401"/>
      <c r="AY735" s="401"/>
      <c r="AZ735" s="401"/>
      <c r="BA735" s="401"/>
      <c r="BB735" s="401"/>
      <c r="BC735" s="401"/>
      <c r="BD735" s="401"/>
      <c r="BE735" s="401"/>
      <c r="BF735" s="401"/>
      <c r="BG735" s="401"/>
      <c r="BH735" s="401"/>
      <c r="BI735" s="401"/>
      <c r="BJ735" s="401"/>
      <c r="BK735" s="402"/>
      <c r="BL735" s="402"/>
      <c r="BM735" s="402"/>
      <c r="BN735" s="415"/>
      <c r="BO735" s="431"/>
      <c r="BP735" s="431"/>
      <c r="BQ735" s="403">
        <v>0</v>
      </c>
      <c r="BR735" s="403"/>
      <c r="BS735" s="403"/>
      <c r="BT735" s="403"/>
      <c r="BU735" s="403"/>
      <c r="BV735" s="403"/>
      <c r="BW735" s="429"/>
      <c r="BX735" s="429"/>
      <c r="BY735" s="429"/>
      <c r="BZ735" s="401">
        <f t="shared" si="376"/>
        <v>300000000</v>
      </c>
      <c r="CA735" s="401">
        <f t="shared" si="376"/>
        <v>195038666.66999999</v>
      </c>
      <c r="CB735" s="401">
        <f t="shared" si="376"/>
        <v>163289656.62</v>
      </c>
    </row>
    <row r="736" spans="1:80" ht="77.25" customHeight="1" x14ac:dyDescent="0.2">
      <c r="A736" s="42"/>
      <c r="B736" s="42"/>
      <c r="C736" s="57">
        <v>7</v>
      </c>
      <c r="D736" s="729" t="s">
        <v>921</v>
      </c>
      <c r="E736" s="263">
        <v>0.317</v>
      </c>
      <c r="F736" s="256">
        <v>0.27</v>
      </c>
      <c r="G736" s="51"/>
      <c r="H736" s="57">
        <v>60</v>
      </c>
      <c r="I736" s="729" t="s">
        <v>148</v>
      </c>
      <c r="J736" s="57">
        <v>9</v>
      </c>
      <c r="K736" s="107">
        <v>12</v>
      </c>
      <c r="L736" s="107">
        <v>2</v>
      </c>
      <c r="M736" s="877"/>
      <c r="N736" s="44" t="s">
        <v>146</v>
      </c>
      <c r="O736" s="879"/>
      <c r="P736" s="881"/>
      <c r="Q736" s="57" t="s">
        <v>67</v>
      </c>
      <c r="R736" s="401">
        <v>0</v>
      </c>
      <c r="S736" s="401"/>
      <c r="T736" s="401"/>
      <c r="U736" s="401">
        <v>0</v>
      </c>
      <c r="V736" s="401"/>
      <c r="W736" s="401"/>
      <c r="X736" s="366">
        <v>0</v>
      </c>
      <c r="Y736" s="366"/>
      <c r="Z736" s="366"/>
      <c r="AA736" s="401">
        <v>0</v>
      </c>
      <c r="AB736" s="401"/>
      <c r="AC736" s="401"/>
      <c r="AD736" s="401">
        <v>0</v>
      </c>
      <c r="AE736" s="401"/>
      <c r="AF736" s="401"/>
      <c r="AG736" s="401">
        <v>0</v>
      </c>
      <c r="AH736" s="401"/>
      <c r="AI736" s="401"/>
      <c r="AJ736" s="401">
        <v>0</v>
      </c>
      <c r="AK736" s="401"/>
      <c r="AL736" s="401"/>
      <c r="AM736" s="401"/>
      <c r="AN736" s="401"/>
      <c r="AO736" s="401"/>
      <c r="AP736" s="401"/>
      <c r="AQ736" s="401"/>
      <c r="AR736" s="401"/>
      <c r="AS736" s="401">
        <v>0</v>
      </c>
      <c r="AT736" s="401"/>
      <c r="AU736" s="401"/>
      <c r="AV736" s="401">
        <v>0</v>
      </c>
      <c r="AW736" s="401"/>
      <c r="AX736" s="401"/>
      <c r="AY736" s="401"/>
      <c r="AZ736" s="401"/>
      <c r="BA736" s="401"/>
      <c r="BB736" s="401"/>
      <c r="BC736" s="401"/>
      <c r="BD736" s="401"/>
      <c r="BE736" s="401">
        <v>0</v>
      </c>
      <c r="BF736" s="401"/>
      <c r="BG736" s="401"/>
      <c r="BH736" s="401">
        <v>0</v>
      </c>
      <c r="BI736" s="401"/>
      <c r="BJ736" s="401"/>
      <c r="BK736" s="402"/>
      <c r="BL736" s="402"/>
      <c r="BM736" s="402"/>
      <c r="BN736" s="415"/>
      <c r="BO736" s="415"/>
      <c r="BP736" s="415"/>
      <c r="BQ736" s="480">
        <f>388000000+49642368</f>
        <v>437642368</v>
      </c>
      <c r="BR736" s="483">
        <v>212923119.28</v>
      </c>
      <c r="BS736" s="483">
        <v>100952915</v>
      </c>
      <c r="BT736" s="483"/>
      <c r="BU736" s="483"/>
      <c r="BV736" s="483"/>
      <c r="BW736" s="403">
        <v>0</v>
      </c>
      <c r="BX736" s="403"/>
      <c r="BY736" s="403"/>
      <c r="BZ736" s="401">
        <f t="shared" si="376"/>
        <v>437642368</v>
      </c>
      <c r="CA736" s="401">
        <f t="shared" si="376"/>
        <v>212923119.28</v>
      </c>
      <c r="CB736" s="401">
        <f t="shared" si="376"/>
        <v>100952915</v>
      </c>
    </row>
    <row r="737" spans="1:80" ht="77.25" customHeight="1" thickBot="1" x14ac:dyDescent="0.25">
      <c r="A737" s="42"/>
      <c r="B737" s="42"/>
      <c r="C737" s="713">
        <v>7</v>
      </c>
      <c r="D737" s="707" t="s">
        <v>921</v>
      </c>
      <c r="E737" s="732">
        <v>0.317</v>
      </c>
      <c r="F737" s="731">
        <v>0.27</v>
      </c>
      <c r="G737" s="51"/>
      <c r="H737" s="57">
        <v>63</v>
      </c>
      <c r="I737" s="729" t="s">
        <v>151</v>
      </c>
      <c r="J737" s="57" t="s">
        <v>43</v>
      </c>
      <c r="K737" s="107">
        <v>250</v>
      </c>
      <c r="L737" s="107">
        <v>0</v>
      </c>
      <c r="M737" s="878"/>
      <c r="N737" s="44" t="s">
        <v>152</v>
      </c>
      <c r="O737" s="880"/>
      <c r="P737" s="882"/>
      <c r="Q737" s="57" t="s">
        <v>67</v>
      </c>
      <c r="R737" s="401"/>
      <c r="S737" s="401"/>
      <c r="T737" s="401"/>
      <c r="U737" s="401"/>
      <c r="V737" s="401"/>
      <c r="W737" s="401"/>
      <c r="X737" s="480">
        <f>550000000-382750000</f>
        <v>167250000</v>
      </c>
      <c r="Y737" s="480">
        <v>125038666.67</v>
      </c>
      <c r="Z737" s="480">
        <v>135207471.81</v>
      </c>
      <c r="AA737" s="401"/>
      <c r="AB737" s="401"/>
      <c r="AC737" s="401"/>
      <c r="AD737" s="401"/>
      <c r="AE737" s="401"/>
      <c r="AF737" s="401"/>
      <c r="AG737" s="401"/>
      <c r="AH737" s="401"/>
      <c r="AI737" s="401"/>
      <c r="AJ737" s="401"/>
      <c r="AK737" s="401"/>
      <c r="AL737" s="401"/>
      <c r="AM737" s="401"/>
      <c r="AN737" s="401"/>
      <c r="AO737" s="401"/>
      <c r="AP737" s="401"/>
      <c r="AQ737" s="401"/>
      <c r="AR737" s="401"/>
      <c r="AS737" s="401"/>
      <c r="AT737" s="401"/>
      <c r="AU737" s="401"/>
      <c r="AV737" s="401"/>
      <c r="AW737" s="401"/>
      <c r="AX737" s="401"/>
      <c r="AY737" s="401"/>
      <c r="AZ737" s="401"/>
      <c r="BA737" s="401"/>
      <c r="BB737" s="401"/>
      <c r="BC737" s="401"/>
      <c r="BD737" s="401"/>
      <c r="BE737" s="401"/>
      <c r="BF737" s="401"/>
      <c r="BG737" s="401"/>
      <c r="BH737" s="401"/>
      <c r="BI737" s="440"/>
      <c r="BJ737" s="440"/>
      <c r="BK737" s="526"/>
      <c r="BL737" s="527"/>
      <c r="BM737" s="527"/>
      <c r="BN737" s="527"/>
      <c r="BO737" s="527"/>
      <c r="BP737" s="527"/>
      <c r="BQ737" s="480">
        <v>140000000</v>
      </c>
      <c r="BR737" s="483">
        <v>109511333.33</v>
      </c>
      <c r="BS737" s="483">
        <v>64632900</v>
      </c>
      <c r="BT737" s="483"/>
      <c r="BU737" s="483"/>
      <c r="BV737" s="483"/>
      <c r="BW737" s="403"/>
      <c r="BX737" s="403"/>
      <c r="BY737" s="403"/>
      <c r="BZ737" s="401">
        <f t="shared" si="376"/>
        <v>307250000</v>
      </c>
      <c r="CA737" s="401">
        <f t="shared" si="376"/>
        <v>234550000</v>
      </c>
      <c r="CB737" s="401">
        <f t="shared" si="376"/>
        <v>199840371.81</v>
      </c>
    </row>
    <row r="738" spans="1:80" ht="30" customHeight="1" x14ac:dyDescent="0.2">
      <c r="A738" s="383"/>
      <c r="B738" s="55"/>
      <c r="C738" s="714"/>
      <c r="D738" s="709"/>
      <c r="E738" s="714"/>
      <c r="F738" s="714"/>
      <c r="G738" s="275"/>
      <c r="H738" s="59"/>
      <c r="I738" s="58"/>
      <c r="J738" s="59"/>
      <c r="K738" s="136"/>
      <c r="L738" s="136"/>
      <c r="M738" s="136"/>
      <c r="N738" s="289"/>
      <c r="O738" s="59"/>
      <c r="P738" s="58"/>
      <c r="Q738" s="59"/>
      <c r="R738" s="410">
        <f>SUM(R734:R737)</f>
        <v>0</v>
      </c>
      <c r="S738" s="410"/>
      <c r="T738" s="410"/>
      <c r="U738" s="410">
        <f>SUM(U734:U737)</f>
        <v>0</v>
      </c>
      <c r="V738" s="410"/>
      <c r="W738" s="410"/>
      <c r="X738" s="410">
        <f>SUM(X734:X737)</f>
        <v>1667250000</v>
      </c>
      <c r="Y738" s="410">
        <f t="shared" ref="Y738:Z738" si="377">SUM(Y734:Y737)</f>
        <v>1494016608.46</v>
      </c>
      <c r="Z738" s="410">
        <f t="shared" si="377"/>
        <v>478016347.46999997</v>
      </c>
      <c r="AA738" s="410">
        <f t="shared" ref="AA738:BK738" si="378">SUM(AA734:AA737)</f>
        <v>0</v>
      </c>
      <c r="AB738" s="410"/>
      <c r="AC738" s="410"/>
      <c r="AD738" s="410">
        <f t="shared" si="378"/>
        <v>0</v>
      </c>
      <c r="AE738" s="410"/>
      <c r="AF738" s="410"/>
      <c r="AG738" s="410">
        <f t="shared" si="378"/>
        <v>0</v>
      </c>
      <c r="AH738" s="410"/>
      <c r="AI738" s="410"/>
      <c r="AJ738" s="410">
        <f t="shared" si="378"/>
        <v>0</v>
      </c>
      <c r="AK738" s="410"/>
      <c r="AL738" s="410"/>
      <c r="AM738" s="410">
        <f t="shared" si="378"/>
        <v>0</v>
      </c>
      <c r="AN738" s="410"/>
      <c r="AO738" s="410"/>
      <c r="AP738" s="410">
        <f t="shared" si="378"/>
        <v>0</v>
      </c>
      <c r="AQ738" s="410"/>
      <c r="AR738" s="410"/>
      <c r="AS738" s="410">
        <f t="shared" si="378"/>
        <v>0</v>
      </c>
      <c r="AT738" s="410"/>
      <c r="AU738" s="410"/>
      <c r="AV738" s="410">
        <f t="shared" si="378"/>
        <v>0</v>
      </c>
      <c r="AW738" s="410"/>
      <c r="AX738" s="410"/>
      <c r="AY738" s="410">
        <f t="shared" si="378"/>
        <v>0</v>
      </c>
      <c r="AZ738" s="410"/>
      <c r="BA738" s="410"/>
      <c r="BB738" s="410">
        <f t="shared" si="378"/>
        <v>0</v>
      </c>
      <c r="BC738" s="410"/>
      <c r="BD738" s="410"/>
      <c r="BE738" s="410">
        <f t="shared" si="378"/>
        <v>0</v>
      </c>
      <c r="BF738" s="410"/>
      <c r="BG738" s="410"/>
      <c r="BH738" s="410">
        <f t="shared" si="378"/>
        <v>0</v>
      </c>
      <c r="BI738" s="410"/>
      <c r="BJ738" s="410"/>
      <c r="BK738" s="476">
        <f t="shared" si="378"/>
        <v>0</v>
      </c>
      <c r="BL738" s="476"/>
      <c r="BM738" s="476"/>
      <c r="BN738" s="410"/>
      <c r="BO738" s="410"/>
      <c r="BP738" s="410"/>
      <c r="BQ738" s="410">
        <f>SUM(BQ734:BQ737)</f>
        <v>577642368</v>
      </c>
      <c r="BR738" s="410">
        <f t="shared" ref="BR738:BS738" si="379">SUM(BR734:BR737)</f>
        <v>322434452.61000001</v>
      </c>
      <c r="BS738" s="410">
        <f t="shared" si="379"/>
        <v>165585815</v>
      </c>
      <c r="BT738" s="410">
        <f>SUM(BT734:BT737)</f>
        <v>0</v>
      </c>
      <c r="BU738" s="410"/>
      <c r="BV738" s="410"/>
      <c r="BW738" s="410">
        <f>SUM(BW734:BW737)</f>
        <v>0</v>
      </c>
      <c r="BX738" s="410"/>
      <c r="BY738" s="410"/>
      <c r="BZ738" s="410">
        <f>SUM(BZ734:BZ737)</f>
        <v>2244892368</v>
      </c>
      <c r="CA738" s="410">
        <f t="shared" ref="CA738:CB738" si="380">SUM(CA734:CA737)</f>
        <v>1816451061.0699999</v>
      </c>
      <c r="CB738" s="410">
        <f t="shared" si="380"/>
        <v>643602162.47000003</v>
      </c>
    </row>
    <row r="739" spans="1:80" ht="30" customHeight="1" x14ac:dyDescent="0.2">
      <c r="A739" s="384"/>
      <c r="B739" s="62"/>
      <c r="C739" s="63"/>
      <c r="D739" s="62"/>
      <c r="E739" s="63"/>
      <c r="F739" s="63"/>
      <c r="G739" s="95"/>
      <c r="H739" s="63"/>
      <c r="I739" s="62"/>
      <c r="J739" s="63"/>
      <c r="K739" s="147"/>
      <c r="L739" s="147"/>
      <c r="M739" s="147"/>
      <c r="N739" s="63"/>
      <c r="O739" s="63"/>
      <c r="P739" s="62"/>
      <c r="Q739" s="63"/>
      <c r="R739" s="416">
        <f t="shared" ref="R739:BZ741" si="381">R738</f>
        <v>0</v>
      </c>
      <c r="S739" s="416"/>
      <c r="T739" s="416"/>
      <c r="U739" s="416">
        <f t="shared" si="381"/>
        <v>0</v>
      </c>
      <c r="V739" s="416"/>
      <c r="W739" s="416"/>
      <c r="X739" s="416">
        <f t="shared" si="381"/>
        <v>1667250000</v>
      </c>
      <c r="Y739" s="416">
        <f t="shared" ref="Y739:Z739" si="382">Y738</f>
        <v>1494016608.46</v>
      </c>
      <c r="Z739" s="416">
        <f t="shared" si="382"/>
        <v>478016347.46999997</v>
      </c>
      <c r="AA739" s="416">
        <f t="shared" si="381"/>
        <v>0</v>
      </c>
      <c r="AB739" s="416"/>
      <c r="AC739" s="416"/>
      <c r="AD739" s="416">
        <f t="shared" si="381"/>
        <v>0</v>
      </c>
      <c r="AE739" s="416"/>
      <c r="AF739" s="416"/>
      <c r="AG739" s="416">
        <f t="shared" si="381"/>
        <v>0</v>
      </c>
      <c r="AH739" s="416"/>
      <c r="AI739" s="416"/>
      <c r="AJ739" s="416">
        <f t="shared" si="381"/>
        <v>0</v>
      </c>
      <c r="AK739" s="416"/>
      <c r="AL739" s="416"/>
      <c r="AM739" s="416"/>
      <c r="AN739" s="416"/>
      <c r="AO739" s="416"/>
      <c r="AP739" s="416"/>
      <c r="AQ739" s="416"/>
      <c r="AR739" s="416"/>
      <c r="AS739" s="416">
        <f t="shared" si="381"/>
        <v>0</v>
      </c>
      <c r="AT739" s="416"/>
      <c r="AU739" s="416"/>
      <c r="AV739" s="416">
        <f t="shared" si="381"/>
        <v>0</v>
      </c>
      <c r="AW739" s="416"/>
      <c r="AX739" s="416"/>
      <c r="AY739" s="416">
        <f t="shared" si="381"/>
        <v>0</v>
      </c>
      <c r="AZ739" s="416"/>
      <c r="BA739" s="416"/>
      <c r="BB739" s="416">
        <f t="shared" si="381"/>
        <v>0</v>
      </c>
      <c r="BC739" s="416"/>
      <c r="BD739" s="416"/>
      <c r="BE739" s="416">
        <f t="shared" si="381"/>
        <v>0</v>
      </c>
      <c r="BF739" s="416"/>
      <c r="BG739" s="416"/>
      <c r="BH739" s="416">
        <f t="shared" si="381"/>
        <v>0</v>
      </c>
      <c r="BI739" s="416"/>
      <c r="BJ739" s="416"/>
      <c r="BK739" s="477">
        <f>BK738+BK732</f>
        <v>0</v>
      </c>
      <c r="BL739" s="477"/>
      <c r="BM739" s="477"/>
      <c r="BN739" s="416"/>
      <c r="BO739" s="416"/>
      <c r="BP739" s="416"/>
      <c r="BQ739" s="416">
        <f>BQ738+BQ732</f>
        <v>817642368</v>
      </c>
      <c r="BR739" s="416">
        <f t="shared" ref="BR739:BS739" si="383">BR738+BR732</f>
        <v>542945785.94000006</v>
      </c>
      <c r="BS739" s="416">
        <f t="shared" si="383"/>
        <v>256568354.19</v>
      </c>
      <c r="BT739" s="416">
        <f>BT738+BT732</f>
        <v>0</v>
      </c>
      <c r="BU739" s="416"/>
      <c r="BV739" s="416"/>
      <c r="BW739" s="416">
        <f>BW738+BW732</f>
        <v>0</v>
      </c>
      <c r="BX739" s="416"/>
      <c r="BY739" s="416"/>
      <c r="BZ739" s="416">
        <f>BZ738+BZ732</f>
        <v>2484892368</v>
      </c>
      <c r="CA739" s="416">
        <f t="shared" ref="CA739:CB739" si="384">CA738+CA732</f>
        <v>2036962394.3999999</v>
      </c>
      <c r="CB739" s="416">
        <f t="shared" si="384"/>
        <v>734584701.66000009</v>
      </c>
    </row>
    <row r="740" spans="1:80" ht="30" customHeight="1" x14ac:dyDescent="0.2">
      <c r="A740" s="65"/>
      <c r="B740" s="65"/>
      <c r="C740" s="66"/>
      <c r="D740" s="65"/>
      <c r="E740" s="66"/>
      <c r="F740" s="66"/>
      <c r="G740" s="148"/>
      <c r="H740" s="66"/>
      <c r="I740" s="65"/>
      <c r="J740" s="66"/>
      <c r="K740" s="149"/>
      <c r="L740" s="149"/>
      <c r="M740" s="149"/>
      <c r="N740" s="66"/>
      <c r="O740" s="66"/>
      <c r="P740" s="65"/>
      <c r="Q740" s="66"/>
      <c r="R740" s="422">
        <f t="shared" si="381"/>
        <v>0</v>
      </c>
      <c r="S740" s="422"/>
      <c r="T740" s="422"/>
      <c r="U740" s="422">
        <f t="shared" si="381"/>
        <v>0</v>
      </c>
      <c r="V740" s="422"/>
      <c r="W740" s="422"/>
      <c r="X740" s="422">
        <f t="shared" si="381"/>
        <v>1667250000</v>
      </c>
      <c r="Y740" s="422">
        <f t="shared" ref="Y740:Z740" si="385">Y739</f>
        <v>1494016608.46</v>
      </c>
      <c r="Z740" s="422">
        <f t="shared" si="385"/>
        <v>478016347.46999997</v>
      </c>
      <c r="AA740" s="422">
        <f t="shared" si="381"/>
        <v>0</v>
      </c>
      <c r="AB740" s="422"/>
      <c r="AC740" s="422"/>
      <c r="AD740" s="422">
        <f t="shared" si="381"/>
        <v>0</v>
      </c>
      <c r="AE740" s="422"/>
      <c r="AF740" s="422"/>
      <c r="AG740" s="422">
        <f t="shared" si="381"/>
        <v>0</v>
      </c>
      <c r="AH740" s="422"/>
      <c r="AI740" s="422"/>
      <c r="AJ740" s="422">
        <f t="shared" si="381"/>
        <v>0</v>
      </c>
      <c r="AK740" s="422"/>
      <c r="AL740" s="422"/>
      <c r="AM740" s="422"/>
      <c r="AN740" s="422"/>
      <c r="AO740" s="422"/>
      <c r="AP740" s="422"/>
      <c r="AQ740" s="422"/>
      <c r="AR740" s="422"/>
      <c r="AS740" s="422">
        <f t="shared" si="381"/>
        <v>0</v>
      </c>
      <c r="AT740" s="422"/>
      <c r="AU740" s="422"/>
      <c r="AV740" s="422">
        <f t="shared" si="381"/>
        <v>0</v>
      </c>
      <c r="AW740" s="422"/>
      <c r="AX740" s="422"/>
      <c r="AY740" s="422">
        <f t="shared" si="381"/>
        <v>0</v>
      </c>
      <c r="AZ740" s="422"/>
      <c r="BA740" s="422"/>
      <c r="BB740" s="422">
        <f t="shared" si="381"/>
        <v>0</v>
      </c>
      <c r="BC740" s="422"/>
      <c r="BD740" s="422"/>
      <c r="BE740" s="422">
        <f t="shared" si="381"/>
        <v>0</v>
      </c>
      <c r="BF740" s="422"/>
      <c r="BG740" s="422"/>
      <c r="BH740" s="422">
        <f t="shared" si="381"/>
        <v>0</v>
      </c>
      <c r="BI740" s="422"/>
      <c r="BJ740" s="422"/>
      <c r="BK740" s="478">
        <f t="shared" si="381"/>
        <v>0</v>
      </c>
      <c r="BL740" s="478"/>
      <c r="BM740" s="478"/>
      <c r="BN740" s="422"/>
      <c r="BO740" s="422"/>
      <c r="BP740" s="422"/>
      <c r="BQ740" s="422">
        <f t="shared" si="381"/>
        <v>817642368</v>
      </c>
      <c r="BR740" s="422">
        <f t="shared" ref="BR740:BS740" si="386">BR739</f>
        <v>542945785.94000006</v>
      </c>
      <c r="BS740" s="422">
        <f t="shared" si="386"/>
        <v>256568354.19</v>
      </c>
      <c r="BT740" s="422">
        <f>BT739</f>
        <v>0</v>
      </c>
      <c r="BU740" s="422"/>
      <c r="BV740" s="422"/>
      <c r="BW740" s="422">
        <f>BW739</f>
        <v>0</v>
      </c>
      <c r="BX740" s="422"/>
      <c r="BY740" s="422"/>
      <c r="BZ740" s="422">
        <f t="shared" si="381"/>
        <v>2484892368</v>
      </c>
      <c r="CA740" s="422">
        <f t="shared" ref="CA740:CB741" si="387">CA739</f>
        <v>2036962394.3999999</v>
      </c>
      <c r="CB740" s="422">
        <f t="shared" si="387"/>
        <v>734584701.66000009</v>
      </c>
    </row>
    <row r="741" spans="1:80" ht="30" customHeight="1" x14ac:dyDescent="0.2">
      <c r="A741" s="555"/>
      <c r="B741" s="555"/>
      <c r="C741" s="556"/>
      <c r="D741" s="555"/>
      <c r="E741" s="556"/>
      <c r="F741" s="556"/>
      <c r="G741" s="557"/>
      <c r="H741" s="556"/>
      <c r="I741" s="555"/>
      <c r="J741" s="556"/>
      <c r="K741" s="558"/>
      <c r="L741" s="558"/>
      <c r="M741" s="558"/>
      <c r="N741" s="556"/>
      <c r="O741" s="556"/>
      <c r="P741" s="555"/>
      <c r="Q741" s="556"/>
      <c r="R741" s="559">
        <f t="shared" si="381"/>
        <v>0</v>
      </c>
      <c r="S741" s="559"/>
      <c r="T741" s="559"/>
      <c r="U741" s="559">
        <f t="shared" si="381"/>
        <v>0</v>
      </c>
      <c r="V741" s="559"/>
      <c r="W741" s="559"/>
      <c r="X741" s="559">
        <f t="shared" si="381"/>
        <v>1667250000</v>
      </c>
      <c r="Y741" s="559">
        <f t="shared" ref="Y741:Z741" si="388">Y740</f>
        <v>1494016608.46</v>
      </c>
      <c r="Z741" s="559">
        <f t="shared" si="388"/>
        <v>478016347.46999997</v>
      </c>
      <c r="AA741" s="559">
        <f t="shared" si="381"/>
        <v>0</v>
      </c>
      <c r="AB741" s="559"/>
      <c r="AC741" s="559"/>
      <c r="AD741" s="559">
        <f t="shared" si="381"/>
        <v>0</v>
      </c>
      <c r="AE741" s="559"/>
      <c r="AF741" s="559"/>
      <c r="AG741" s="559">
        <f t="shared" si="381"/>
        <v>0</v>
      </c>
      <c r="AH741" s="559"/>
      <c r="AI741" s="559"/>
      <c r="AJ741" s="559">
        <f t="shared" si="381"/>
        <v>0</v>
      </c>
      <c r="AK741" s="559"/>
      <c r="AL741" s="559"/>
      <c r="AM741" s="559"/>
      <c r="AN741" s="559"/>
      <c r="AO741" s="559"/>
      <c r="AP741" s="559"/>
      <c r="AQ741" s="559"/>
      <c r="AR741" s="559"/>
      <c r="AS741" s="559">
        <f t="shared" si="381"/>
        <v>0</v>
      </c>
      <c r="AT741" s="559"/>
      <c r="AU741" s="559"/>
      <c r="AV741" s="559">
        <f t="shared" si="381"/>
        <v>0</v>
      </c>
      <c r="AW741" s="559"/>
      <c r="AX741" s="559"/>
      <c r="AY741" s="559">
        <f t="shared" si="381"/>
        <v>0</v>
      </c>
      <c r="AZ741" s="559"/>
      <c r="BA741" s="559"/>
      <c r="BB741" s="559">
        <f t="shared" si="381"/>
        <v>0</v>
      </c>
      <c r="BC741" s="559"/>
      <c r="BD741" s="559"/>
      <c r="BE741" s="559">
        <f t="shared" si="381"/>
        <v>0</v>
      </c>
      <c r="BF741" s="559"/>
      <c r="BG741" s="559"/>
      <c r="BH741" s="559">
        <f t="shared" si="381"/>
        <v>0</v>
      </c>
      <c r="BI741" s="559"/>
      <c r="BJ741" s="559"/>
      <c r="BK741" s="560">
        <f t="shared" si="381"/>
        <v>0</v>
      </c>
      <c r="BL741" s="560"/>
      <c r="BM741" s="560"/>
      <c r="BN741" s="559"/>
      <c r="BO741" s="559"/>
      <c r="BP741" s="559"/>
      <c r="BQ741" s="559">
        <f t="shared" si="381"/>
        <v>817642368</v>
      </c>
      <c r="BR741" s="559">
        <f t="shared" ref="BR741:BS741" si="389">BR740</f>
        <v>542945785.94000006</v>
      </c>
      <c r="BS741" s="559">
        <f t="shared" si="389"/>
        <v>256568354.19</v>
      </c>
      <c r="BT741" s="559">
        <f>BT740</f>
        <v>0</v>
      </c>
      <c r="BU741" s="559"/>
      <c r="BV741" s="559"/>
      <c r="BW741" s="559">
        <f>BW740</f>
        <v>0</v>
      </c>
      <c r="BX741" s="559"/>
      <c r="BY741" s="559"/>
      <c r="BZ741" s="559">
        <f t="shared" si="381"/>
        <v>2484892368</v>
      </c>
      <c r="CA741" s="559">
        <f t="shared" si="387"/>
        <v>2036962394.3999999</v>
      </c>
      <c r="CB741" s="559">
        <f t="shared" si="387"/>
        <v>734584701.66000009</v>
      </c>
    </row>
    <row r="742" spans="1:80" s="13" customFormat="1" ht="30" customHeight="1" x14ac:dyDescent="0.2">
      <c r="A742" s="561"/>
      <c r="B742" s="562"/>
      <c r="C742" s="563"/>
      <c r="D742" s="562"/>
      <c r="E742" s="563"/>
      <c r="F742" s="563"/>
      <c r="G742" s="562"/>
      <c r="H742" s="563"/>
      <c r="I742" s="562"/>
      <c r="J742" s="563"/>
      <c r="K742" s="564"/>
      <c r="L742" s="564"/>
      <c r="M742" s="564"/>
      <c r="N742" s="563"/>
      <c r="O742" s="563"/>
      <c r="P742" s="562"/>
      <c r="Q742" s="563"/>
      <c r="R742" s="406"/>
      <c r="S742" s="406"/>
      <c r="T742" s="406"/>
      <c r="U742" s="406"/>
      <c r="V742" s="406"/>
      <c r="W742" s="406"/>
      <c r="X742" s="406"/>
      <c r="Y742" s="406"/>
      <c r="Z742" s="406"/>
      <c r="AA742" s="406"/>
      <c r="AB742" s="406"/>
      <c r="AC742" s="406"/>
      <c r="AD742" s="406"/>
      <c r="AE742" s="406"/>
      <c r="AF742" s="406"/>
      <c r="AG742" s="406"/>
      <c r="AH742" s="406"/>
      <c r="AI742" s="406"/>
      <c r="AJ742" s="406"/>
      <c r="AK742" s="406"/>
      <c r="AL742" s="406"/>
      <c r="AM742" s="406"/>
      <c r="AN742" s="406"/>
      <c r="AO742" s="406"/>
      <c r="AP742" s="406"/>
      <c r="AQ742" s="406"/>
      <c r="AR742" s="406"/>
      <c r="AS742" s="406"/>
      <c r="AT742" s="406"/>
      <c r="AU742" s="406"/>
      <c r="AV742" s="406"/>
      <c r="AW742" s="406"/>
      <c r="AX742" s="406"/>
      <c r="AY742" s="406"/>
      <c r="AZ742" s="406"/>
      <c r="BA742" s="406"/>
      <c r="BB742" s="406"/>
      <c r="BC742" s="406"/>
      <c r="BD742" s="406"/>
      <c r="BE742" s="406"/>
      <c r="BF742" s="406"/>
      <c r="BG742" s="406"/>
      <c r="BH742" s="406"/>
      <c r="BI742" s="406"/>
      <c r="BJ742" s="406"/>
      <c r="BK742" s="565"/>
      <c r="BL742" s="565"/>
      <c r="BM742" s="565"/>
      <c r="BN742" s="406"/>
      <c r="BO742" s="406"/>
      <c r="BP742" s="406"/>
      <c r="BQ742" s="406"/>
      <c r="BR742" s="406"/>
      <c r="BS742" s="406"/>
      <c r="BT742" s="406"/>
      <c r="BU742" s="406"/>
      <c r="BV742" s="406"/>
      <c r="BW742" s="406"/>
      <c r="BX742" s="406"/>
      <c r="BY742" s="406"/>
      <c r="BZ742" s="406"/>
      <c r="CA742" s="406"/>
      <c r="CB742" s="566"/>
    </row>
    <row r="743" spans="1:80" ht="30" customHeight="1" x14ac:dyDescent="0.2">
      <c r="A743" s="352" t="s">
        <v>925</v>
      </c>
      <c r="B743" s="352"/>
      <c r="C743" s="353"/>
      <c r="D743" s="352"/>
      <c r="E743" s="352"/>
      <c r="F743" s="352"/>
      <c r="G743" s="354"/>
      <c r="H743" s="355"/>
      <c r="I743" s="354"/>
      <c r="J743" s="354"/>
      <c r="K743" s="356"/>
      <c r="L743" s="356"/>
      <c r="M743" s="356"/>
      <c r="N743" s="355"/>
      <c r="O743" s="355"/>
      <c r="P743" s="354"/>
      <c r="Q743" s="355"/>
      <c r="R743" s="517"/>
      <c r="S743" s="517"/>
      <c r="T743" s="517"/>
      <c r="U743" s="517"/>
      <c r="V743" s="517"/>
      <c r="W743" s="517"/>
      <c r="X743" s="517"/>
      <c r="Y743" s="517"/>
      <c r="Z743" s="517"/>
      <c r="AA743" s="517"/>
      <c r="AB743" s="517"/>
      <c r="AC743" s="517"/>
      <c r="AD743" s="517"/>
      <c r="AE743" s="517"/>
      <c r="AF743" s="517"/>
      <c r="AG743" s="517"/>
      <c r="AH743" s="517"/>
      <c r="AI743" s="517"/>
      <c r="AJ743" s="517"/>
      <c r="AK743" s="517"/>
      <c r="AL743" s="517"/>
      <c r="AM743" s="517"/>
      <c r="AN743" s="517"/>
      <c r="AO743" s="517"/>
      <c r="AP743" s="517"/>
      <c r="AQ743" s="517"/>
      <c r="AR743" s="517"/>
      <c r="AS743" s="517"/>
      <c r="AT743" s="517"/>
      <c r="AU743" s="517"/>
      <c r="AV743" s="517"/>
      <c r="AW743" s="517"/>
      <c r="AX743" s="517"/>
      <c r="AY743" s="517"/>
      <c r="AZ743" s="517"/>
      <c r="BA743" s="517"/>
      <c r="BB743" s="517"/>
      <c r="BC743" s="517"/>
      <c r="BD743" s="517"/>
      <c r="BE743" s="517"/>
      <c r="BF743" s="517"/>
      <c r="BG743" s="517"/>
      <c r="BH743" s="517"/>
      <c r="BI743" s="517"/>
      <c r="BJ743" s="517"/>
      <c r="BK743" s="518"/>
      <c r="BL743" s="518"/>
      <c r="BM743" s="518"/>
      <c r="BN743" s="519"/>
      <c r="BO743" s="519"/>
      <c r="BP743" s="519"/>
      <c r="BQ743" s="517"/>
      <c r="BR743" s="517"/>
      <c r="BS743" s="517"/>
      <c r="BT743" s="517"/>
      <c r="BU743" s="517"/>
      <c r="BV743" s="517"/>
      <c r="BW743" s="517"/>
      <c r="BX743" s="517"/>
      <c r="BY743" s="517"/>
      <c r="BZ743" s="520"/>
      <c r="CA743" s="520"/>
      <c r="CB743" s="520"/>
    </row>
    <row r="744" spans="1:80" ht="30" customHeight="1" x14ac:dyDescent="0.2">
      <c r="A744" s="710">
        <v>4</v>
      </c>
      <c r="B744" s="342" t="s">
        <v>926</v>
      </c>
      <c r="C744" s="210"/>
      <c r="D744" s="342"/>
      <c r="E744" s="342"/>
      <c r="F744" s="238"/>
      <c r="G744" s="357"/>
      <c r="H744" s="358"/>
      <c r="I744" s="357"/>
      <c r="J744" s="357"/>
      <c r="K744" s="359"/>
      <c r="L744" s="359"/>
      <c r="M744" s="359"/>
      <c r="N744" s="358"/>
      <c r="O744" s="358"/>
      <c r="P744" s="357"/>
      <c r="Q744" s="357"/>
      <c r="R744" s="521"/>
      <c r="S744" s="521"/>
      <c r="T744" s="521"/>
      <c r="U744" s="521"/>
      <c r="V744" s="521"/>
      <c r="W744" s="521"/>
      <c r="X744" s="521"/>
      <c r="Y744" s="521"/>
      <c r="Z744" s="521"/>
      <c r="AA744" s="521"/>
      <c r="AB744" s="521"/>
      <c r="AC744" s="521"/>
      <c r="AD744" s="521"/>
      <c r="AE744" s="521"/>
      <c r="AF744" s="521"/>
      <c r="AG744" s="521"/>
      <c r="AH744" s="521"/>
      <c r="AI744" s="521"/>
      <c r="AJ744" s="521"/>
      <c r="AK744" s="521"/>
      <c r="AL744" s="521"/>
      <c r="AM744" s="521"/>
      <c r="AN744" s="521"/>
      <c r="AO744" s="521"/>
      <c r="AP744" s="521"/>
      <c r="AQ744" s="521"/>
      <c r="AR744" s="521"/>
      <c r="AS744" s="521"/>
      <c r="AT744" s="521"/>
      <c r="AU744" s="521"/>
      <c r="AV744" s="521"/>
      <c r="AW744" s="521"/>
      <c r="AX744" s="521"/>
      <c r="AY744" s="521"/>
      <c r="AZ744" s="521"/>
      <c r="BA744" s="521"/>
      <c r="BB744" s="521"/>
      <c r="BC744" s="521"/>
      <c r="BD744" s="521"/>
      <c r="BE744" s="521"/>
      <c r="BF744" s="521"/>
      <c r="BG744" s="521"/>
      <c r="BH744" s="521"/>
      <c r="BI744" s="521"/>
      <c r="BJ744" s="521"/>
      <c r="BK744" s="522"/>
      <c r="BL744" s="522"/>
      <c r="BM744" s="522"/>
      <c r="BN744" s="521"/>
      <c r="BO744" s="521"/>
      <c r="BP744" s="521"/>
      <c r="BQ744" s="521"/>
      <c r="BR744" s="521"/>
      <c r="BS744" s="521"/>
      <c r="BT744" s="521"/>
      <c r="BU744" s="521"/>
      <c r="BV744" s="521"/>
      <c r="BW744" s="521"/>
      <c r="BX744" s="521"/>
      <c r="BY744" s="521"/>
      <c r="BZ744" s="465"/>
      <c r="CA744" s="465"/>
      <c r="CB744" s="465"/>
    </row>
    <row r="745" spans="1:80" ht="30" customHeight="1" x14ac:dyDescent="0.2">
      <c r="A745" s="76"/>
      <c r="B745" s="152">
        <v>23</v>
      </c>
      <c r="C745" s="199" t="s">
        <v>190</v>
      </c>
      <c r="D745" s="337"/>
      <c r="E745" s="337"/>
      <c r="F745" s="337"/>
      <c r="G745" s="39"/>
      <c r="H745" s="40"/>
      <c r="I745" s="39"/>
      <c r="J745" s="39"/>
      <c r="K745" s="126"/>
      <c r="L745" s="126"/>
      <c r="M745" s="126"/>
      <c r="N745" s="361"/>
      <c r="O745" s="361"/>
      <c r="P745" s="360"/>
      <c r="Q745" s="360"/>
      <c r="R745" s="523"/>
      <c r="S745" s="523"/>
      <c r="T745" s="523"/>
      <c r="U745" s="523"/>
      <c r="V745" s="523"/>
      <c r="W745" s="523"/>
      <c r="X745" s="523"/>
      <c r="Y745" s="523"/>
      <c r="Z745" s="523"/>
      <c r="AA745" s="523"/>
      <c r="AB745" s="523"/>
      <c r="AC745" s="523"/>
      <c r="AD745" s="523"/>
      <c r="AE745" s="523"/>
      <c r="AF745" s="523"/>
      <c r="AG745" s="523"/>
      <c r="AH745" s="523"/>
      <c r="AI745" s="523"/>
      <c r="AJ745" s="523"/>
      <c r="AK745" s="523"/>
      <c r="AL745" s="523"/>
      <c r="AM745" s="523"/>
      <c r="AN745" s="523"/>
      <c r="AO745" s="523"/>
      <c r="AP745" s="523"/>
      <c r="AQ745" s="523"/>
      <c r="AR745" s="523"/>
      <c r="AS745" s="523"/>
      <c r="AT745" s="523"/>
      <c r="AU745" s="523"/>
      <c r="AV745" s="523"/>
      <c r="AW745" s="523"/>
      <c r="AX745" s="523"/>
      <c r="AY745" s="523"/>
      <c r="AZ745" s="523"/>
      <c r="BA745" s="523"/>
      <c r="BB745" s="523"/>
      <c r="BC745" s="523"/>
      <c r="BD745" s="523"/>
      <c r="BE745" s="523"/>
      <c r="BF745" s="523"/>
      <c r="BG745" s="523"/>
      <c r="BH745" s="523"/>
      <c r="BI745" s="523"/>
      <c r="BJ745" s="523"/>
      <c r="BK745" s="524"/>
      <c r="BL745" s="524"/>
      <c r="BM745" s="524"/>
      <c r="BN745" s="523"/>
      <c r="BO745" s="523"/>
      <c r="BP745" s="523"/>
      <c r="BQ745" s="523"/>
      <c r="BR745" s="523"/>
      <c r="BS745" s="523"/>
      <c r="BT745" s="523"/>
      <c r="BU745" s="523"/>
      <c r="BV745" s="523"/>
      <c r="BW745" s="523"/>
      <c r="BX745" s="523"/>
      <c r="BY745" s="523"/>
      <c r="BZ745" s="525"/>
      <c r="CA745" s="525"/>
      <c r="CB745" s="525"/>
    </row>
    <row r="746" spans="1:80" ht="30" customHeight="1" x14ac:dyDescent="0.2">
      <c r="A746" s="42"/>
      <c r="B746" s="382"/>
      <c r="C746" s="713"/>
      <c r="D746" s="707"/>
      <c r="E746" s="713"/>
      <c r="F746" s="713"/>
      <c r="G746" s="219">
        <v>77</v>
      </c>
      <c r="H746" s="79" t="s">
        <v>927</v>
      </c>
      <c r="I746" s="80"/>
      <c r="J746" s="80"/>
      <c r="K746" s="128"/>
      <c r="L746" s="128"/>
      <c r="M746" s="128"/>
      <c r="N746" s="173"/>
      <c r="O746" s="173"/>
      <c r="P746" s="80"/>
      <c r="Q746" s="80"/>
      <c r="R746" s="267"/>
      <c r="S746" s="267"/>
      <c r="T746" s="267"/>
      <c r="U746" s="267"/>
      <c r="V746" s="267"/>
      <c r="W746" s="267"/>
      <c r="X746" s="267"/>
      <c r="Y746" s="267"/>
      <c r="Z746" s="267"/>
      <c r="AA746" s="267"/>
      <c r="AB746" s="267"/>
      <c r="AC746" s="267"/>
      <c r="AD746" s="267"/>
      <c r="AE746" s="267"/>
      <c r="AF746" s="267"/>
      <c r="AG746" s="267"/>
      <c r="AH746" s="267"/>
      <c r="AI746" s="267"/>
      <c r="AJ746" s="267"/>
      <c r="AK746" s="267"/>
      <c r="AL746" s="267"/>
      <c r="AM746" s="267"/>
      <c r="AN746" s="267"/>
      <c r="AO746" s="267"/>
      <c r="AP746" s="267"/>
      <c r="AQ746" s="267"/>
      <c r="AR746" s="267"/>
      <c r="AS746" s="267"/>
      <c r="AT746" s="267"/>
      <c r="AU746" s="267"/>
      <c r="AV746" s="267"/>
      <c r="AW746" s="267"/>
      <c r="AX746" s="267"/>
      <c r="AY746" s="267"/>
      <c r="AZ746" s="267"/>
      <c r="BA746" s="267"/>
      <c r="BB746" s="267"/>
      <c r="BC746" s="267"/>
      <c r="BD746" s="267"/>
      <c r="BE746" s="267"/>
      <c r="BF746" s="267"/>
      <c r="BG746" s="267"/>
      <c r="BH746" s="267"/>
      <c r="BI746" s="267"/>
      <c r="BJ746" s="267"/>
      <c r="BK746" s="414"/>
      <c r="BL746" s="414"/>
      <c r="BM746" s="414"/>
      <c r="BN746" s="267"/>
      <c r="BO746" s="267"/>
      <c r="BP746" s="267"/>
      <c r="BQ746" s="267"/>
      <c r="BR746" s="267"/>
      <c r="BS746" s="267"/>
      <c r="BT746" s="267"/>
      <c r="BU746" s="267"/>
      <c r="BV746" s="267"/>
      <c r="BW746" s="267"/>
      <c r="BX746" s="267"/>
      <c r="BY746" s="267"/>
      <c r="BZ746" s="508"/>
      <c r="CA746" s="508"/>
      <c r="CB746" s="508"/>
    </row>
    <row r="747" spans="1:80" ht="52.5" customHeight="1" x14ac:dyDescent="0.2">
      <c r="A747" s="42"/>
      <c r="B747" s="383"/>
      <c r="C747" s="883">
        <v>11</v>
      </c>
      <c r="D747" s="883" t="s">
        <v>928</v>
      </c>
      <c r="E747" s="883" t="s">
        <v>929</v>
      </c>
      <c r="F747" s="883" t="s">
        <v>930</v>
      </c>
      <c r="G747" s="165"/>
      <c r="H747" s="57">
        <v>223</v>
      </c>
      <c r="I747" s="729" t="s">
        <v>186</v>
      </c>
      <c r="J747" s="44" t="s">
        <v>43</v>
      </c>
      <c r="K747" s="45">
        <v>1</v>
      </c>
      <c r="L747" s="110">
        <v>0.83</v>
      </c>
      <c r="M747" s="884">
        <v>2017003630054</v>
      </c>
      <c r="N747" s="44" t="s">
        <v>134</v>
      </c>
      <c r="O747" s="887" t="s">
        <v>931</v>
      </c>
      <c r="P747" s="890" t="s">
        <v>932</v>
      </c>
      <c r="Q747" s="57" t="s">
        <v>52</v>
      </c>
      <c r="R747" s="401">
        <v>0</v>
      </c>
      <c r="S747" s="401"/>
      <c r="T747" s="401"/>
      <c r="U747" s="401">
        <v>0</v>
      </c>
      <c r="V747" s="401"/>
      <c r="W747" s="401"/>
      <c r="X747" s="401">
        <v>0</v>
      </c>
      <c r="Y747" s="401"/>
      <c r="Z747" s="401"/>
      <c r="AA747" s="401">
        <v>0</v>
      </c>
      <c r="AB747" s="401"/>
      <c r="AC747" s="401"/>
      <c r="AD747" s="401">
        <v>0</v>
      </c>
      <c r="AE747" s="401"/>
      <c r="AF747" s="401"/>
      <c r="AG747" s="401">
        <v>0</v>
      </c>
      <c r="AH747" s="401"/>
      <c r="AI747" s="401"/>
      <c r="AJ747" s="401">
        <v>0</v>
      </c>
      <c r="AK747" s="401"/>
      <c r="AL747" s="401"/>
      <c r="AM747" s="401"/>
      <c r="AN747" s="401"/>
      <c r="AO747" s="401"/>
      <c r="AP747" s="401"/>
      <c r="AQ747" s="401"/>
      <c r="AR747" s="401"/>
      <c r="AS747" s="401">
        <v>0</v>
      </c>
      <c r="AT747" s="401"/>
      <c r="AU747" s="401"/>
      <c r="AV747" s="401">
        <v>0</v>
      </c>
      <c r="AW747" s="401"/>
      <c r="AX747" s="401"/>
      <c r="AY747" s="401"/>
      <c r="AZ747" s="401"/>
      <c r="BA747" s="401"/>
      <c r="BB747" s="401"/>
      <c r="BC747" s="401"/>
      <c r="BD747" s="401"/>
      <c r="BE747" s="401">
        <v>0</v>
      </c>
      <c r="BF747" s="401"/>
      <c r="BG747" s="401"/>
      <c r="BH747" s="401">
        <v>0</v>
      </c>
      <c r="BI747" s="401"/>
      <c r="BJ747" s="401"/>
      <c r="BK747" s="402">
        <v>0</v>
      </c>
      <c r="BL747" s="402"/>
      <c r="BM747" s="402"/>
      <c r="BN747" s="415"/>
      <c r="BO747" s="415"/>
      <c r="BP747" s="415"/>
      <c r="BQ747" s="402">
        <v>102733200</v>
      </c>
      <c r="BR747" s="404">
        <v>85446665</v>
      </c>
      <c r="BS747" s="404">
        <v>63273981</v>
      </c>
      <c r="BT747" s="404"/>
      <c r="BU747" s="404"/>
      <c r="BV747" s="404"/>
      <c r="BW747" s="403">
        <v>0</v>
      </c>
      <c r="BX747" s="403"/>
      <c r="BY747" s="403"/>
      <c r="BZ747" s="401">
        <f>R747+U747+X747+AA747+AD747+AG747+AJ747+AM747+AP747+AS747+AV747+AY747+BB747+BE747+BH747+BK747+BN747+BQ747+BT747+BW747</f>
        <v>102733200</v>
      </c>
      <c r="CA747" s="401">
        <f t="shared" ref="CA747:CB749" si="390">S747+V747+Y747+AB747+AE747+AH747+AK747+AN747+AQ747+AT747+AW747+AZ747+BC747+BF747+BI747+BL747+BO747+BR747+BU747+BX747</f>
        <v>85446665</v>
      </c>
      <c r="CB747" s="401">
        <f t="shared" si="390"/>
        <v>63273981</v>
      </c>
    </row>
    <row r="748" spans="1:80" ht="52.5" customHeight="1" x14ac:dyDescent="0.2">
      <c r="A748" s="42"/>
      <c r="B748" s="383"/>
      <c r="C748" s="883"/>
      <c r="D748" s="883"/>
      <c r="E748" s="883"/>
      <c r="F748" s="883"/>
      <c r="G748" s="51"/>
      <c r="H748" s="57">
        <v>224</v>
      </c>
      <c r="I748" s="729" t="s">
        <v>933</v>
      </c>
      <c r="J748" s="44">
        <v>0</v>
      </c>
      <c r="K748" s="45">
        <v>1</v>
      </c>
      <c r="L748" s="112">
        <v>0.1</v>
      </c>
      <c r="M748" s="885"/>
      <c r="N748" s="44" t="s">
        <v>134</v>
      </c>
      <c r="O748" s="888"/>
      <c r="P748" s="891"/>
      <c r="Q748" s="57" t="s">
        <v>52</v>
      </c>
      <c r="R748" s="401">
        <v>0</v>
      </c>
      <c r="S748" s="401"/>
      <c r="T748" s="401"/>
      <c r="U748" s="401">
        <v>0</v>
      </c>
      <c r="V748" s="401"/>
      <c r="W748" s="401"/>
      <c r="X748" s="401">
        <v>0</v>
      </c>
      <c r="Y748" s="401"/>
      <c r="Z748" s="401"/>
      <c r="AA748" s="401">
        <v>0</v>
      </c>
      <c r="AB748" s="401"/>
      <c r="AC748" s="401"/>
      <c r="AD748" s="401">
        <v>0</v>
      </c>
      <c r="AE748" s="401"/>
      <c r="AF748" s="401"/>
      <c r="AG748" s="401">
        <v>0</v>
      </c>
      <c r="AH748" s="401"/>
      <c r="AI748" s="401"/>
      <c r="AJ748" s="401">
        <v>0</v>
      </c>
      <c r="AK748" s="401"/>
      <c r="AL748" s="401"/>
      <c r="AM748" s="401"/>
      <c r="AN748" s="401"/>
      <c r="AO748" s="401"/>
      <c r="AP748" s="401"/>
      <c r="AQ748" s="401"/>
      <c r="AR748" s="401"/>
      <c r="AS748" s="401">
        <v>0</v>
      </c>
      <c r="AT748" s="401"/>
      <c r="AU748" s="401"/>
      <c r="AV748" s="401">
        <v>0</v>
      </c>
      <c r="AW748" s="401"/>
      <c r="AX748" s="401"/>
      <c r="AY748" s="401"/>
      <c r="AZ748" s="401"/>
      <c r="BA748" s="401"/>
      <c r="BB748" s="401"/>
      <c r="BC748" s="401"/>
      <c r="BD748" s="401"/>
      <c r="BE748" s="401">
        <v>0</v>
      </c>
      <c r="BF748" s="401"/>
      <c r="BG748" s="401"/>
      <c r="BH748" s="401">
        <v>0</v>
      </c>
      <c r="BI748" s="401"/>
      <c r="BJ748" s="401"/>
      <c r="BK748" s="402">
        <v>0</v>
      </c>
      <c r="BL748" s="402"/>
      <c r="BM748" s="402"/>
      <c r="BN748" s="415"/>
      <c r="BO748" s="415"/>
      <c r="BP748" s="415"/>
      <c r="BQ748" s="402">
        <v>10600000</v>
      </c>
      <c r="BR748" s="404"/>
      <c r="BS748" s="404"/>
      <c r="BT748" s="404"/>
      <c r="BU748" s="404"/>
      <c r="BV748" s="404"/>
      <c r="BW748" s="403">
        <v>0</v>
      </c>
      <c r="BX748" s="403"/>
      <c r="BY748" s="403"/>
      <c r="BZ748" s="401">
        <f t="shared" ref="BZ748:BZ749" si="391">R748+U748+X748+AA748+AD748+AG748+AJ748+AM748+AP748+AS748+AV748+AY748+BB748+BE748+BH748+BK748+BN748+BQ748+BT748+BW748</f>
        <v>10600000</v>
      </c>
      <c r="CA748" s="401">
        <f t="shared" si="390"/>
        <v>0</v>
      </c>
      <c r="CB748" s="401">
        <f t="shared" si="390"/>
        <v>0</v>
      </c>
    </row>
    <row r="749" spans="1:80" ht="52.5" customHeight="1" x14ac:dyDescent="0.2">
      <c r="A749" s="42"/>
      <c r="B749" s="383"/>
      <c r="C749" s="883"/>
      <c r="D749" s="883"/>
      <c r="E749" s="883"/>
      <c r="F749" s="883"/>
      <c r="G749" s="53"/>
      <c r="H749" s="57">
        <v>225</v>
      </c>
      <c r="I749" s="729" t="s">
        <v>934</v>
      </c>
      <c r="J749" s="44">
        <v>0</v>
      </c>
      <c r="K749" s="45">
        <v>1</v>
      </c>
      <c r="L749" s="45">
        <v>0</v>
      </c>
      <c r="M749" s="886"/>
      <c r="N749" s="44" t="s">
        <v>134</v>
      </c>
      <c r="O749" s="889"/>
      <c r="P749" s="892"/>
      <c r="Q749" s="57" t="s">
        <v>52</v>
      </c>
      <c r="R749" s="401">
        <v>0</v>
      </c>
      <c r="S749" s="401"/>
      <c r="T749" s="401"/>
      <c r="U749" s="401">
        <v>0</v>
      </c>
      <c r="V749" s="401"/>
      <c r="W749" s="401"/>
      <c r="X749" s="401">
        <v>0</v>
      </c>
      <c r="Y749" s="401"/>
      <c r="Z749" s="401"/>
      <c r="AA749" s="401">
        <v>0</v>
      </c>
      <c r="AB749" s="401"/>
      <c r="AC749" s="401"/>
      <c r="AD749" s="401">
        <v>0</v>
      </c>
      <c r="AE749" s="401"/>
      <c r="AF749" s="401"/>
      <c r="AG749" s="401">
        <v>0</v>
      </c>
      <c r="AH749" s="401"/>
      <c r="AI749" s="401"/>
      <c r="AJ749" s="401">
        <v>0</v>
      </c>
      <c r="AK749" s="401"/>
      <c r="AL749" s="401"/>
      <c r="AM749" s="401"/>
      <c r="AN749" s="401"/>
      <c r="AO749" s="401"/>
      <c r="AP749" s="401"/>
      <c r="AQ749" s="401"/>
      <c r="AR749" s="401"/>
      <c r="AS749" s="401">
        <v>0</v>
      </c>
      <c r="AT749" s="401"/>
      <c r="AU749" s="401"/>
      <c r="AV749" s="401">
        <v>0</v>
      </c>
      <c r="AW749" s="401"/>
      <c r="AX749" s="401"/>
      <c r="AY749" s="401"/>
      <c r="AZ749" s="401"/>
      <c r="BA749" s="401"/>
      <c r="BB749" s="401"/>
      <c r="BC749" s="401"/>
      <c r="BD749" s="401"/>
      <c r="BE749" s="401">
        <v>0</v>
      </c>
      <c r="BF749" s="401"/>
      <c r="BG749" s="401"/>
      <c r="BH749" s="401">
        <v>0</v>
      </c>
      <c r="BI749" s="401"/>
      <c r="BJ749" s="401"/>
      <c r="BK749" s="402">
        <v>0</v>
      </c>
      <c r="BL749" s="402"/>
      <c r="BM749" s="402"/>
      <c r="BN749" s="415"/>
      <c r="BO749" s="415"/>
      <c r="BP749" s="415"/>
      <c r="BQ749" s="402">
        <v>1666800</v>
      </c>
      <c r="BR749" s="404"/>
      <c r="BS749" s="404"/>
      <c r="BT749" s="404"/>
      <c r="BU749" s="404"/>
      <c r="BV749" s="404"/>
      <c r="BW749" s="403">
        <v>0</v>
      </c>
      <c r="BX749" s="403"/>
      <c r="BY749" s="403"/>
      <c r="BZ749" s="401">
        <f t="shared" si="391"/>
        <v>1666800</v>
      </c>
      <c r="CA749" s="401">
        <f t="shared" si="390"/>
        <v>0</v>
      </c>
      <c r="CB749" s="401">
        <f t="shared" si="390"/>
        <v>0</v>
      </c>
    </row>
    <row r="750" spans="1:80" ht="30" customHeight="1" x14ac:dyDescent="0.2">
      <c r="A750" s="42"/>
      <c r="B750" s="384"/>
      <c r="C750" s="714"/>
      <c r="D750" s="709"/>
      <c r="E750" s="714"/>
      <c r="F750" s="714"/>
      <c r="G750" s="275"/>
      <c r="H750" s="59"/>
      <c r="I750" s="58"/>
      <c r="J750" s="60"/>
      <c r="K750" s="113"/>
      <c r="L750" s="113"/>
      <c r="M750" s="113"/>
      <c r="N750" s="60"/>
      <c r="O750" s="59"/>
      <c r="P750" s="58"/>
      <c r="Q750" s="59"/>
      <c r="R750" s="410">
        <f t="shared" ref="R750:BQ750" si="392">SUM(R747:R749)</f>
        <v>0</v>
      </c>
      <c r="S750" s="410"/>
      <c r="T750" s="410"/>
      <c r="U750" s="410">
        <f t="shared" si="392"/>
        <v>0</v>
      </c>
      <c r="V750" s="410"/>
      <c r="W750" s="410"/>
      <c r="X750" s="410">
        <f t="shared" si="392"/>
        <v>0</v>
      </c>
      <c r="Y750" s="410"/>
      <c r="Z750" s="410"/>
      <c r="AA750" s="410">
        <f t="shared" si="392"/>
        <v>0</v>
      </c>
      <c r="AB750" s="410"/>
      <c r="AC750" s="410"/>
      <c r="AD750" s="410">
        <f t="shared" si="392"/>
        <v>0</v>
      </c>
      <c r="AE750" s="410"/>
      <c r="AF750" s="410"/>
      <c r="AG750" s="410">
        <f t="shared" si="392"/>
        <v>0</v>
      </c>
      <c r="AH750" s="410"/>
      <c r="AI750" s="410"/>
      <c r="AJ750" s="410">
        <f t="shared" si="392"/>
        <v>0</v>
      </c>
      <c r="AK750" s="410"/>
      <c r="AL750" s="410"/>
      <c r="AM750" s="410"/>
      <c r="AN750" s="410"/>
      <c r="AO750" s="410"/>
      <c r="AP750" s="410"/>
      <c r="AQ750" s="410"/>
      <c r="AR750" s="410"/>
      <c r="AS750" s="410">
        <f t="shared" si="392"/>
        <v>0</v>
      </c>
      <c r="AT750" s="410"/>
      <c r="AU750" s="410"/>
      <c r="AV750" s="410">
        <f t="shared" si="392"/>
        <v>0</v>
      </c>
      <c r="AW750" s="410"/>
      <c r="AX750" s="410"/>
      <c r="AY750" s="410">
        <f t="shared" si="392"/>
        <v>0</v>
      </c>
      <c r="AZ750" s="410"/>
      <c r="BA750" s="410"/>
      <c r="BB750" s="410">
        <f t="shared" si="392"/>
        <v>0</v>
      </c>
      <c r="BC750" s="410"/>
      <c r="BD750" s="410"/>
      <c r="BE750" s="410">
        <f t="shared" si="392"/>
        <v>0</v>
      </c>
      <c r="BF750" s="410"/>
      <c r="BG750" s="410"/>
      <c r="BH750" s="410">
        <f t="shared" si="392"/>
        <v>0</v>
      </c>
      <c r="BI750" s="410"/>
      <c r="BJ750" s="410"/>
      <c r="BK750" s="476">
        <f t="shared" si="392"/>
        <v>0</v>
      </c>
      <c r="BL750" s="476"/>
      <c r="BM750" s="476"/>
      <c r="BN750" s="410"/>
      <c r="BO750" s="410"/>
      <c r="BP750" s="410"/>
      <c r="BQ750" s="410">
        <f t="shared" si="392"/>
        <v>115000000</v>
      </c>
      <c r="BR750" s="410"/>
      <c r="BS750" s="410"/>
      <c r="BT750" s="410">
        <f>SUM(BT747:BT749)</f>
        <v>0</v>
      </c>
      <c r="BU750" s="410"/>
      <c r="BV750" s="410"/>
      <c r="BW750" s="410">
        <f>SUM(BW747:BW749)</f>
        <v>0</v>
      </c>
      <c r="BX750" s="410"/>
      <c r="BY750" s="410"/>
      <c r="BZ750" s="410">
        <f>SUM(BZ747:BZ749)</f>
        <v>115000000</v>
      </c>
      <c r="CA750" s="410">
        <f>SUM(CA747:CA749)</f>
        <v>85446665</v>
      </c>
      <c r="CB750" s="410">
        <f t="shared" ref="CB750" si="393">SUM(CB747:CB749)</f>
        <v>63273981</v>
      </c>
    </row>
    <row r="751" spans="1:80" ht="30" customHeight="1" x14ac:dyDescent="0.2">
      <c r="A751" s="55"/>
      <c r="B751" s="62"/>
      <c r="C751" s="63"/>
      <c r="D751" s="62"/>
      <c r="E751" s="63"/>
      <c r="F751" s="63"/>
      <c r="G751" s="95"/>
      <c r="H751" s="63"/>
      <c r="I751" s="62"/>
      <c r="J751" s="64"/>
      <c r="K751" s="115"/>
      <c r="L751" s="115"/>
      <c r="M751" s="115"/>
      <c r="N751" s="64"/>
      <c r="O751" s="63"/>
      <c r="P751" s="62"/>
      <c r="Q751" s="63"/>
      <c r="R751" s="416">
        <f t="shared" ref="R751:CB753" si="394">R750</f>
        <v>0</v>
      </c>
      <c r="S751" s="416"/>
      <c r="T751" s="416"/>
      <c r="U751" s="416">
        <f t="shared" si="394"/>
        <v>0</v>
      </c>
      <c r="V751" s="416"/>
      <c r="W751" s="416"/>
      <c r="X751" s="416">
        <f t="shared" si="394"/>
        <v>0</v>
      </c>
      <c r="Y751" s="416"/>
      <c r="Z751" s="416"/>
      <c r="AA751" s="416">
        <f t="shared" si="394"/>
        <v>0</v>
      </c>
      <c r="AB751" s="416"/>
      <c r="AC751" s="416"/>
      <c r="AD751" s="416">
        <f t="shared" si="394"/>
        <v>0</v>
      </c>
      <c r="AE751" s="416"/>
      <c r="AF751" s="416"/>
      <c r="AG751" s="416">
        <f t="shared" si="394"/>
        <v>0</v>
      </c>
      <c r="AH751" s="416"/>
      <c r="AI751" s="416"/>
      <c r="AJ751" s="416">
        <f t="shared" si="394"/>
        <v>0</v>
      </c>
      <c r="AK751" s="416"/>
      <c r="AL751" s="416"/>
      <c r="AM751" s="416"/>
      <c r="AN751" s="416"/>
      <c r="AO751" s="416"/>
      <c r="AP751" s="416"/>
      <c r="AQ751" s="416"/>
      <c r="AR751" s="416"/>
      <c r="AS751" s="416">
        <f t="shared" si="394"/>
        <v>0</v>
      </c>
      <c r="AT751" s="416"/>
      <c r="AU751" s="416"/>
      <c r="AV751" s="416">
        <f t="shared" si="394"/>
        <v>0</v>
      </c>
      <c r="AW751" s="416"/>
      <c r="AX751" s="416"/>
      <c r="AY751" s="416">
        <f t="shared" si="394"/>
        <v>0</v>
      </c>
      <c r="AZ751" s="416"/>
      <c r="BA751" s="416"/>
      <c r="BB751" s="416">
        <f t="shared" si="394"/>
        <v>0</v>
      </c>
      <c r="BC751" s="416"/>
      <c r="BD751" s="416"/>
      <c r="BE751" s="416">
        <f t="shared" si="394"/>
        <v>0</v>
      </c>
      <c r="BF751" s="416"/>
      <c r="BG751" s="416"/>
      <c r="BH751" s="416">
        <f t="shared" si="394"/>
        <v>0</v>
      </c>
      <c r="BI751" s="416"/>
      <c r="BJ751" s="416"/>
      <c r="BK751" s="477">
        <f t="shared" si="394"/>
        <v>0</v>
      </c>
      <c r="BL751" s="477"/>
      <c r="BM751" s="477"/>
      <c r="BN751" s="416"/>
      <c r="BO751" s="416"/>
      <c r="BP751" s="416"/>
      <c r="BQ751" s="416">
        <f t="shared" si="394"/>
        <v>115000000</v>
      </c>
      <c r="BR751" s="416"/>
      <c r="BS751" s="416"/>
      <c r="BT751" s="416">
        <f t="shared" si="394"/>
        <v>0</v>
      </c>
      <c r="BU751" s="416"/>
      <c r="BV751" s="416"/>
      <c r="BW751" s="416">
        <f t="shared" si="394"/>
        <v>0</v>
      </c>
      <c r="BX751" s="416"/>
      <c r="BY751" s="416"/>
      <c r="BZ751" s="416">
        <f t="shared" si="394"/>
        <v>115000000</v>
      </c>
      <c r="CA751" s="416">
        <f t="shared" si="394"/>
        <v>85446665</v>
      </c>
      <c r="CB751" s="416">
        <f t="shared" si="394"/>
        <v>63273981</v>
      </c>
    </row>
    <row r="752" spans="1:80" ht="30" customHeight="1" x14ac:dyDescent="0.2">
      <c r="A752" s="65"/>
      <c r="B752" s="65"/>
      <c r="C752" s="66"/>
      <c r="D752" s="65"/>
      <c r="E752" s="66"/>
      <c r="F752" s="66"/>
      <c r="G752" s="148"/>
      <c r="H752" s="66"/>
      <c r="I752" s="65"/>
      <c r="J752" s="67"/>
      <c r="K752" s="116"/>
      <c r="L752" s="116"/>
      <c r="M752" s="116"/>
      <c r="N752" s="67"/>
      <c r="O752" s="66"/>
      <c r="P752" s="65"/>
      <c r="Q752" s="66"/>
      <c r="R752" s="422">
        <f t="shared" si="394"/>
        <v>0</v>
      </c>
      <c r="S752" s="422"/>
      <c r="T752" s="422"/>
      <c r="U752" s="422">
        <f t="shared" si="394"/>
        <v>0</v>
      </c>
      <c r="V752" s="422"/>
      <c r="W752" s="422"/>
      <c r="X752" s="422">
        <f t="shared" si="394"/>
        <v>0</v>
      </c>
      <c r="Y752" s="422"/>
      <c r="Z752" s="422"/>
      <c r="AA752" s="422">
        <f t="shared" si="394"/>
        <v>0</v>
      </c>
      <c r="AB752" s="422"/>
      <c r="AC752" s="422"/>
      <c r="AD752" s="422">
        <f t="shared" si="394"/>
        <v>0</v>
      </c>
      <c r="AE752" s="422"/>
      <c r="AF752" s="422"/>
      <c r="AG752" s="422">
        <f t="shared" si="394"/>
        <v>0</v>
      </c>
      <c r="AH752" s="422"/>
      <c r="AI752" s="422"/>
      <c r="AJ752" s="422">
        <f t="shared" si="394"/>
        <v>0</v>
      </c>
      <c r="AK752" s="422"/>
      <c r="AL752" s="422"/>
      <c r="AM752" s="422"/>
      <c r="AN752" s="422"/>
      <c r="AO752" s="422"/>
      <c r="AP752" s="422"/>
      <c r="AQ752" s="422"/>
      <c r="AR752" s="422"/>
      <c r="AS752" s="422">
        <f t="shared" si="394"/>
        <v>0</v>
      </c>
      <c r="AT752" s="422"/>
      <c r="AU752" s="422"/>
      <c r="AV752" s="422">
        <f t="shared" si="394"/>
        <v>0</v>
      </c>
      <c r="AW752" s="422"/>
      <c r="AX752" s="422"/>
      <c r="AY752" s="422">
        <f t="shared" si="394"/>
        <v>0</v>
      </c>
      <c r="AZ752" s="422"/>
      <c r="BA752" s="422"/>
      <c r="BB752" s="422">
        <f t="shared" si="394"/>
        <v>0</v>
      </c>
      <c r="BC752" s="422"/>
      <c r="BD752" s="422"/>
      <c r="BE752" s="422">
        <f t="shared" si="394"/>
        <v>0</v>
      </c>
      <c r="BF752" s="422"/>
      <c r="BG752" s="422"/>
      <c r="BH752" s="422">
        <f t="shared" si="394"/>
        <v>0</v>
      </c>
      <c r="BI752" s="422"/>
      <c r="BJ752" s="422"/>
      <c r="BK752" s="478">
        <f t="shared" si="394"/>
        <v>0</v>
      </c>
      <c r="BL752" s="478"/>
      <c r="BM752" s="478"/>
      <c r="BN752" s="422"/>
      <c r="BO752" s="422"/>
      <c r="BP752" s="422"/>
      <c r="BQ752" s="422">
        <f t="shared" si="394"/>
        <v>115000000</v>
      </c>
      <c r="BR752" s="422"/>
      <c r="BS752" s="422"/>
      <c r="BT752" s="422">
        <f t="shared" si="394"/>
        <v>0</v>
      </c>
      <c r="BU752" s="422"/>
      <c r="BV752" s="422"/>
      <c r="BW752" s="422">
        <f t="shared" si="394"/>
        <v>0</v>
      </c>
      <c r="BX752" s="422"/>
      <c r="BY752" s="422"/>
      <c r="BZ752" s="422">
        <f t="shared" si="394"/>
        <v>115000000</v>
      </c>
      <c r="CA752" s="422">
        <f t="shared" si="394"/>
        <v>85446665</v>
      </c>
      <c r="CB752" s="422">
        <f t="shared" si="394"/>
        <v>63273981</v>
      </c>
    </row>
    <row r="753" spans="1:80" ht="30" customHeight="1" x14ac:dyDescent="0.2">
      <c r="A753" s="555"/>
      <c r="B753" s="555"/>
      <c r="C753" s="556"/>
      <c r="D753" s="555"/>
      <c r="E753" s="556"/>
      <c r="F753" s="556"/>
      <c r="G753" s="557"/>
      <c r="H753" s="556"/>
      <c r="I753" s="555"/>
      <c r="J753" s="568"/>
      <c r="K753" s="569"/>
      <c r="L753" s="569"/>
      <c r="M753" s="569"/>
      <c r="N753" s="568"/>
      <c r="O753" s="556"/>
      <c r="P753" s="555"/>
      <c r="Q753" s="556"/>
      <c r="R753" s="559">
        <f t="shared" si="394"/>
        <v>0</v>
      </c>
      <c r="S753" s="559"/>
      <c r="T753" s="559"/>
      <c r="U753" s="559">
        <f t="shared" si="394"/>
        <v>0</v>
      </c>
      <c r="V753" s="559"/>
      <c r="W753" s="559"/>
      <c r="X753" s="423">
        <f t="shared" si="394"/>
        <v>0</v>
      </c>
      <c r="Y753" s="423"/>
      <c r="Z753" s="423"/>
      <c r="AA753" s="423">
        <f t="shared" si="394"/>
        <v>0</v>
      </c>
      <c r="AB753" s="423"/>
      <c r="AC753" s="423"/>
      <c r="AD753" s="423">
        <f t="shared" si="394"/>
        <v>0</v>
      </c>
      <c r="AE753" s="423"/>
      <c r="AF753" s="423"/>
      <c r="AG753" s="423">
        <f t="shared" si="394"/>
        <v>0</v>
      </c>
      <c r="AH753" s="423"/>
      <c r="AI753" s="423"/>
      <c r="AJ753" s="423">
        <f t="shared" si="394"/>
        <v>0</v>
      </c>
      <c r="AK753" s="423"/>
      <c r="AL753" s="423"/>
      <c r="AM753" s="423"/>
      <c r="AN753" s="423"/>
      <c r="AO753" s="423"/>
      <c r="AP753" s="423"/>
      <c r="AQ753" s="423"/>
      <c r="AR753" s="423"/>
      <c r="AS753" s="423">
        <f t="shared" si="394"/>
        <v>0</v>
      </c>
      <c r="AT753" s="423"/>
      <c r="AU753" s="423"/>
      <c r="AV753" s="423">
        <f t="shared" si="394"/>
        <v>0</v>
      </c>
      <c r="AW753" s="423"/>
      <c r="AX753" s="423"/>
      <c r="AY753" s="423">
        <f t="shared" si="394"/>
        <v>0</v>
      </c>
      <c r="AZ753" s="423"/>
      <c r="BA753" s="423"/>
      <c r="BB753" s="423">
        <f t="shared" si="394"/>
        <v>0</v>
      </c>
      <c r="BC753" s="423"/>
      <c r="BD753" s="423"/>
      <c r="BE753" s="423">
        <f t="shared" si="394"/>
        <v>0</v>
      </c>
      <c r="BF753" s="423"/>
      <c r="BG753" s="423"/>
      <c r="BH753" s="423">
        <f t="shared" si="394"/>
        <v>0</v>
      </c>
      <c r="BI753" s="423"/>
      <c r="BJ753" s="423"/>
      <c r="BK753" s="479">
        <f t="shared" si="394"/>
        <v>0</v>
      </c>
      <c r="BL753" s="479"/>
      <c r="BM753" s="479"/>
      <c r="BN753" s="423"/>
      <c r="BO753" s="423"/>
      <c r="BP753" s="423"/>
      <c r="BQ753" s="423">
        <f t="shared" si="394"/>
        <v>115000000</v>
      </c>
      <c r="BR753" s="423"/>
      <c r="BS753" s="423"/>
      <c r="BT753" s="423">
        <f t="shared" si="394"/>
        <v>0</v>
      </c>
      <c r="BU753" s="423"/>
      <c r="BV753" s="423"/>
      <c r="BW753" s="423">
        <f t="shared" si="394"/>
        <v>0</v>
      </c>
      <c r="BX753" s="423"/>
      <c r="BY753" s="423"/>
      <c r="BZ753" s="423">
        <f t="shared" si="394"/>
        <v>115000000</v>
      </c>
      <c r="CA753" s="423">
        <f t="shared" si="394"/>
        <v>85446665</v>
      </c>
      <c r="CB753" s="423">
        <f t="shared" si="394"/>
        <v>63273981</v>
      </c>
    </row>
    <row r="754" spans="1:80" s="2" customFormat="1" ht="30" customHeight="1" x14ac:dyDescent="0.25">
      <c r="A754" s="873" t="s">
        <v>935</v>
      </c>
      <c r="B754" s="874"/>
      <c r="C754" s="874"/>
      <c r="D754" s="874"/>
      <c r="E754" s="874"/>
      <c r="F754" s="874"/>
      <c r="G754" s="874"/>
      <c r="H754" s="874"/>
      <c r="I754" s="874"/>
      <c r="J754" s="874"/>
      <c r="K754" s="874"/>
      <c r="L754" s="701"/>
      <c r="M754" s="701"/>
      <c r="N754" s="127"/>
      <c r="O754" s="127"/>
      <c r="P754" s="77"/>
      <c r="Q754" s="77"/>
      <c r="R754" s="528">
        <f t="shared" ref="R754:CB754" si="395">+R753+R741+R725</f>
        <v>0</v>
      </c>
      <c r="S754" s="528"/>
      <c r="T754" s="528"/>
      <c r="U754" s="528">
        <f t="shared" si="395"/>
        <v>0</v>
      </c>
      <c r="V754" s="528"/>
      <c r="W754" s="528"/>
      <c r="X754" s="567">
        <f t="shared" si="395"/>
        <v>1667250000</v>
      </c>
      <c r="Y754" s="528"/>
      <c r="Z754" s="528"/>
      <c r="AA754" s="528">
        <f t="shared" si="395"/>
        <v>0</v>
      </c>
      <c r="AB754" s="528"/>
      <c r="AC754" s="528"/>
      <c r="AD754" s="528">
        <f t="shared" si="395"/>
        <v>0</v>
      </c>
      <c r="AE754" s="528"/>
      <c r="AF754" s="528"/>
      <c r="AG754" s="528">
        <f t="shared" si="395"/>
        <v>0</v>
      </c>
      <c r="AH754" s="528"/>
      <c r="AI754" s="528"/>
      <c r="AJ754" s="528">
        <f t="shared" si="395"/>
        <v>0</v>
      </c>
      <c r="AK754" s="528"/>
      <c r="AL754" s="528"/>
      <c r="AM754" s="528">
        <f t="shared" si="395"/>
        <v>0</v>
      </c>
      <c r="AN754" s="528"/>
      <c r="AO754" s="528"/>
      <c r="AP754" s="528">
        <f t="shared" si="395"/>
        <v>0</v>
      </c>
      <c r="AQ754" s="528"/>
      <c r="AR754" s="528"/>
      <c r="AS754" s="528">
        <f t="shared" si="395"/>
        <v>0</v>
      </c>
      <c r="AT754" s="528"/>
      <c r="AU754" s="528"/>
      <c r="AV754" s="528">
        <f t="shared" si="395"/>
        <v>0</v>
      </c>
      <c r="AW754" s="528"/>
      <c r="AX754" s="528"/>
      <c r="AY754" s="528">
        <f t="shared" si="395"/>
        <v>0</v>
      </c>
      <c r="AZ754" s="528"/>
      <c r="BA754" s="528"/>
      <c r="BB754" s="528">
        <f t="shared" si="395"/>
        <v>0</v>
      </c>
      <c r="BC754" s="528"/>
      <c r="BD754" s="528"/>
      <c r="BE754" s="528">
        <f t="shared" si="395"/>
        <v>0</v>
      </c>
      <c r="BF754" s="528"/>
      <c r="BG754" s="528"/>
      <c r="BH754" s="528">
        <f t="shared" si="395"/>
        <v>0</v>
      </c>
      <c r="BI754" s="528"/>
      <c r="BJ754" s="528"/>
      <c r="BK754" s="528">
        <f t="shared" si="395"/>
        <v>810393341</v>
      </c>
      <c r="BL754" s="528"/>
      <c r="BM754" s="528"/>
      <c r="BN754" s="528">
        <f t="shared" si="395"/>
        <v>2096307355</v>
      </c>
      <c r="BO754" s="528"/>
      <c r="BP754" s="528"/>
      <c r="BQ754" s="528">
        <f t="shared" si="395"/>
        <v>1209370528</v>
      </c>
      <c r="BR754" s="528"/>
      <c r="BS754" s="528"/>
      <c r="BT754" s="528">
        <f t="shared" si="395"/>
        <v>0</v>
      </c>
      <c r="BU754" s="528"/>
      <c r="BV754" s="528"/>
      <c r="BW754" s="528">
        <f t="shared" si="395"/>
        <v>251747962</v>
      </c>
      <c r="BX754" s="528"/>
      <c r="BY754" s="528"/>
      <c r="BZ754" s="528">
        <f t="shared" si="395"/>
        <v>6035069186</v>
      </c>
      <c r="CA754" s="528">
        <f t="shared" si="395"/>
        <v>4419688948.3999996</v>
      </c>
      <c r="CB754" s="528">
        <f t="shared" si="395"/>
        <v>2228296141.6599998</v>
      </c>
    </row>
    <row r="755" spans="1:80" s="378" customFormat="1" ht="30" customHeight="1" x14ac:dyDescent="0.25">
      <c r="A755" s="875" t="s">
        <v>936</v>
      </c>
      <c r="B755" s="876"/>
      <c r="C755" s="876"/>
      <c r="D755" s="876"/>
      <c r="E755" s="876"/>
      <c r="F755" s="876"/>
      <c r="G755" s="876"/>
      <c r="H755" s="876"/>
      <c r="I755" s="813"/>
      <c r="J755" s="814"/>
      <c r="K755" s="815"/>
      <c r="L755" s="815"/>
      <c r="M755" s="815"/>
      <c r="N755" s="814"/>
      <c r="O755" s="816"/>
      <c r="P755" s="817"/>
      <c r="Q755" s="784"/>
      <c r="R755" s="785">
        <f>+R682+R754</f>
        <v>2963763815</v>
      </c>
      <c r="S755" s="785">
        <f t="shared" ref="S755:T755" si="396">+S682+S754</f>
        <v>1136831860</v>
      </c>
      <c r="T755" s="785">
        <f t="shared" si="396"/>
        <v>539928289.38</v>
      </c>
      <c r="U755" s="785">
        <f>+U682+U754</f>
        <v>3885430678</v>
      </c>
      <c r="V755" s="785">
        <f t="shared" ref="V755:W755" si="397">+V682+V754</f>
        <v>1099893892</v>
      </c>
      <c r="W755" s="785">
        <f t="shared" si="397"/>
        <v>1099893892</v>
      </c>
      <c r="X755" s="785">
        <f>+X682+X754</f>
        <v>12629090365</v>
      </c>
      <c r="Y755" s="785">
        <f t="shared" ref="Y755:Z755" si="398">+Y682+Y754</f>
        <v>6294669575.9099998</v>
      </c>
      <c r="Z755" s="785">
        <f t="shared" si="398"/>
        <v>3905637008.5100002</v>
      </c>
      <c r="AA755" s="785">
        <f>+AA682+AA754</f>
        <v>7014956012.3800001</v>
      </c>
      <c r="AB755" s="785">
        <f t="shared" ref="AB755:AC755" si="399">+AB682+AB754</f>
        <v>1459102717</v>
      </c>
      <c r="AC755" s="785">
        <f t="shared" si="399"/>
        <v>1021140213</v>
      </c>
      <c r="AD755" s="785">
        <f>+AD682+AD754</f>
        <v>293558736</v>
      </c>
      <c r="AE755" s="785">
        <f t="shared" ref="AE755:AF755" si="400">+AE682+AE754</f>
        <v>41390000</v>
      </c>
      <c r="AF755" s="785">
        <f t="shared" si="400"/>
        <v>41273000</v>
      </c>
      <c r="AG755" s="785">
        <f>+AG682+AG754</f>
        <v>893940463</v>
      </c>
      <c r="AH755" s="785">
        <f t="shared" ref="AH755:AI755" si="401">+AH682+AH754</f>
        <v>574338763</v>
      </c>
      <c r="AI755" s="785">
        <f t="shared" si="401"/>
        <v>492064457</v>
      </c>
      <c r="AJ755" s="785">
        <f>+AJ682+AJ754</f>
        <v>3571563200</v>
      </c>
      <c r="AK755" s="785">
        <f t="shared" ref="AK755:AL755" si="402">+AK682+AK754</f>
        <v>3376355631</v>
      </c>
      <c r="AL755" s="785">
        <f t="shared" si="402"/>
        <v>1970793067</v>
      </c>
      <c r="AM755" s="785">
        <f>+AM682+AM754</f>
        <v>4131759812</v>
      </c>
      <c r="AN755" s="785">
        <f t="shared" ref="AN755:AO755" si="403">+AN682+AN754</f>
        <v>3409129965</v>
      </c>
      <c r="AO755" s="785">
        <f t="shared" si="403"/>
        <v>2188260364</v>
      </c>
      <c r="AP755" s="785">
        <f>+AP682+AP754</f>
        <v>8532619661</v>
      </c>
      <c r="AQ755" s="785">
        <f t="shared" ref="AQ755:AR755" si="404">+AQ682+AQ754</f>
        <v>7379829057</v>
      </c>
      <c r="AR755" s="785">
        <f t="shared" si="404"/>
        <v>1441976440</v>
      </c>
      <c r="AS755" s="785">
        <f>+AS682+AS754</f>
        <v>22644190885</v>
      </c>
      <c r="AT755" s="785">
        <f t="shared" ref="AT755:AU755" si="405">+AT682+AT754</f>
        <v>5585154332</v>
      </c>
      <c r="AU755" s="785">
        <f t="shared" si="405"/>
        <v>2046353256</v>
      </c>
      <c r="AV755" s="785">
        <f>+AV682+AV754</f>
        <v>4351775573</v>
      </c>
      <c r="AW755" s="785">
        <f t="shared" ref="AW755:AX755" si="406">+AW682+AW754</f>
        <v>1996327195</v>
      </c>
      <c r="AX755" s="785">
        <f t="shared" si="406"/>
        <v>1618165753</v>
      </c>
      <c r="AY755" s="785">
        <f>+AY682+AY754</f>
        <v>146517165276</v>
      </c>
      <c r="AZ755" s="785">
        <f t="shared" ref="AZ755:BA755" si="407">+AZ682+AZ754</f>
        <v>68478582881.239998</v>
      </c>
      <c r="BA755" s="785">
        <f t="shared" si="407"/>
        <v>67596641915.239998</v>
      </c>
      <c r="BB755" s="785">
        <f>+BB682+BB754</f>
        <v>26281000000</v>
      </c>
      <c r="BC755" s="785">
        <f t="shared" ref="BC755:BG755" si="408">+BC682+BC754</f>
        <v>14854729332</v>
      </c>
      <c r="BD755" s="785">
        <f t="shared" si="408"/>
        <v>14854729332</v>
      </c>
      <c r="BE755" s="785">
        <f t="shared" si="408"/>
        <v>9535927847</v>
      </c>
      <c r="BF755" s="785">
        <f t="shared" si="408"/>
        <v>8176025000</v>
      </c>
      <c r="BG755" s="785">
        <f t="shared" si="408"/>
        <v>2817827462</v>
      </c>
      <c r="BH755" s="785">
        <f>+BH682+BH754</f>
        <v>2525108749</v>
      </c>
      <c r="BI755" s="785">
        <f t="shared" ref="BI755:BJ755" si="409">+BI682+BI754</f>
        <v>2514716632</v>
      </c>
      <c r="BJ755" s="785">
        <f t="shared" si="409"/>
        <v>0</v>
      </c>
      <c r="BK755" s="785">
        <f>+BK682+BK754</f>
        <v>27072749480</v>
      </c>
      <c r="BL755" s="785">
        <f t="shared" ref="BL755:BM755" si="410">+BL682+BL754</f>
        <v>17491654931</v>
      </c>
      <c r="BM755" s="785">
        <f t="shared" si="410"/>
        <v>11355029010.790001</v>
      </c>
      <c r="BN755" s="785">
        <f>+BN682+BN754</f>
        <v>2096307355</v>
      </c>
      <c r="BO755" s="785">
        <f t="shared" ref="BO755:BP755" si="411">+BO682+BO754</f>
        <v>0</v>
      </c>
      <c r="BP755" s="785">
        <f t="shared" si="411"/>
        <v>0</v>
      </c>
      <c r="BQ755" s="785">
        <f>+BQ682+BQ754</f>
        <v>2123546358</v>
      </c>
      <c r="BR755" s="785">
        <f t="shared" ref="BR755:BS755" si="412">+BR682+BR754</f>
        <v>274150000</v>
      </c>
      <c r="BS755" s="785">
        <f t="shared" si="412"/>
        <v>55286371</v>
      </c>
      <c r="BT755" s="785">
        <f>+BT682+BT754</f>
        <v>10629232919</v>
      </c>
      <c r="BU755" s="785">
        <f t="shared" ref="BU755:BV755" si="413">+BU682+BU754</f>
        <v>2671595934</v>
      </c>
      <c r="BV755" s="785">
        <f t="shared" si="413"/>
        <v>255625386</v>
      </c>
      <c r="BW755" s="785">
        <f>+BW682+BW754</f>
        <v>15292914409</v>
      </c>
      <c r="BX755" s="785">
        <f t="shared" ref="BX755:BY755" si="414">+BX682+BX754</f>
        <v>7018561791</v>
      </c>
      <c r="BY755" s="785">
        <f t="shared" si="414"/>
        <v>6831979076</v>
      </c>
      <c r="BZ755" s="785">
        <f>+BZ682+BZ754</f>
        <v>312986601593.38</v>
      </c>
      <c r="CA755" s="785">
        <f>+CA682+CA754</f>
        <v>168957369257.54999</v>
      </c>
      <c r="CB755" s="785">
        <f>+CB682+CB754</f>
        <v>132703432970.58</v>
      </c>
    </row>
    <row r="756" spans="1:80" s="13" customFormat="1" ht="30" customHeight="1" x14ac:dyDescent="0.2">
      <c r="C756" s="379"/>
      <c r="H756" s="379"/>
      <c r="K756" s="380"/>
      <c r="L756" s="380"/>
      <c r="M756" s="380"/>
      <c r="N756" s="379"/>
      <c r="O756" s="394"/>
      <c r="Q756" s="379"/>
      <c r="BK756" s="14"/>
      <c r="BL756" s="14"/>
      <c r="BM756" s="14"/>
      <c r="BZ756" s="15"/>
      <c r="CA756" s="15"/>
      <c r="CB756" s="15"/>
    </row>
    <row r="757" spans="1:80" s="13" customFormat="1" ht="30" customHeight="1" x14ac:dyDescent="0.2">
      <c r="C757" s="379"/>
      <c r="H757" s="379"/>
      <c r="K757" s="380"/>
      <c r="L757" s="380"/>
      <c r="M757" s="380"/>
      <c r="N757" s="379"/>
      <c r="O757" s="394"/>
      <c r="Q757" s="379"/>
      <c r="AM757" s="634"/>
      <c r="AY757" s="634"/>
      <c r="BK757" s="14"/>
      <c r="BL757" s="14"/>
      <c r="BM757" s="14"/>
    </row>
    <row r="758" spans="1:80" s="13" customFormat="1" ht="30" customHeight="1" x14ac:dyDescent="0.2">
      <c r="C758" s="379"/>
      <c r="H758" s="379"/>
      <c r="K758" s="380"/>
      <c r="L758" s="380"/>
      <c r="M758" s="380"/>
      <c r="N758" s="379"/>
      <c r="O758" s="394"/>
      <c r="Q758" s="379"/>
      <c r="AY758" s="634"/>
      <c r="BK758" s="14"/>
      <c r="BL758" s="14"/>
      <c r="BM758" s="14"/>
    </row>
    <row r="759" spans="1:80" s="13" customFormat="1" ht="30" customHeight="1" x14ac:dyDescent="0.2">
      <c r="C759" s="379"/>
      <c r="H759" s="379"/>
      <c r="K759" s="380"/>
      <c r="L759" s="380"/>
      <c r="M759" s="380"/>
      <c r="N759" s="379"/>
      <c r="O759" s="394"/>
      <c r="Q759" s="379"/>
      <c r="BK759" s="14"/>
      <c r="BL759" s="14"/>
      <c r="BM759" s="14"/>
      <c r="BZ759" s="16" t="s">
        <v>69</v>
      </c>
      <c r="CA759" s="16"/>
      <c r="CB759" s="16"/>
    </row>
    <row r="760" spans="1:80" s="13" customFormat="1" ht="30" customHeight="1" x14ac:dyDescent="0.2">
      <c r="C760" s="379"/>
      <c r="H760" s="379"/>
      <c r="K760" s="380"/>
      <c r="L760" s="380"/>
      <c r="M760" s="380"/>
      <c r="N760" s="379"/>
      <c r="O760" s="394"/>
      <c r="Q760" s="379"/>
      <c r="AY760" s="634"/>
      <c r="BK760" s="14"/>
      <c r="BL760" s="14"/>
      <c r="BM760" s="14"/>
    </row>
    <row r="761" spans="1:80" s="13" customFormat="1" ht="30" customHeight="1" x14ac:dyDescent="0.2">
      <c r="C761" s="379"/>
      <c r="H761" s="379"/>
      <c r="K761" s="380"/>
      <c r="L761" s="380"/>
      <c r="M761" s="380"/>
      <c r="N761" s="379"/>
      <c r="O761" s="394"/>
      <c r="Q761" s="379"/>
      <c r="BK761" s="14"/>
      <c r="BL761" s="14"/>
      <c r="BM761" s="14"/>
    </row>
    <row r="762" spans="1:80" s="13" customFormat="1" ht="30" customHeight="1" x14ac:dyDescent="0.2">
      <c r="C762" s="379"/>
      <c r="H762" s="379"/>
      <c r="K762" s="380"/>
      <c r="L762" s="380"/>
      <c r="M762" s="380"/>
      <c r="N762" s="379"/>
      <c r="O762" s="394"/>
      <c r="Q762" s="379"/>
      <c r="BK762" s="14"/>
      <c r="BL762" s="14"/>
      <c r="BM762" s="14"/>
    </row>
    <row r="763" spans="1:80" s="13" customFormat="1" ht="30" customHeight="1" x14ac:dyDescent="0.2">
      <c r="C763" s="379"/>
      <c r="H763" s="379"/>
      <c r="K763" s="380"/>
      <c r="L763" s="380"/>
      <c r="M763" s="380"/>
      <c r="N763" s="379"/>
      <c r="O763" s="394"/>
      <c r="Q763" s="379"/>
      <c r="BK763" s="14"/>
      <c r="BL763" s="14"/>
      <c r="BM763" s="14"/>
    </row>
    <row r="764" spans="1:80" s="13" customFormat="1" ht="30" customHeight="1" x14ac:dyDescent="0.2">
      <c r="C764" s="379"/>
      <c r="H764" s="379"/>
      <c r="K764" s="380"/>
      <c r="L764" s="380"/>
      <c r="M764" s="380"/>
      <c r="N764" s="379"/>
      <c r="O764" s="394"/>
      <c r="Q764" s="379"/>
      <c r="BK764" s="14"/>
      <c r="BL764" s="14"/>
      <c r="BM764" s="14"/>
    </row>
    <row r="765" spans="1:80" s="13" customFormat="1" ht="30" customHeight="1" x14ac:dyDescent="0.2">
      <c r="C765" s="379"/>
      <c r="H765" s="379"/>
      <c r="K765" s="380"/>
      <c r="L765" s="380"/>
      <c r="M765" s="380"/>
      <c r="N765" s="379"/>
      <c r="O765" s="394"/>
      <c r="Q765" s="379"/>
      <c r="BK765" s="14"/>
      <c r="BL765" s="14"/>
      <c r="BM765" s="14"/>
    </row>
    <row r="766" spans="1:80" s="13" customFormat="1" ht="30" customHeight="1" x14ac:dyDescent="0.2">
      <c r="C766" s="379"/>
      <c r="H766" s="379"/>
      <c r="K766" s="380"/>
      <c r="L766" s="380"/>
      <c r="M766" s="380"/>
      <c r="N766" s="379"/>
      <c r="O766" s="394"/>
      <c r="Q766" s="379"/>
      <c r="BK766" s="14"/>
      <c r="BL766" s="14"/>
      <c r="BM766" s="14"/>
    </row>
    <row r="767" spans="1:80" s="13" customFormat="1" ht="30" customHeight="1" x14ac:dyDescent="0.2">
      <c r="C767" s="379"/>
      <c r="H767" s="379"/>
      <c r="K767" s="380"/>
      <c r="L767" s="380"/>
      <c r="M767" s="380"/>
      <c r="N767" s="379"/>
      <c r="O767" s="394"/>
      <c r="Q767" s="379"/>
      <c r="BK767" s="14"/>
      <c r="BL767" s="14"/>
      <c r="BM767" s="14"/>
    </row>
    <row r="768" spans="1:80" s="13" customFormat="1" ht="30" customHeight="1" x14ac:dyDescent="0.2">
      <c r="C768" s="379"/>
      <c r="H768" s="379"/>
      <c r="K768" s="380"/>
      <c r="L768" s="380"/>
      <c r="M768" s="380"/>
      <c r="N768" s="379"/>
      <c r="O768" s="394"/>
      <c r="Q768" s="379"/>
      <c r="BK768" s="14"/>
      <c r="BL768" s="14"/>
      <c r="BM768" s="14"/>
    </row>
    <row r="769" spans="3:65" s="13" customFormat="1" ht="30" customHeight="1" x14ac:dyDescent="0.2">
      <c r="C769" s="379"/>
      <c r="H769" s="379"/>
      <c r="K769" s="380"/>
      <c r="L769" s="380"/>
      <c r="M769" s="380"/>
      <c r="N769" s="379"/>
      <c r="O769" s="394"/>
      <c r="Q769" s="379"/>
      <c r="BK769" s="14"/>
      <c r="BL769" s="14"/>
      <c r="BM769" s="14"/>
    </row>
    <row r="770" spans="3:65" s="13" customFormat="1" ht="30" customHeight="1" x14ac:dyDescent="0.2">
      <c r="C770" s="379"/>
      <c r="H770" s="379"/>
      <c r="K770" s="380"/>
      <c r="L770" s="380"/>
      <c r="M770" s="380"/>
      <c r="N770" s="379"/>
      <c r="O770" s="394"/>
      <c r="Q770" s="379"/>
      <c r="BK770" s="14"/>
      <c r="BL770" s="14"/>
      <c r="BM770" s="14"/>
    </row>
    <row r="771" spans="3:65" s="13" customFormat="1" ht="30" customHeight="1" x14ac:dyDescent="0.2">
      <c r="C771" s="379"/>
      <c r="H771" s="379"/>
      <c r="K771" s="380"/>
      <c r="L771" s="380"/>
      <c r="M771" s="380"/>
      <c r="N771" s="379"/>
      <c r="O771" s="394"/>
      <c r="Q771" s="379"/>
      <c r="BK771" s="14"/>
      <c r="BL771" s="14"/>
      <c r="BM771" s="14"/>
    </row>
    <row r="772" spans="3:65" s="13" customFormat="1" ht="30" customHeight="1" x14ac:dyDescent="0.2">
      <c r="C772" s="379"/>
      <c r="H772" s="379"/>
      <c r="K772" s="380"/>
      <c r="L772" s="380"/>
      <c r="M772" s="380"/>
      <c r="N772" s="379"/>
      <c r="O772" s="394"/>
      <c r="Q772" s="379"/>
      <c r="BK772" s="14"/>
      <c r="BL772" s="14"/>
      <c r="BM772" s="14"/>
    </row>
    <row r="773" spans="3:65" s="13" customFormat="1" ht="30" customHeight="1" x14ac:dyDescent="0.2">
      <c r="C773" s="379"/>
      <c r="H773" s="379"/>
      <c r="K773" s="380"/>
      <c r="L773" s="380"/>
      <c r="M773" s="380"/>
      <c r="N773" s="379"/>
      <c r="O773" s="394"/>
      <c r="Q773" s="379"/>
      <c r="BK773" s="14"/>
      <c r="BL773" s="14"/>
      <c r="BM773" s="14"/>
    </row>
    <row r="774" spans="3:65" s="13" customFormat="1" ht="30" customHeight="1" x14ac:dyDescent="0.2">
      <c r="C774" s="379"/>
      <c r="H774" s="379"/>
      <c r="K774" s="380"/>
      <c r="L774" s="380"/>
      <c r="M774" s="380"/>
      <c r="N774" s="379"/>
      <c r="O774" s="394"/>
      <c r="Q774" s="379"/>
      <c r="BK774" s="14"/>
      <c r="BL774" s="14"/>
      <c r="BM774" s="14"/>
    </row>
    <row r="775" spans="3:65" s="13" customFormat="1" ht="30" customHeight="1" x14ac:dyDescent="0.2">
      <c r="C775" s="379"/>
      <c r="H775" s="379"/>
      <c r="K775" s="380"/>
      <c r="L775" s="380"/>
      <c r="M775" s="380"/>
      <c r="N775" s="379"/>
      <c r="O775" s="394"/>
      <c r="Q775" s="379"/>
      <c r="BK775" s="14"/>
      <c r="BL775" s="14"/>
      <c r="BM775" s="14"/>
    </row>
    <row r="776" spans="3:65" s="13" customFormat="1" ht="30" customHeight="1" x14ac:dyDescent="0.2">
      <c r="C776" s="379"/>
      <c r="H776" s="379"/>
      <c r="K776" s="380"/>
      <c r="L776" s="380"/>
      <c r="M776" s="380"/>
      <c r="N776" s="379"/>
      <c r="O776" s="394"/>
      <c r="Q776" s="379"/>
      <c r="BK776" s="14"/>
      <c r="BL776" s="14"/>
      <c r="BM776" s="14"/>
    </row>
    <row r="777" spans="3:65" s="13" customFormat="1" ht="30" customHeight="1" x14ac:dyDescent="0.2">
      <c r="C777" s="379"/>
      <c r="H777" s="379"/>
      <c r="K777" s="380"/>
      <c r="L777" s="380"/>
      <c r="M777" s="380"/>
      <c r="N777" s="379"/>
      <c r="O777" s="394"/>
      <c r="Q777" s="379"/>
      <c r="BK777" s="14"/>
      <c r="BL777" s="14"/>
      <c r="BM777" s="14"/>
    </row>
    <row r="778" spans="3:65" s="13" customFormat="1" ht="30" customHeight="1" x14ac:dyDescent="0.2">
      <c r="C778" s="379"/>
      <c r="H778" s="379"/>
      <c r="K778" s="380"/>
      <c r="L778" s="380"/>
      <c r="M778" s="380"/>
      <c r="N778" s="379"/>
      <c r="O778" s="394"/>
      <c r="Q778" s="379"/>
      <c r="BK778" s="14"/>
      <c r="BL778" s="14"/>
      <c r="BM778" s="14"/>
    </row>
    <row r="779" spans="3:65" s="13" customFormat="1" ht="30" customHeight="1" x14ac:dyDescent="0.2">
      <c r="C779" s="379"/>
      <c r="H779" s="379"/>
      <c r="K779" s="380"/>
      <c r="L779" s="380"/>
      <c r="M779" s="380"/>
      <c r="N779" s="379"/>
      <c r="O779" s="394"/>
      <c r="Q779" s="379"/>
      <c r="BK779" s="14"/>
      <c r="BL779" s="14"/>
      <c r="BM779" s="14"/>
    </row>
    <row r="780" spans="3:65" s="13" customFormat="1" ht="30" customHeight="1" x14ac:dyDescent="0.2">
      <c r="C780" s="379"/>
      <c r="H780" s="379"/>
      <c r="K780" s="380"/>
      <c r="L780" s="380"/>
      <c r="M780" s="380"/>
      <c r="N780" s="379"/>
      <c r="O780" s="394"/>
      <c r="Q780" s="379"/>
      <c r="BK780" s="14"/>
      <c r="BL780" s="14"/>
      <c r="BM780" s="14"/>
    </row>
    <row r="781" spans="3:65" s="13" customFormat="1" ht="30" customHeight="1" x14ac:dyDescent="0.2">
      <c r="C781" s="379"/>
      <c r="H781" s="379"/>
      <c r="K781" s="380"/>
      <c r="L781" s="380"/>
      <c r="M781" s="380"/>
      <c r="N781" s="379"/>
      <c r="O781" s="394"/>
      <c r="Q781" s="379"/>
      <c r="BK781" s="14"/>
      <c r="BL781" s="14"/>
      <c r="BM781" s="14"/>
    </row>
    <row r="782" spans="3:65" s="13" customFormat="1" ht="30" customHeight="1" x14ac:dyDescent="0.2">
      <c r="C782" s="379"/>
      <c r="H782" s="379"/>
      <c r="K782" s="380"/>
      <c r="L782" s="380"/>
      <c r="M782" s="380"/>
      <c r="N782" s="379"/>
      <c r="O782" s="394"/>
      <c r="Q782" s="379"/>
      <c r="BK782" s="14"/>
      <c r="BL782" s="14"/>
      <c r="BM782" s="14"/>
    </row>
    <row r="783" spans="3:65" s="13" customFormat="1" ht="30" customHeight="1" x14ac:dyDescent="0.2">
      <c r="C783" s="379"/>
      <c r="H783" s="379"/>
      <c r="K783" s="380"/>
      <c r="L783" s="380"/>
      <c r="M783" s="380"/>
      <c r="N783" s="379"/>
      <c r="O783" s="394"/>
      <c r="Q783" s="379"/>
      <c r="BK783" s="14"/>
      <c r="BL783" s="14"/>
      <c r="BM783" s="14"/>
    </row>
    <row r="784" spans="3:65" s="13" customFormat="1" ht="30" customHeight="1" x14ac:dyDescent="0.2">
      <c r="C784" s="379"/>
      <c r="H784" s="379"/>
      <c r="K784" s="380"/>
      <c r="L784" s="380"/>
      <c r="M784" s="380"/>
      <c r="N784" s="379"/>
      <c r="O784" s="394"/>
      <c r="Q784" s="379"/>
      <c r="BK784" s="14"/>
      <c r="BL784" s="14"/>
      <c r="BM784" s="14"/>
    </row>
    <row r="785" spans="3:65" s="13" customFormat="1" ht="30" customHeight="1" x14ac:dyDescent="0.2">
      <c r="C785" s="379"/>
      <c r="H785" s="379"/>
      <c r="K785" s="380"/>
      <c r="L785" s="380"/>
      <c r="M785" s="380"/>
      <c r="N785" s="379"/>
      <c r="O785" s="394"/>
      <c r="Q785" s="379"/>
      <c r="BK785" s="14"/>
      <c r="BL785" s="14"/>
      <c r="BM785" s="14"/>
    </row>
    <row r="786" spans="3:65" s="13" customFormat="1" ht="30" customHeight="1" x14ac:dyDescent="0.2">
      <c r="C786" s="379"/>
      <c r="H786" s="379"/>
      <c r="K786" s="380"/>
      <c r="L786" s="380"/>
      <c r="M786" s="380"/>
      <c r="N786" s="379"/>
      <c r="O786" s="394"/>
      <c r="Q786" s="379"/>
      <c r="BK786" s="14"/>
      <c r="BL786" s="14"/>
      <c r="BM786" s="14"/>
    </row>
    <row r="787" spans="3:65" s="13" customFormat="1" ht="30" customHeight="1" x14ac:dyDescent="0.2">
      <c r="C787" s="379"/>
      <c r="H787" s="379"/>
      <c r="K787" s="380"/>
      <c r="L787" s="380"/>
      <c r="M787" s="380"/>
      <c r="N787" s="379"/>
      <c r="O787" s="394"/>
      <c r="Q787" s="379"/>
      <c r="BK787" s="14"/>
      <c r="BL787" s="14"/>
      <c r="BM787" s="14"/>
    </row>
    <row r="788" spans="3:65" s="13" customFormat="1" ht="30" customHeight="1" x14ac:dyDescent="0.2">
      <c r="C788" s="379"/>
      <c r="H788" s="379"/>
      <c r="K788" s="380"/>
      <c r="L788" s="380"/>
      <c r="M788" s="380"/>
      <c r="N788" s="379"/>
      <c r="O788" s="394"/>
      <c r="Q788" s="379"/>
      <c r="BK788" s="14"/>
      <c r="BL788" s="14"/>
      <c r="BM788" s="14"/>
    </row>
    <row r="789" spans="3:65" s="13" customFormat="1" ht="30" customHeight="1" x14ac:dyDescent="0.2">
      <c r="C789" s="379"/>
      <c r="H789" s="379"/>
      <c r="K789" s="380"/>
      <c r="L789" s="380"/>
      <c r="M789" s="380"/>
      <c r="N789" s="379"/>
      <c r="O789" s="394"/>
      <c r="Q789" s="379"/>
      <c r="BK789" s="14"/>
      <c r="BL789" s="14"/>
      <c r="BM789" s="14"/>
    </row>
    <row r="790" spans="3:65" s="13" customFormat="1" ht="30" customHeight="1" x14ac:dyDescent="0.2">
      <c r="C790" s="379"/>
      <c r="H790" s="379"/>
      <c r="K790" s="380"/>
      <c r="L790" s="380"/>
      <c r="M790" s="380"/>
      <c r="N790" s="379"/>
      <c r="O790" s="394"/>
      <c r="Q790" s="379"/>
      <c r="BK790" s="14"/>
      <c r="BL790" s="14"/>
      <c r="BM790" s="14"/>
    </row>
    <row r="791" spans="3:65" s="13" customFormat="1" ht="30" customHeight="1" x14ac:dyDescent="0.2">
      <c r="C791" s="379"/>
      <c r="H791" s="379"/>
      <c r="K791" s="380"/>
      <c r="L791" s="380"/>
      <c r="M791" s="380"/>
      <c r="N791" s="379"/>
      <c r="O791" s="394"/>
      <c r="Q791" s="379"/>
      <c r="BK791" s="14"/>
      <c r="BL791" s="14"/>
      <c r="BM791" s="14"/>
    </row>
    <row r="792" spans="3:65" s="13" customFormat="1" ht="30" customHeight="1" x14ac:dyDescent="0.2">
      <c r="C792" s="379"/>
      <c r="H792" s="379"/>
      <c r="K792" s="380"/>
      <c r="L792" s="380"/>
      <c r="M792" s="380"/>
      <c r="N792" s="379"/>
      <c r="O792" s="394"/>
      <c r="Q792" s="379"/>
      <c r="BK792" s="14"/>
      <c r="BL792" s="14"/>
      <c r="BM792" s="14"/>
    </row>
    <row r="793" spans="3:65" s="13" customFormat="1" ht="30" customHeight="1" x14ac:dyDescent="0.2">
      <c r="C793" s="379"/>
      <c r="H793" s="379"/>
      <c r="K793" s="380"/>
      <c r="L793" s="380"/>
      <c r="M793" s="380"/>
      <c r="N793" s="379"/>
      <c r="O793" s="394"/>
      <c r="Q793" s="379"/>
      <c r="BK793" s="14"/>
      <c r="BL793" s="14"/>
      <c r="BM793" s="14"/>
    </row>
    <row r="794" spans="3:65" s="13" customFormat="1" ht="30" customHeight="1" x14ac:dyDescent="0.2">
      <c r="C794" s="379"/>
      <c r="H794" s="379"/>
      <c r="K794" s="380"/>
      <c r="L794" s="380"/>
      <c r="M794" s="380"/>
      <c r="N794" s="379"/>
      <c r="O794" s="394"/>
      <c r="Q794" s="379"/>
      <c r="BK794" s="14"/>
      <c r="BL794" s="14"/>
      <c r="BM794" s="14"/>
    </row>
    <row r="795" spans="3:65" s="13" customFormat="1" ht="30" customHeight="1" x14ac:dyDescent="0.2">
      <c r="C795" s="379"/>
      <c r="H795" s="379"/>
      <c r="K795" s="380"/>
      <c r="L795" s="380"/>
      <c r="M795" s="380"/>
      <c r="N795" s="379"/>
      <c r="O795" s="394"/>
      <c r="Q795" s="379"/>
      <c r="BK795" s="14"/>
      <c r="BL795" s="14"/>
      <c r="BM795" s="14"/>
    </row>
    <row r="796" spans="3:65" s="13" customFormat="1" ht="30" customHeight="1" x14ac:dyDescent="0.2">
      <c r="C796" s="379"/>
      <c r="H796" s="379"/>
      <c r="K796" s="380"/>
      <c r="L796" s="380"/>
      <c r="M796" s="380"/>
      <c r="N796" s="379"/>
      <c r="O796" s="394"/>
      <c r="Q796" s="379"/>
      <c r="BK796" s="14"/>
      <c r="BL796" s="14"/>
      <c r="BM796" s="14"/>
    </row>
    <row r="797" spans="3:65" s="13" customFormat="1" ht="30" customHeight="1" x14ac:dyDescent="0.2">
      <c r="C797" s="379"/>
      <c r="H797" s="379"/>
      <c r="K797" s="380"/>
      <c r="L797" s="380"/>
      <c r="M797" s="380"/>
      <c r="N797" s="379"/>
      <c r="O797" s="394"/>
      <c r="Q797" s="379"/>
      <c r="BK797" s="14"/>
      <c r="BL797" s="14"/>
      <c r="BM797" s="14"/>
    </row>
    <row r="798" spans="3:65" s="13" customFormat="1" ht="30" customHeight="1" x14ac:dyDescent="0.2">
      <c r="C798" s="379"/>
      <c r="H798" s="379"/>
      <c r="K798" s="380"/>
      <c r="L798" s="380"/>
      <c r="M798" s="380"/>
      <c r="N798" s="379"/>
      <c r="O798" s="394"/>
      <c r="Q798" s="379"/>
      <c r="BK798" s="14"/>
      <c r="BL798" s="14"/>
      <c r="BM798" s="14"/>
    </row>
    <row r="799" spans="3:65" s="13" customFormat="1" ht="30" customHeight="1" x14ac:dyDescent="0.2">
      <c r="C799" s="379"/>
      <c r="H799" s="379"/>
      <c r="K799" s="380"/>
      <c r="L799" s="380"/>
      <c r="M799" s="380"/>
      <c r="N799" s="379"/>
      <c r="O799" s="394"/>
      <c r="Q799" s="379"/>
      <c r="BK799" s="14"/>
      <c r="BL799" s="14"/>
      <c r="BM799" s="14"/>
    </row>
    <row r="800" spans="3:65" s="13" customFormat="1" ht="30" customHeight="1" x14ac:dyDescent="0.2">
      <c r="C800" s="379"/>
      <c r="H800" s="379"/>
      <c r="K800" s="380"/>
      <c r="L800" s="380"/>
      <c r="M800" s="380"/>
      <c r="N800" s="379"/>
      <c r="O800" s="394"/>
      <c r="Q800" s="379"/>
      <c r="BK800" s="14"/>
      <c r="BL800" s="14"/>
      <c r="BM800" s="14"/>
    </row>
    <row r="801" spans="3:65" s="13" customFormat="1" ht="30" customHeight="1" x14ac:dyDescent="0.2">
      <c r="C801" s="379"/>
      <c r="H801" s="379"/>
      <c r="N801" s="379"/>
      <c r="O801" s="394"/>
      <c r="Q801" s="379"/>
      <c r="BK801" s="14"/>
      <c r="BL801" s="14"/>
      <c r="BM801" s="14"/>
    </row>
    <row r="802" spans="3:65" s="13" customFormat="1" ht="30" customHeight="1" x14ac:dyDescent="0.2">
      <c r="C802" s="379"/>
      <c r="H802" s="379"/>
      <c r="N802" s="379"/>
      <c r="O802" s="394"/>
      <c r="Q802" s="379"/>
      <c r="BK802" s="14"/>
      <c r="BL802" s="14"/>
      <c r="BM802" s="14"/>
    </row>
    <row r="803" spans="3:65" s="13" customFormat="1" ht="30" customHeight="1" x14ac:dyDescent="0.2">
      <c r="C803" s="379"/>
      <c r="H803" s="379"/>
      <c r="N803" s="379"/>
      <c r="O803" s="394"/>
      <c r="Q803" s="379"/>
      <c r="BK803" s="14"/>
      <c r="BL803" s="14"/>
      <c r="BM803" s="14"/>
    </row>
    <row r="804" spans="3:65" s="13" customFormat="1" ht="30" customHeight="1" x14ac:dyDescent="0.2">
      <c r="C804" s="379"/>
      <c r="H804" s="379"/>
      <c r="N804" s="379"/>
      <c r="O804" s="394"/>
      <c r="Q804" s="379"/>
      <c r="BK804" s="14"/>
      <c r="BL804" s="14"/>
      <c r="BM804" s="14"/>
    </row>
    <row r="805" spans="3:65" s="13" customFormat="1" ht="30" customHeight="1" x14ac:dyDescent="0.2">
      <c r="C805" s="379"/>
      <c r="H805" s="379"/>
      <c r="N805" s="379"/>
      <c r="O805" s="394"/>
      <c r="Q805" s="379"/>
      <c r="BK805" s="14"/>
      <c r="BL805" s="14"/>
      <c r="BM805" s="14"/>
    </row>
    <row r="806" spans="3:65" s="13" customFormat="1" ht="30" customHeight="1" x14ac:dyDescent="0.2">
      <c r="C806" s="379"/>
      <c r="H806" s="379"/>
      <c r="N806" s="379"/>
      <c r="O806" s="394"/>
      <c r="Q806" s="379"/>
      <c r="BK806" s="14"/>
      <c r="BL806" s="14"/>
      <c r="BM806" s="14"/>
    </row>
    <row r="807" spans="3:65" s="13" customFormat="1" ht="30" customHeight="1" x14ac:dyDescent="0.2">
      <c r="C807" s="379"/>
      <c r="H807" s="379"/>
      <c r="N807" s="379"/>
      <c r="O807" s="394"/>
      <c r="Q807" s="379"/>
      <c r="BK807" s="14"/>
      <c r="BL807" s="14"/>
      <c r="BM807" s="14"/>
    </row>
    <row r="808" spans="3:65" s="13" customFormat="1" ht="30" customHeight="1" x14ac:dyDescent="0.2">
      <c r="C808" s="379"/>
      <c r="H808" s="379"/>
      <c r="N808" s="379"/>
      <c r="O808" s="394"/>
      <c r="Q808" s="379"/>
      <c r="BK808" s="14"/>
      <c r="BL808" s="14"/>
      <c r="BM808" s="14"/>
    </row>
    <row r="809" spans="3:65" s="13" customFormat="1" ht="30" customHeight="1" x14ac:dyDescent="0.2">
      <c r="C809" s="379"/>
      <c r="H809" s="379"/>
      <c r="N809" s="379"/>
      <c r="O809" s="394"/>
      <c r="Q809" s="379"/>
      <c r="BK809" s="14"/>
      <c r="BL809" s="14"/>
      <c r="BM809" s="14"/>
    </row>
    <row r="810" spans="3:65" s="13" customFormat="1" ht="30" customHeight="1" x14ac:dyDescent="0.2">
      <c r="C810" s="379"/>
      <c r="H810" s="379"/>
      <c r="N810" s="379"/>
      <c r="O810" s="394"/>
      <c r="Q810" s="379"/>
      <c r="BK810" s="14"/>
      <c r="BL810" s="14"/>
      <c r="BM810" s="14"/>
    </row>
    <row r="811" spans="3:65" s="13" customFormat="1" ht="30" customHeight="1" x14ac:dyDescent="0.2">
      <c r="C811" s="379"/>
      <c r="H811" s="379"/>
      <c r="N811" s="379"/>
      <c r="O811" s="394"/>
      <c r="Q811" s="379"/>
      <c r="BK811" s="14"/>
      <c r="BL811" s="14"/>
      <c r="BM811" s="14"/>
    </row>
    <row r="812" spans="3:65" s="13" customFormat="1" ht="30" customHeight="1" x14ac:dyDescent="0.2">
      <c r="C812" s="379"/>
      <c r="H812" s="379"/>
      <c r="N812" s="379"/>
      <c r="O812" s="394"/>
      <c r="Q812" s="379"/>
      <c r="BK812" s="14"/>
      <c r="BL812" s="14"/>
      <c r="BM812" s="14"/>
    </row>
    <row r="813" spans="3:65" s="13" customFormat="1" ht="30" customHeight="1" x14ac:dyDescent="0.2">
      <c r="C813" s="379"/>
      <c r="H813" s="379"/>
      <c r="N813" s="379"/>
      <c r="O813" s="394"/>
      <c r="Q813" s="379"/>
      <c r="BK813" s="14"/>
      <c r="BL813" s="14"/>
      <c r="BM813" s="14"/>
    </row>
    <row r="814" spans="3:65" s="13" customFormat="1" ht="30" customHeight="1" x14ac:dyDescent="0.2">
      <c r="C814" s="379"/>
      <c r="H814" s="379"/>
      <c r="N814" s="379"/>
      <c r="O814" s="394"/>
      <c r="Q814" s="379"/>
      <c r="BK814" s="14"/>
      <c r="BL814" s="14"/>
      <c r="BM814" s="14"/>
    </row>
    <row r="815" spans="3:65" s="13" customFormat="1" ht="30" customHeight="1" x14ac:dyDescent="0.2">
      <c r="C815" s="379"/>
      <c r="H815" s="379"/>
      <c r="N815" s="379"/>
      <c r="O815" s="394"/>
      <c r="Q815" s="379"/>
      <c r="BK815" s="14"/>
      <c r="BL815" s="14"/>
      <c r="BM815" s="14"/>
    </row>
    <row r="816" spans="3:65" s="13" customFormat="1" ht="30" customHeight="1" x14ac:dyDescent="0.2">
      <c r="C816" s="379"/>
      <c r="H816" s="379"/>
      <c r="N816" s="379"/>
      <c r="O816" s="394"/>
      <c r="Q816" s="379"/>
      <c r="BK816" s="14"/>
      <c r="BL816" s="14"/>
      <c r="BM816" s="14"/>
    </row>
    <row r="817" spans="3:65" s="13" customFormat="1" ht="30" customHeight="1" x14ac:dyDescent="0.2">
      <c r="C817" s="379"/>
      <c r="H817" s="379"/>
      <c r="N817" s="379"/>
      <c r="O817" s="394"/>
      <c r="Q817" s="379"/>
      <c r="BK817" s="14"/>
      <c r="BL817" s="14"/>
      <c r="BM817" s="14"/>
    </row>
    <row r="818" spans="3:65" s="13" customFormat="1" ht="30" customHeight="1" x14ac:dyDescent="0.2">
      <c r="C818" s="379"/>
      <c r="H818" s="379"/>
      <c r="N818" s="379"/>
      <c r="O818" s="394"/>
      <c r="Q818" s="379"/>
      <c r="BK818" s="14"/>
      <c r="BL818" s="14"/>
      <c r="BM818" s="14"/>
    </row>
    <row r="819" spans="3:65" s="13" customFormat="1" ht="30" customHeight="1" x14ac:dyDescent="0.2">
      <c r="C819" s="379"/>
      <c r="H819" s="379"/>
      <c r="N819" s="379"/>
      <c r="O819" s="394"/>
      <c r="Q819" s="379"/>
      <c r="BK819" s="14"/>
      <c r="BL819" s="14"/>
      <c r="BM819" s="14"/>
    </row>
    <row r="820" spans="3:65" s="13" customFormat="1" ht="30" customHeight="1" x14ac:dyDescent="0.2">
      <c r="C820" s="379"/>
      <c r="H820" s="379"/>
      <c r="N820" s="379"/>
      <c r="O820" s="394"/>
      <c r="Q820" s="379"/>
      <c r="BK820" s="14"/>
      <c r="BL820" s="14"/>
      <c r="BM820" s="14"/>
    </row>
    <row r="821" spans="3:65" s="13" customFormat="1" ht="30" customHeight="1" x14ac:dyDescent="0.2">
      <c r="C821" s="379"/>
      <c r="H821" s="379"/>
      <c r="N821" s="379"/>
      <c r="O821" s="394"/>
      <c r="Q821" s="379"/>
      <c r="BK821" s="14"/>
      <c r="BL821" s="14"/>
      <c r="BM821" s="14"/>
    </row>
    <row r="822" spans="3:65" s="13" customFormat="1" ht="30" customHeight="1" x14ac:dyDescent="0.2">
      <c r="C822" s="379"/>
      <c r="H822" s="379"/>
      <c r="N822" s="379"/>
      <c r="O822" s="394"/>
      <c r="Q822" s="379"/>
      <c r="BK822" s="14"/>
      <c r="BL822" s="14"/>
      <c r="BM822" s="14"/>
    </row>
    <row r="823" spans="3:65" s="13" customFormat="1" ht="30" customHeight="1" x14ac:dyDescent="0.2">
      <c r="C823" s="379"/>
      <c r="H823" s="379"/>
      <c r="N823" s="379"/>
      <c r="O823" s="394"/>
      <c r="Q823" s="379"/>
      <c r="BK823" s="14"/>
      <c r="BL823" s="14"/>
      <c r="BM823" s="14"/>
    </row>
    <row r="824" spans="3:65" s="13" customFormat="1" ht="30" customHeight="1" x14ac:dyDescent="0.2">
      <c r="C824" s="379"/>
      <c r="H824" s="379"/>
      <c r="N824" s="379"/>
      <c r="O824" s="394"/>
      <c r="Q824" s="379"/>
      <c r="BK824" s="14"/>
      <c r="BL824" s="14"/>
      <c r="BM824" s="14"/>
    </row>
    <row r="825" spans="3:65" s="13" customFormat="1" ht="30" customHeight="1" x14ac:dyDescent="0.2">
      <c r="C825" s="379"/>
      <c r="H825" s="379"/>
      <c r="N825" s="379"/>
      <c r="O825" s="394"/>
      <c r="Q825" s="379"/>
      <c r="BK825" s="14"/>
      <c r="BL825" s="14"/>
      <c r="BM825" s="14"/>
    </row>
    <row r="826" spans="3:65" s="13" customFormat="1" ht="30" customHeight="1" x14ac:dyDescent="0.2">
      <c r="C826" s="379"/>
      <c r="H826" s="379"/>
      <c r="N826" s="379"/>
      <c r="O826" s="394"/>
      <c r="Q826" s="379"/>
      <c r="BK826" s="14"/>
      <c r="BL826" s="14"/>
      <c r="BM826" s="14"/>
    </row>
    <row r="827" spans="3:65" s="13" customFormat="1" ht="30" customHeight="1" x14ac:dyDescent="0.2">
      <c r="C827" s="379"/>
      <c r="H827" s="379"/>
      <c r="N827" s="379"/>
      <c r="O827" s="394"/>
      <c r="Q827" s="379"/>
      <c r="BK827" s="14"/>
      <c r="BL827" s="14"/>
      <c r="BM827" s="14"/>
    </row>
    <row r="828" spans="3:65" s="13" customFormat="1" ht="30" customHeight="1" x14ac:dyDescent="0.2">
      <c r="C828" s="379"/>
      <c r="H828" s="379"/>
      <c r="N828" s="379"/>
      <c r="O828" s="394"/>
      <c r="Q828" s="379"/>
      <c r="BK828" s="14"/>
      <c r="BL828" s="14"/>
      <c r="BM828" s="14"/>
    </row>
    <row r="829" spans="3:65" s="13" customFormat="1" ht="30" customHeight="1" x14ac:dyDescent="0.2">
      <c r="C829" s="379"/>
      <c r="H829" s="379"/>
      <c r="N829" s="379"/>
      <c r="O829" s="394"/>
      <c r="Q829" s="379"/>
      <c r="BK829" s="14"/>
      <c r="BL829" s="14"/>
      <c r="BM829" s="14"/>
    </row>
    <row r="830" spans="3:65" s="13" customFormat="1" ht="30" customHeight="1" x14ac:dyDescent="0.2">
      <c r="C830" s="379"/>
      <c r="H830" s="379"/>
      <c r="N830" s="379"/>
      <c r="O830" s="394"/>
      <c r="Q830" s="379"/>
      <c r="BK830" s="14"/>
      <c r="BL830" s="14"/>
      <c r="BM830" s="14"/>
    </row>
    <row r="831" spans="3:65" s="13" customFormat="1" ht="30" customHeight="1" x14ac:dyDescent="0.2">
      <c r="C831" s="379"/>
      <c r="H831" s="379"/>
      <c r="N831" s="379"/>
      <c r="O831" s="394"/>
      <c r="Q831" s="379"/>
      <c r="BK831" s="14"/>
      <c r="BL831" s="14"/>
      <c r="BM831" s="14"/>
    </row>
    <row r="832" spans="3:65" s="13" customFormat="1" ht="30" customHeight="1" x14ac:dyDescent="0.2">
      <c r="C832" s="379"/>
      <c r="H832" s="379"/>
      <c r="N832" s="379"/>
      <c r="O832" s="394"/>
      <c r="Q832" s="379"/>
      <c r="BK832" s="14"/>
      <c r="BL832" s="14"/>
      <c r="BM832" s="14"/>
    </row>
    <row r="833" spans="3:65" s="13" customFormat="1" ht="30" customHeight="1" x14ac:dyDescent="0.2">
      <c r="C833" s="379"/>
      <c r="H833" s="379"/>
      <c r="N833" s="379"/>
      <c r="O833" s="394"/>
      <c r="Q833" s="379"/>
      <c r="BK833" s="14"/>
      <c r="BL833" s="14"/>
      <c r="BM833" s="14"/>
    </row>
    <row r="834" spans="3:65" s="13" customFormat="1" ht="30" customHeight="1" x14ac:dyDescent="0.2">
      <c r="C834" s="379"/>
      <c r="H834" s="379"/>
      <c r="N834" s="379"/>
      <c r="O834" s="394"/>
      <c r="Q834" s="379"/>
      <c r="BK834" s="14"/>
      <c r="BL834" s="14"/>
      <c r="BM834" s="14"/>
    </row>
    <row r="835" spans="3:65" s="13" customFormat="1" ht="30" customHeight="1" x14ac:dyDescent="0.2">
      <c r="C835" s="379"/>
      <c r="H835" s="379"/>
      <c r="N835" s="379"/>
      <c r="O835" s="394"/>
      <c r="Q835" s="379"/>
      <c r="BK835" s="14"/>
      <c r="BL835" s="14"/>
      <c r="BM835" s="14"/>
    </row>
    <row r="836" spans="3:65" s="13" customFormat="1" ht="30" customHeight="1" x14ac:dyDescent="0.2">
      <c r="C836" s="379"/>
      <c r="H836" s="379"/>
      <c r="N836" s="379"/>
      <c r="O836" s="394"/>
      <c r="Q836" s="379"/>
      <c r="BK836" s="14"/>
      <c r="BL836" s="14"/>
      <c r="BM836" s="14"/>
    </row>
    <row r="837" spans="3:65" s="13" customFormat="1" ht="30" customHeight="1" x14ac:dyDescent="0.2">
      <c r="C837" s="379"/>
      <c r="H837" s="379"/>
      <c r="N837" s="379"/>
      <c r="O837" s="394"/>
      <c r="Q837" s="379"/>
      <c r="BK837" s="14"/>
      <c r="BL837" s="14"/>
      <c r="BM837" s="14"/>
    </row>
    <row r="838" spans="3:65" s="13" customFormat="1" ht="30" customHeight="1" x14ac:dyDescent="0.2">
      <c r="C838" s="379"/>
      <c r="H838" s="379"/>
      <c r="N838" s="379"/>
      <c r="O838" s="394"/>
      <c r="Q838" s="379"/>
      <c r="BK838" s="14"/>
      <c r="BL838" s="14"/>
      <c r="BM838" s="14"/>
    </row>
    <row r="839" spans="3:65" s="13" customFormat="1" ht="30" customHeight="1" x14ac:dyDescent="0.2">
      <c r="C839" s="379"/>
      <c r="H839" s="379"/>
      <c r="N839" s="379"/>
      <c r="O839" s="394"/>
      <c r="Q839" s="379"/>
      <c r="BK839" s="14"/>
      <c r="BL839" s="14"/>
      <c r="BM839" s="14"/>
    </row>
    <row r="840" spans="3:65" s="13" customFormat="1" ht="30" customHeight="1" x14ac:dyDescent="0.2">
      <c r="C840" s="379"/>
      <c r="H840" s="379"/>
      <c r="N840" s="379"/>
      <c r="O840" s="394"/>
      <c r="Q840" s="379"/>
      <c r="BK840" s="14"/>
      <c r="BL840" s="14"/>
      <c r="BM840" s="14"/>
    </row>
    <row r="841" spans="3:65" s="13" customFormat="1" ht="30" customHeight="1" x14ac:dyDescent="0.2">
      <c r="C841" s="379"/>
      <c r="H841" s="379"/>
      <c r="N841" s="379"/>
      <c r="O841" s="394"/>
      <c r="Q841" s="379"/>
      <c r="BK841" s="14"/>
      <c r="BL841" s="14"/>
      <c r="BM841" s="14"/>
    </row>
    <row r="842" spans="3:65" s="13" customFormat="1" ht="30" customHeight="1" x14ac:dyDescent="0.2">
      <c r="C842" s="379"/>
      <c r="H842" s="379"/>
      <c r="N842" s="379"/>
      <c r="O842" s="394"/>
      <c r="Q842" s="379"/>
      <c r="BK842" s="14"/>
      <c r="BL842" s="14"/>
      <c r="BM842" s="14"/>
    </row>
    <row r="843" spans="3:65" s="13" customFormat="1" ht="30" customHeight="1" x14ac:dyDescent="0.2">
      <c r="C843" s="379"/>
      <c r="H843" s="379"/>
      <c r="N843" s="379"/>
      <c r="O843" s="394"/>
      <c r="Q843" s="379"/>
      <c r="BK843" s="14"/>
      <c r="BL843" s="14"/>
      <c r="BM843" s="14"/>
    </row>
    <row r="844" spans="3:65" s="13" customFormat="1" ht="30" customHeight="1" x14ac:dyDescent="0.2">
      <c r="C844" s="379"/>
      <c r="H844" s="379"/>
      <c r="N844" s="379"/>
      <c r="O844" s="394"/>
      <c r="Q844" s="379"/>
      <c r="BK844" s="14"/>
      <c r="BL844" s="14"/>
      <c r="BM844" s="14"/>
    </row>
    <row r="845" spans="3:65" s="13" customFormat="1" ht="30" customHeight="1" x14ac:dyDescent="0.2">
      <c r="C845" s="379"/>
      <c r="H845" s="379"/>
      <c r="N845" s="379"/>
      <c r="O845" s="394"/>
      <c r="Q845" s="379"/>
      <c r="BK845" s="14"/>
      <c r="BL845" s="14"/>
      <c r="BM845" s="14"/>
    </row>
    <row r="846" spans="3:65" s="13" customFormat="1" ht="30" customHeight="1" x14ac:dyDescent="0.2">
      <c r="C846" s="379"/>
      <c r="H846" s="379"/>
      <c r="N846" s="379"/>
      <c r="O846" s="394"/>
      <c r="Q846" s="379"/>
      <c r="BK846" s="14"/>
      <c r="BL846" s="14"/>
      <c r="BM846" s="14"/>
    </row>
    <row r="847" spans="3:65" s="13" customFormat="1" ht="30" customHeight="1" x14ac:dyDescent="0.2">
      <c r="C847" s="379"/>
      <c r="H847" s="379"/>
      <c r="N847" s="379"/>
      <c r="O847" s="394"/>
      <c r="Q847" s="379"/>
      <c r="BK847" s="14"/>
      <c r="BL847" s="14"/>
      <c r="BM847" s="14"/>
    </row>
    <row r="848" spans="3:65" s="13" customFormat="1" ht="30" customHeight="1" x14ac:dyDescent="0.2">
      <c r="C848" s="379"/>
      <c r="H848" s="379"/>
      <c r="N848" s="379"/>
      <c r="O848" s="394"/>
      <c r="Q848" s="379"/>
      <c r="BK848" s="14"/>
      <c r="BL848" s="14"/>
      <c r="BM848" s="14"/>
    </row>
    <row r="849" spans="3:65" s="13" customFormat="1" ht="30" customHeight="1" x14ac:dyDescent="0.2">
      <c r="C849" s="379"/>
      <c r="H849" s="379"/>
      <c r="N849" s="379"/>
      <c r="O849" s="394"/>
      <c r="Q849" s="379"/>
      <c r="BK849" s="14"/>
      <c r="BL849" s="14"/>
      <c r="BM849" s="14"/>
    </row>
    <row r="850" spans="3:65" s="13" customFormat="1" ht="30" customHeight="1" x14ac:dyDescent="0.2">
      <c r="C850" s="379"/>
      <c r="H850" s="379"/>
      <c r="N850" s="379"/>
      <c r="O850" s="394"/>
      <c r="Q850" s="379"/>
      <c r="BK850" s="14"/>
      <c r="BL850" s="14"/>
      <c r="BM850" s="14"/>
    </row>
    <row r="851" spans="3:65" s="13" customFormat="1" ht="30" customHeight="1" x14ac:dyDescent="0.2">
      <c r="C851" s="379"/>
      <c r="H851" s="379"/>
      <c r="N851" s="379"/>
      <c r="O851" s="394"/>
      <c r="Q851" s="379"/>
      <c r="BK851" s="14"/>
      <c r="BL851" s="14"/>
      <c r="BM851" s="14"/>
    </row>
    <row r="852" spans="3:65" s="13" customFormat="1" ht="30" customHeight="1" x14ac:dyDescent="0.2">
      <c r="C852" s="379"/>
      <c r="H852" s="379"/>
      <c r="N852" s="379"/>
      <c r="O852" s="394"/>
      <c r="Q852" s="379"/>
      <c r="BK852" s="14"/>
      <c r="BL852" s="14"/>
      <c r="BM852" s="14"/>
    </row>
    <row r="853" spans="3:65" s="13" customFormat="1" ht="30" customHeight="1" x14ac:dyDescent="0.2">
      <c r="C853" s="379"/>
      <c r="H853" s="379"/>
      <c r="N853" s="379"/>
      <c r="O853" s="394"/>
      <c r="Q853" s="379"/>
      <c r="BK853" s="14"/>
      <c r="BL853" s="14"/>
      <c r="BM853" s="14"/>
    </row>
    <row r="854" spans="3:65" s="13" customFormat="1" ht="30" customHeight="1" x14ac:dyDescent="0.2">
      <c r="C854" s="379"/>
      <c r="H854" s="379"/>
      <c r="N854" s="379"/>
      <c r="O854" s="394"/>
      <c r="Q854" s="379"/>
      <c r="BK854" s="14"/>
      <c r="BL854" s="14"/>
      <c r="BM854" s="14"/>
    </row>
    <row r="855" spans="3:65" s="13" customFormat="1" ht="30" customHeight="1" x14ac:dyDescent="0.2">
      <c r="C855" s="379"/>
      <c r="H855" s="379"/>
      <c r="N855" s="379"/>
      <c r="O855" s="394"/>
      <c r="Q855" s="379"/>
      <c r="BK855" s="14"/>
      <c r="BL855" s="14"/>
      <c r="BM855" s="14"/>
    </row>
    <row r="856" spans="3:65" s="13" customFormat="1" ht="30" customHeight="1" x14ac:dyDescent="0.2">
      <c r="C856" s="379"/>
      <c r="H856" s="379"/>
      <c r="N856" s="379"/>
      <c r="O856" s="394"/>
      <c r="Q856" s="379"/>
      <c r="BK856" s="14"/>
      <c r="BL856" s="14"/>
      <c r="BM856" s="14"/>
    </row>
    <row r="857" spans="3:65" s="13" customFormat="1" ht="30" customHeight="1" x14ac:dyDescent="0.2">
      <c r="C857" s="379"/>
      <c r="H857" s="379"/>
      <c r="N857" s="379"/>
      <c r="O857" s="394"/>
      <c r="Q857" s="379"/>
      <c r="BK857" s="14"/>
      <c r="BL857" s="14"/>
      <c r="BM857" s="14"/>
    </row>
    <row r="858" spans="3:65" s="13" customFormat="1" ht="30" customHeight="1" x14ac:dyDescent="0.2">
      <c r="C858" s="379"/>
      <c r="H858" s="379"/>
      <c r="N858" s="379"/>
      <c r="O858" s="394"/>
      <c r="Q858" s="379"/>
      <c r="BK858" s="14"/>
      <c r="BL858" s="14"/>
      <c r="BM858" s="14"/>
    </row>
    <row r="859" spans="3:65" s="13" customFormat="1" ht="30" customHeight="1" x14ac:dyDescent="0.2">
      <c r="C859" s="379"/>
      <c r="H859" s="379"/>
      <c r="N859" s="379"/>
      <c r="O859" s="394"/>
      <c r="Q859" s="379"/>
      <c r="BK859" s="14"/>
      <c r="BL859" s="14"/>
      <c r="BM859" s="14"/>
    </row>
    <row r="860" spans="3:65" s="13" customFormat="1" ht="30" customHeight="1" x14ac:dyDescent="0.2">
      <c r="C860" s="379"/>
      <c r="H860" s="379"/>
      <c r="N860" s="379"/>
      <c r="O860" s="394"/>
      <c r="Q860" s="379"/>
      <c r="BK860" s="14"/>
      <c r="BL860" s="14"/>
      <c r="BM860" s="14"/>
    </row>
    <row r="861" spans="3:65" s="13" customFormat="1" ht="30" customHeight="1" x14ac:dyDescent="0.2">
      <c r="C861" s="379"/>
      <c r="H861" s="379"/>
      <c r="N861" s="379"/>
      <c r="O861" s="394"/>
      <c r="Q861" s="379"/>
      <c r="BK861" s="14"/>
      <c r="BL861" s="14"/>
      <c r="BM861" s="14"/>
    </row>
    <row r="862" spans="3:65" s="13" customFormat="1" ht="30" customHeight="1" x14ac:dyDescent="0.2">
      <c r="C862" s="379"/>
      <c r="H862" s="379"/>
      <c r="N862" s="379"/>
      <c r="O862" s="394"/>
      <c r="Q862" s="379"/>
      <c r="BK862" s="14"/>
      <c r="BL862" s="14"/>
      <c r="BM862" s="14"/>
    </row>
    <row r="863" spans="3:65" s="13" customFormat="1" ht="30" customHeight="1" x14ac:dyDescent="0.2">
      <c r="C863" s="379"/>
      <c r="H863" s="379"/>
      <c r="N863" s="379"/>
      <c r="O863" s="394"/>
      <c r="Q863" s="379"/>
      <c r="BK863" s="14"/>
      <c r="BL863" s="14"/>
      <c r="BM863" s="14"/>
    </row>
    <row r="864" spans="3:65" s="13" customFormat="1" ht="30" customHeight="1" x14ac:dyDescent="0.2">
      <c r="C864" s="379"/>
      <c r="H864" s="379"/>
      <c r="N864" s="379"/>
      <c r="O864" s="394"/>
      <c r="Q864" s="379"/>
      <c r="BK864" s="14"/>
      <c r="BL864" s="14"/>
      <c r="BM864" s="14"/>
    </row>
    <row r="865" spans="3:65" s="13" customFormat="1" ht="30" customHeight="1" x14ac:dyDescent="0.2">
      <c r="C865" s="379"/>
      <c r="H865" s="379"/>
      <c r="N865" s="379"/>
      <c r="O865" s="394"/>
      <c r="Q865" s="379"/>
      <c r="BK865" s="14"/>
      <c r="BL865" s="14"/>
      <c r="BM865" s="14"/>
    </row>
    <row r="866" spans="3:65" s="13" customFormat="1" ht="30" customHeight="1" x14ac:dyDescent="0.2">
      <c r="C866" s="379"/>
      <c r="H866" s="379"/>
      <c r="N866" s="379"/>
      <c r="O866" s="394"/>
      <c r="Q866" s="379"/>
      <c r="BK866" s="14"/>
      <c r="BL866" s="14"/>
      <c r="BM866" s="14"/>
    </row>
    <row r="867" spans="3:65" s="13" customFormat="1" ht="30" customHeight="1" x14ac:dyDescent="0.2">
      <c r="C867" s="379"/>
      <c r="H867" s="379"/>
      <c r="N867" s="379"/>
      <c r="O867" s="394"/>
      <c r="Q867" s="379"/>
      <c r="BK867" s="14"/>
      <c r="BL867" s="14"/>
      <c r="BM867" s="14"/>
    </row>
    <row r="868" spans="3:65" s="13" customFormat="1" ht="30" customHeight="1" x14ac:dyDescent="0.2">
      <c r="C868" s="379"/>
      <c r="H868" s="379"/>
      <c r="N868" s="379"/>
      <c r="O868" s="394"/>
      <c r="Q868" s="379"/>
      <c r="BK868" s="14"/>
      <c r="BL868" s="14"/>
      <c r="BM868" s="14"/>
    </row>
    <row r="869" spans="3:65" s="13" customFormat="1" ht="30" customHeight="1" x14ac:dyDescent="0.2">
      <c r="C869" s="379"/>
      <c r="H869" s="379"/>
      <c r="N869" s="379"/>
      <c r="O869" s="394"/>
      <c r="Q869" s="379"/>
      <c r="BK869" s="14"/>
      <c r="BL869" s="14"/>
      <c r="BM869" s="14"/>
    </row>
    <row r="870" spans="3:65" s="13" customFormat="1" ht="30" customHeight="1" x14ac:dyDescent="0.2">
      <c r="C870" s="379"/>
      <c r="H870" s="379"/>
      <c r="N870" s="379"/>
      <c r="O870" s="394"/>
      <c r="Q870" s="379"/>
      <c r="BK870" s="14"/>
      <c r="BL870" s="14"/>
      <c r="BM870" s="14"/>
    </row>
    <row r="871" spans="3:65" s="13" customFormat="1" ht="30" customHeight="1" x14ac:dyDescent="0.2">
      <c r="C871" s="379"/>
      <c r="H871" s="379"/>
      <c r="N871" s="379"/>
      <c r="O871" s="394"/>
      <c r="Q871" s="379"/>
      <c r="BK871" s="14"/>
      <c r="BL871" s="14"/>
      <c r="BM871" s="14"/>
    </row>
    <row r="872" spans="3:65" s="13" customFormat="1" ht="30" customHeight="1" x14ac:dyDescent="0.2">
      <c r="C872" s="379"/>
      <c r="H872" s="379"/>
      <c r="N872" s="379"/>
      <c r="O872" s="394"/>
      <c r="Q872" s="379"/>
      <c r="BK872" s="14"/>
      <c r="BL872" s="14"/>
      <c r="BM872" s="14"/>
    </row>
    <row r="873" spans="3:65" s="13" customFormat="1" ht="30" customHeight="1" x14ac:dyDescent="0.2">
      <c r="C873" s="379"/>
      <c r="H873" s="379"/>
      <c r="N873" s="379"/>
      <c r="O873" s="394"/>
      <c r="Q873" s="379"/>
      <c r="BK873" s="14"/>
      <c r="BL873" s="14"/>
      <c r="BM873" s="14"/>
    </row>
    <row r="874" spans="3:65" s="13" customFormat="1" ht="30" customHeight="1" x14ac:dyDescent="0.2">
      <c r="C874" s="379"/>
      <c r="H874" s="379"/>
      <c r="N874" s="379"/>
      <c r="O874" s="394"/>
      <c r="Q874" s="379"/>
      <c r="BK874" s="14"/>
      <c r="BL874" s="14"/>
      <c r="BM874" s="14"/>
    </row>
    <row r="875" spans="3:65" s="13" customFormat="1" ht="30" customHeight="1" x14ac:dyDescent="0.2">
      <c r="C875" s="379"/>
      <c r="H875" s="379"/>
      <c r="N875" s="379"/>
      <c r="O875" s="394"/>
      <c r="Q875" s="379"/>
      <c r="BK875" s="14"/>
      <c r="BL875" s="14"/>
      <c r="BM875" s="14"/>
    </row>
    <row r="876" spans="3:65" s="13" customFormat="1" ht="30" customHeight="1" x14ac:dyDescent="0.2">
      <c r="C876" s="379"/>
      <c r="H876" s="379"/>
      <c r="N876" s="379"/>
      <c r="O876" s="394"/>
      <c r="Q876" s="379"/>
      <c r="BK876" s="14"/>
      <c r="BL876" s="14"/>
      <c r="BM876" s="14"/>
    </row>
    <row r="877" spans="3:65" s="13" customFormat="1" ht="30" customHeight="1" x14ac:dyDescent="0.2">
      <c r="C877" s="379"/>
      <c r="H877" s="379"/>
      <c r="N877" s="379"/>
      <c r="O877" s="394"/>
      <c r="Q877" s="379"/>
      <c r="BK877" s="14"/>
      <c r="BL877" s="14"/>
      <c r="BM877" s="14"/>
    </row>
    <row r="878" spans="3:65" s="13" customFormat="1" ht="30" customHeight="1" x14ac:dyDescent="0.2">
      <c r="C878" s="379"/>
      <c r="H878" s="379"/>
      <c r="N878" s="379"/>
      <c r="O878" s="394"/>
      <c r="Q878" s="379"/>
      <c r="BK878" s="14"/>
      <c r="BL878" s="14"/>
      <c r="BM878" s="14"/>
    </row>
    <row r="879" spans="3:65" s="13" customFormat="1" ht="30" customHeight="1" x14ac:dyDescent="0.2">
      <c r="C879" s="379"/>
      <c r="H879" s="379"/>
      <c r="N879" s="379"/>
      <c r="O879" s="394"/>
      <c r="Q879" s="379"/>
      <c r="BK879" s="14"/>
      <c r="BL879" s="14"/>
      <c r="BM879" s="14"/>
    </row>
    <row r="880" spans="3:65" s="13" customFormat="1" ht="30" customHeight="1" x14ac:dyDescent="0.2">
      <c r="C880" s="379"/>
      <c r="H880" s="379"/>
      <c r="N880" s="379"/>
      <c r="O880" s="394"/>
      <c r="Q880" s="379"/>
      <c r="BK880" s="14"/>
      <c r="BL880" s="14"/>
      <c r="BM880" s="14"/>
    </row>
    <row r="881" spans="3:65" s="13" customFormat="1" ht="30" customHeight="1" x14ac:dyDescent="0.2">
      <c r="C881" s="379"/>
      <c r="H881" s="379"/>
      <c r="N881" s="379"/>
      <c r="O881" s="394"/>
      <c r="Q881" s="379"/>
      <c r="BK881" s="14"/>
      <c r="BL881" s="14"/>
      <c r="BM881" s="14"/>
    </row>
    <row r="882" spans="3:65" s="13" customFormat="1" ht="30" customHeight="1" x14ac:dyDescent="0.2">
      <c r="C882" s="379"/>
      <c r="H882" s="379"/>
      <c r="N882" s="379"/>
      <c r="O882" s="394"/>
      <c r="Q882" s="379"/>
      <c r="BK882" s="14"/>
      <c r="BL882" s="14"/>
      <c r="BM882" s="14"/>
    </row>
    <row r="883" spans="3:65" s="13" customFormat="1" ht="30" customHeight="1" x14ac:dyDescent="0.2">
      <c r="C883" s="379"/>
      <c r="H883" s="379"/>
      <c r="N883" s="379"/>
      <c r="O883" s="394"/>
      <c r="Q883" s="379"/>
      <c r="BK883" s="14"/>
      <c r="BL883" s="14"/>
      <c r="BM883" s="14"/>
    </row>
    <row r="884" spans="3:65" s="13" customFormat="1" ht="30" customHeight="1" x14ac:dyDescent="0.2">
      <c r="C884" s="379"/>
      <c r="H884" s="379"/>
      <c r="N884" s="379"/>
      <c r="O884" s="394"/>
      <c r="Q884" s="379"/>
      <c r="BK884" s="14"/>
      <c r="BL884" s="14"/>
      <c r="BM884" s="14"/>
    </row>
    <row r="885" spans="3:65" s="13" customFormat="1" ht="30" customHeight="1" x14ac:dyDescent="0.2">
      <c r="C885" s="379"/>
      <c r="H885" s="379"/>
      <c r="N885" s="379"/>
      <c r="O885" s="394"/>
      <c r="Q885" s="379"/>
      <c r="BK885" s="14"/>
      <c r="BL885" s="14"/>
      <c r="BM885" s="14"/>
    </row>
    <row r="886" spans="3:65" s="13" customFormat="1" ht="30" customHeight="1" x14ac:dyDescent="0.2">
      <c r="C886" s="379"/>
      <c r="H886" s="379"/>
      <c r="N886" s="379"/>
      <c r="O886" s="394"/>
      <c r="Q886" s="379"/>
      <c r="BK886" s="14"/>
      <c r="BL886" s="14"/>
      <c r="BM886" s="14"/>
    </row>
    <row r="887" spans="3:65" s="13" customFormat="1" ht="30" customHeight="1" x14ac:dyDescent="0.2">
      <c r="C887" s="379"/>
      <c r="H887" s="379"/>
      <c r="N887" s="379"/>
      <c r="O887" s="394"/>
      <c r="Q887" s="379"/>
      <c r="BK887" s="14"/>
      <c r="BL887" s="14"/>
      <c r="BM887" s="14"/>
    </row>
    <row r="888" spans="3:65" s="13" customFormat="1" ht="30" customHeight="1" x14ac:dyDescent="0.2">
      <c r="C888" s="379"/>
      <c r="H888" s="379"/>
      <c r="N888" s="379"/>
      <c r="O888" s="394"/>
      <c r="Q888" s="379"/>
      <c r="BK888" s="14"/>
      <c r="BL888" s="14"/>
      <c r="BM888" s="14"/>
    </row>
    <row r="889" spans="3:65" s="13" customFormat="1" ht="30" customHeight="1" x14ac:dyDescent="0.2">
      <c r="C889" s="379"/>
      <c r="H889" s="379"/>
      <c r="N889" s="379"/>
      <c r="O889" s="394"/>
      <c r="Q889" s="379"/>
      <c r="BK889" s="14"/>
      <c r="BL889" s="14"/>
      <c r="BM889" s="14"/>
    </row>
    <row r="890" spans="3:65" s="13" customFormat="1" ht="30" customHeight="1" x14ac:dyDescent="0.2">
      <c r="C890" s="379"/>
      <c r="H890" s="379"/>
      <c r="N890" s="379"/>
      <c r="O890" s="394"/>
      <c r="Q890" s="379"/>
      <c r="BK890" s="14"/>
      <c r="BL890" s="14"/>
      <c r="BM890" s="14"/>
    </row>
    <row r="891" spans="3:65" s="13" customFormat="1" ht="30" customHeight="1" x14ac:dyDescent="0.2">
      <c r="C891" s="379"/>
      <c r="H891" s="379"/>
      <c r="N891" s="379"/>
      <c r="O891" s="394"/>
      <c r="Q891" s="379"/>
      <c r="BK891" s="14"/>
      <c r="BL891" s="14"/>
      <c r="BM891" s="14"/>
    </row>
    <row r="892" spans="3:65" s="13" customFormat="1" ht="30" customHeight="1" x14ac:dyDescent="0.2">
      <c r="C892" s="379"/>
      <c r="H892" s="379"/>
      <c r="N892" s="379"/>
      <c r="O892" s="394"/>
      <c r="Q892" s="379"/>
      <c r="BK892" s="14"/>
      <c r="BL892" s="14"/>
      <c r="BM892" s="14"/>
    </row>
    <row r="893" spans="3:65" s="13" customFormat="1" ht="30" customHeight="1" x14ac:dyDescent="0.2">
      <c r="C893" s="379"/>
      <c r="H893" s="379"/>
      <c r="N893" s="379"/>
      <c r="O893" s="394"/>
      <c r="Q893" s="379"/>
      <c r="BK893" s="14"/>
      <c r="BL893" s="14"/>
      <c r="BM893" s="14"/>
    </row>
    <row r="894" spans="3:65" s="13" customFormat="1" ht="30" customHeight="1" x14ac:dyDescent="0.2">
      <c r="C894" s="379"/>
      <c r="H894" s="379"/>
      <c r="N894" s="379"/>
      <c r="O894" s="394"/>
      <c r="Q894" s="379"/>
      <c r="BK894" s="14"/>
      <c r="BL894" s="14"/>
      <c r="BM894" s="14"/>
    </row>
    <row r="895" spans="3:65" s="13" customFormat="1" ht="30" customHeight="1" x14ac:dyDescent="0.2">
      <c r="C895" s="379"/>
      <c r="H895" s="379"/>
      <c r="N895" s="379"/>
      <c r="O895" s="394"/>
      <c r="Q895" s="379"/>
      <c r="BK895" s="14"/>
      <c r="BL895" s="14"/>
      <c r="BM895" s="14"/>
    </row>
    <row r="896" spans="3:65" s="13" customFormat="1" ht="30" customHeight="1" x14ac:dyDescent="0.2">
      <c r="C896" s="379"/>
      <c r="H896" s="379"/>
      <c r="N896" s="379"/>
      <c r="O896" s="394"/>
      <c r="Q896" s="379"/>
      <c r="BK896" s="14"/>
      <c r="BL896" s="14"/>
      <c r="BM896" s="14"/>
    </row>
    <row r="897" spans="3:65" s="13" customFormat="1" ht="30" customHeight="1" x14ac:dyDescent="0.2">
      <c r="C897" s="379"/>
      <c r="H897" s="379"/>
      <c r="N897" s="379"/>
      <c r="O897" s="394"/>
      <c r="Q897" s="379"/>
      <c r="BK897" s="14"/>
      <c r="BL897" s="14"/>
      <c r="BM897" s="14"/>
    </row>
    <row r="898" spans="3:65" s="13" customFormat="1" ht="30" customHeight="1" x14ac:dyDescent="0.2">
      <c r="C898" s="379"/>
      <c r="H898" s="379"/>
      <c r="N898" s="379"/>
      <c r="O898" s="394"/>
      <c r="Q898" s="379"/>
      <c r="BK898" s="14"/>
      <c r="BL898" s="14"/>
      <c r="BM898" s="14"/>
    </row>
    <row r="899" spans="3:65" s="13" customFormat="1" ht="30" customHeight="1" x14ac:dyDescent="0.2">
      <c r="C899" s="379"/>
      <c r="H899" s="379"/>
      <c r="N899" s="379"/>
      <c r="O899" s="394"/>
      <c r="Q899" s="379"/>
      <c r="BK899" s="14"/>
      <c r="BL899" s="14"/>
      <c r="BM899" s="14"/>
    </row>
    <row r="900" spans="3:65" s="13" customFormat="1" ht="30" customHeight="1" x14ac:dyDescent="0.2">
      <c r="C900" s="379"/>
      <c r="H900" s="379"/>
      <c r="N900" s="379"/>
      <c r="O900" s="394"/>
      <c r="Q900" s="379"/>
      <c r="BK900" s="14"/>
      <c r="BL900" s="14"/>
      <c r="BM900" s="14"/>
    </row>
    <row r="901" spans="3:65" s="13" customFormat="1" ht="30" customHeight="1" x14ac:dyDescent="0.2">
      <c r="C901" s="379"/>
      <c r="H901" s="379"/>
      <c r="N901" s="379"/>
      <c r="O901" s="394"/>
      <c r="Q901" s="379"/>
      <c r="BK901" s="14"/>
      <c r="BL901" s="14"/>
      <c r="BM901" s="14"/>
    </row>
    <row r="902" spans="3:65" s="13" customFormat="1" ht="30" customHeight="1" x14ac:dyDescent="0.2">
      <c r="C902" s="379"/>
      <c r="H902" s="379"/>
      <c r="N902" s="379"/>
      <c r="O902" s="394"/>
      <c r="Q902" s="379"/>
      <c r="BK902" s="14"/>
      <c r="BL902" s="14"/>
      <c r="BM902" s="14"/>
    </row>
    <row r="903" spans="3:65" s="13" customFormat="1" ht="30" customHeight="1" x14ac:dyDescent="0.2">
      <c r="C903" s="379"/>
      <c r="H903" s="379"/>
      <c r="N903" s="379"/>
      <c r="O903" s="394"/>
      <c r="Q903" s="379"/>
      <c r="BK903" s="14"/>
      <c r="BL903" s="14"/>
      <c r="BM903" s="14"/>
    </row>
    <row r="904" spans="3:65" s="13" customFormat="1" ht="30" customHeight="1" x14ac:dyDescent="0.2">
      <c r="C904" s="379"/>
      <c r="H904" s="379"/>
      <c r="N904" s="379"/>
      <c r="O904" s="394"/>
      <c r="Q904" s="379"/>
      <c r="BK904" s="14"/>
      <c r="BL904" s="14"/>
      <c r="BM904" s="14"/>
    </row>
    <row r="905" spans="3:65" s="13" customFormat="1" ht="30" customHeight="1" x14ac:dyDescent="0.2">
      <c r="C905" s="379"/>
      <c r="H905" s="379"/>
      <c r="N905" s="379"/>
      <c r="O905" s="394"/>
      <c r="Q905" s="379"/>
      <c r="BK905" s="14"/>
      <c r="BL905" s="14"/>
      <c r="BM905" s="14"/>
    </row>
    <row r="906" spans="3:65" s="13" customFormat="1" ht="30" customHeight="1" x14ac:dyDescent="0.2">
      <c r="C906" s="379"/>
      <c r="H906" s="379"/>
      <c r="N906" s="379"/>
      <c r="O906" s="394"/>
      <c r="Q906" s="379"/>
      <c r="BK906" s="14"/>
      <c r="BL906" s="14"/>
      <c r="BM906" s="14"/>
    </row>
    <row r="907" spans="3:65" s="13" customFormat="1" ht="30" customHeight="1" x14ac:dyDescent="0.2">
      <c r="C907" s="379"/>
      <c r="H907" s="379"/>
      <c r="N907" s="379"/>
      <c r="O907" s="394"/>
      <c r="Q907" s="379"/>
      <c r="BK907" s="14"/>
      <c r="BL907" s="14"/>
      <c r="BM907" s="14"/>
    </row>
    <row r="908" spans="3:65" s="13" customFormat="1" ht="30" customHeight="1" x14ac:dyDescent="0.2">
      <c r="C908" s="379"/>
      <c r="H908" s="379"/>
      <c r="N908" s="379"/>
      <c r="O908" s="394"/>
      <c r="Q908" s="379"/>
      <c r="BK908" s="14"/>
      <c r="BL908" s="14"/>
      <c r="BM908" s="14"/>
    </row>
    <row r="909" spans="3:65" s="13" customFormat="1" ht="30" customHeight="1" x14ac:dyDescent="0.2">
      <c r="C909" s="379"/>
      <c r="H909" s="379"/>
      <c r="N909" s="379"/>
      <c r="O909" s="394"/>
      <c r="Q909" s="379"/>
      <c r="BK909" s="14"/>
      <c r="BL909" s="14"/>
      <c r="BM909" s="14"/>
    </row>
    <row r="910" spans="3:65" s="13" customFormat="1" ht="30" customHeight="1" x14ac:dyDescent="0.2">
      <c r="C910" s="379"/>
      <c r="H910" s="379"/>
      <c r="N910" s="379"/>
      <c r="O910" s="394"/>
      <c r="Q910" s="379"/>
      <c r="BK910" s="14"/>
      <c r="BL910" s="14"/>
      <c r="BM910" s="14"/>
    </row>
    <row r="911" spans="3:65" s="13" customFormat="1" ht="30" customHeight="1" x14ac:dyDescent="0.2">
      <c r="C911" s="379"/>
      <c r="H911" s="379"/>
      <c r="N911" s="379"/>
      <c r="O911" s="394"/>
      <c r="Q911" s="379"/>
      <c r="BK911" s="14"/>
      <c r="BL911" s="14"/>
      <c r="BM911" s="14"/>
    </row>
    <row r="912" spans="3:65" s="13" customFormat="1" ht="30" customHeight="1" x14ac:dyDescent="0.2">
      <c r="C912" s="379"/>
      <c r="H912" s="379"/>
      <c r="N912" s="379"/>
      <c r="O912" s="394"/>
      <c r="Q912" s="379"/>
      <c r="BK912" s="14"/>
      <c r="BL912" s="14"/>
      <c r="BM912" s="14"/>
    </row>
    <row r="913" spans="3:65" s="13" customFormat="1" ht="30" customHeight="1" x14ac:dyDescent="0.2">
      <c r="C913" s="379"/>
      <c r="H913" s="379"/>
      <c r="N913" s="379"/>
      <c r="O913" s="394"/>
      <c r="Q913" s="379"/>
      <c r="BK913" s="14"/>
      <c r="BL913" s="14"/>
      <c r="BM913" s="14"/>
    </row>
    <row r="914" spans="3:65" s="13" customFormat="1" ht="30" customHeight="1" x14ac:dyDescent="0.2">
      <c r="C914" s="379"/>
      <c r="H914" s="379"/>
      <c r="N914" s="379"/>
      <c r="O914" s="394"/>
      <c r="Q914" s="379"/>
      <c r="BK914" s="14"/>
      <c r="BL914" s="14"/>
      <c r="BM914" s="14"/>
    </row>
    <row r="915" spans="3:65" s="13" customFormat="1" ht="30" customHeight="1" x14ac:dyDescent="0.2">
      <c r="C915" s="379"/>
      <c r="H915" s="379"/>
      <c r="N915" s="379"/>
      <c r="O915" s="394"/>
      <c r="Q915" s="379"/>
      <c r="BK915" s="14"/>
      <c r="BL915" s="14"/>
      <c r="BM915" s="14"/>
    </row>
    <row r="916" spans="3:65" s="13" customFormat="1" ht="30" customHeight="1" x14ac:dyDescent="0.2">
      <c r="C916" s="379"/>
      <c r="H916" s="379"/>
      <c r="N916" s="379"/>
      <c r="O916" s="394"/>
      <c r="Q916" s="379"/>
      <c r="BK916" s="14"/>
      <c r="BL916" s="14"/>
      <c r="BM916" s="14"/>
    </row>
    <row r="917" spans="3:65" s="13" customFormat="1" ht="30" customHeight="1" x14ac:dyDescent="0.2">
      <c r="C917" s="379"/>
      <c r="H917" s="379"/>
      <c r="N917" s="379"/>
      <c r="O917" s="394"/>
      <c r="Q917" s="379"/>
      <c r="BK917" s="14"/>
      <c r="BL917" s="14"/>
      <c r="BM917" s="14"/>
    </row>
    <row r="918" spans="3:65" s="13" customFormat="1" ht="30" customHeight="1" x14ac:dyDescent="0.2">
      <c r="C918" s="379"/>
      <c r="H918" s="379"/>
      <c r="N918" s="379"/>
      <c r="O918" s="394"/>
      <c r="Q918" s="379"/>
      <c r="BK918" s="14"/>
      <c r="BL918" s="14"/>
      <c r="BM918" s="14"/>
    </row>
    <row r="919" spans="3:65" s="13" customFormat="1" ht="30" customHeight="1" x14ac:dyDescent="0.2">
      <c r="C919" s="379"/>
      <c r="H919" s="379"/>
      <c r="N919" s="379"/>
      <c r="O919" s="394"/>
      <c r="Q919" s="379"/>
      <c r="BK919" s="14"/>
      <c r="BL919" s="14"/>
      <c r="BM919" s="14"/>
    </row>
    <row r="920" spans="3:65" s="13" customFormat="1" ht="30" customHeight="1" x14ac:dyDescent="0.2">
      <c r="C920" s="379"/>
      <c r="H920" s="379"/>
      <c r="N920" s="379"/>
      <c r="O920" s="394"/>
      <c r="Q920" s="379"/>
      <c r="BK920" s="14"/>
      <c r="BL920" s="14"/>
      <c r="BM920" s="14"/>
    </row>
    <row r="921" spans="3:65" s="13" customFormat="1" ht="30" customHeight="1" x14ac:dyDescent="0.2">
      <c r="C921" s="379"/>
      <c r="H921" s="379"/>
      <c r="N921" s="379"/>
      <c r="O921" s="394"/>
      <c r="Q921" s="379"/>
      <c r="BK921" s="14"/>
      <c r="BL921" s="14"/>
      <c r="BM921" s="14"/>
    </row>
    <row r="922" spans="3:65" s="13" customFormat="1" ht="30" customHeight="1" x14ac:dyDescent="0.2">
      <c r="C922" s="379"/>
      <c r="H922" s="379"/>
      <c r="N922" s="379"/>
      <c r="O922" s="394"/>
      <c r="Q922" s="379"/>
      <c r="BK922" s="14"/>
      <c r="BL922" s="14"/>
      <c r="BM922" s="14"/>
    </row>
    <row r="923" spans="3:65" s="13" customFormat="1" ht="30" customHeight="1" x14ac:dyDescent="0.2">
      <c r="C923" s="379"/>
      <c r="H923" s="379"/>
      <c r="N923" s="379"/>
      <c r="O923" s="394"/>
      <c r="Q923" s="379"/>
      <c r="BK923" s="14"/>
      <c r="BL923" s="14"/>
      <c r="BM923" s="14"/>
    </row>
    <row r="924" spans="3:65" s="13" customFormat="1" ht="30" customHeight="1" x14ac:dyDescent="0.2">
      <c r="C924" s="379"/>
      <c r="H924" s="379"/>
      <c r="N924" s="379"/>
      <c r="O924" s="394"/>
      <c r="Q924" s="379"/>
      <c r="BK924" s="14"/>
      <c r="BL924" s="14"/>
      <c r="BM924" s="14"/>
    </row>
    <row r="925" spans="3:65" s="13" customFormat="1" ht="30" customHeight="1" x14ac:dyDescent="0.2">
      <c r="C925" s="379"/>
      <c r="H925" s="379"/>
      <c r="N925" s="379"/>
      <c r="O925" s="394"/>
      <c r="Q925" s="379"/>
      <c r="BK925" s="14"/>
      <c r="BL925" s="14"/>
      <c r="BM925" s="14"/>
    </row>
    <row r="926" spans="3:65" s="13" customFormat="1" ht="30" customHeight="1" x14ac:dyDescent="0.2">
      <c r="C926" s="379"/>
      <c r="H926" s="379"/>
      <c r="N926" s="379"/>
      <c r="O926" s="394"/>
      <c r="Q926" s="379"/>
      <c r="BK926" s="14"/>
      <c r="BL926" s="14"/>
      <c r="BM926" s="14"/>
    </row>
    <row r="927" spans="3:65" s="13" customFormat="1" ht="30" customHeight="1" x14ac:dyDescent="0.2">
      <c r="C927" s="379"/>
      <c r="H927" s="379"/>
      <c r="N927" s="379"/>
      <c r="O927" s="394"/>
      <c r="Q927" s="379"/>
      <c r="BK927" s="14"/>
      <c r="BL927" s="14"/>
      <c r="BM927" s="14"/>
    </row>
    <row r="928" spans="3:65" s="13" customFormat="1" ht="30" customHeight="1" x14ac:dyDescent="0.2">
      <c r="C928" s="379"/>
      <c r="H928" s="379"/>
      <c r="N928" s="379"/>
      <c r="O928" s="394"/>
      <c r="Q928" s="379"/>
      <c r="BK928" s="14"/>
      <c r="BL928" s="14"/>
      <c r="BM928" s="14"/>
    </row>
    <row r="929" spans="3:65" s="13" customFormat="1" ht="30" customHeight="1" x14ac:dyDescent="0.2">
      <c r="C929" s="379"/>
      <c r="H929" s="379"/>
      <c r="N929" s="379"/>
      <c r="O929" s="394"/>
      <c r="Q929" s="379"/>
      <c r="BK929" s="14"/>
      <c r="BL929" s="14"/>
      <c r="BM929" s="14"/>
    </row>
    <row r="930" spans="3:65" s="13" customFormat="1" ht="30" customHeight="1" x14ac:dyDescent="0.2">
      <c r="C930" s="379"/>
      <c r="H930" s="379"/>
      <c r="N930" s="379"/>
      <c r="O930" s="394"/>
      <c r="Q930" s="379"/>
      <c r="BK930" s="14"/>
      <c r="BL930" s="14"/>
      <c r="BM930" s="14"/>
    </row>
    <row r="931" spans="3:65" s="13" customFormat="1" ht="30" customHeight="1" x14ac:dyDescent="0.2">
      <c r="C931" s="379"/>
      <c r="H931" s="379"/>
      <c r="N931" s="379"/>
      <c r="O931" s="394"/>
      <c r="Q931" s="379"/>
      <c r="BK931" s="14"/>
      <c r="BL931" s="14"/>
      <c r="BM931" s="14"/>
    </row>
    <row r="932" spans="3:65" s="13" customFormat="1" ht="30" customHeight="1" x14ac:dyDescent="0.2">
      <c r="C932" s="379"/>
      <c r="H932" s="379"/>
      <c r="N932" s="379"/>
      <c r="O932" s="394"/>
      <c r="Q932" s="379"/>
      <c r="BK932" s="14"/>
      <c r="BL932" s="14"/>
      <c r="BM932" s="14"/>
    </row>
    <row r="933" spans="3:65" s="13" customFormat="1" ht="30" customHeight="1" x14ac:dyDescent="0.2">
      <c r="C933" s="379"/>
      <c r="H933" s="379"/>
      <c r="N933" s="379"/>
      <c r="O933" s="394"/>
      <c r="Q933" s="379"/>
      <c r="BK933" s="14"/>
      <c r="BL933" s="14"/>
      <c r="BM933" s="14"/>
    </row>
    <row r="934" spans="3:65" s="13" customFormat="1" ht="30" customHeight="1" x14ac:dyDescent="0.2">
      <c r="C934" s="379"/>
      <c r="H934" s="379"/>
      <c r="N934" s="379"/>
      <c r="O934" s="394"/>
      <c r="Q934" s="379"/>
      <c r="BK934" s="14"/>
      <c r="BL934" s="14"/>
      <c r="BM934" s="14"/>
    </row>
    <row r="935" spans="3:65" s="13" customFormat="1" ht="30" customHeight="1" x14ac:dyDescent="0.2">
      <c r="C935" s="379"/>
      <c r="H935" s="379"/>
      <c r="N935" s="379"/>
      <c r="O935" s="394"/>
      <c r="Q935" s="379"/>
      <c r="BK935" s="14"/>
      <c r="BL935" s="14"/>
      <c r="BM935" s="14"/>
    </row>
    <row r="936" spans="3:65" s="13" customFormat="1" ht="30" customHeight="1" x14ac:dyDescent="0.2">
      <c r="C936" s="379"/>
      <c r="H936" s="379"/>
      <c r="N936" s="379"/>
      <c r="O936" s="394"/>
      <c r="Q936" s="379"/>
      <c r="BK936" s="14"/>
      <c r="BL936" s="14"/>
      <c r="BM936" s="14"/>
    </row>
    <row r="937" spans="3:65" s="13" customFormat="1" ht="30" customHeight="1" x14ac:dyDescent="0.2">
      <c r="C937" s="379"/>
      <c r="H937" s="379"/>
      <c r="N937" s="379"/>
      <c r="O937" s="394"/>
      <c r="Q937" s="379"/>
      <c r="BK937" s="14"/>
      <c r="BL937" s="14"/>
      <c r="BM937" s="14"/>
    </row>
    <row r="938" spans="3:65" s="13" customFormat="1" ht="30" customHeight="1" x14ac:dyDescent="0.2">
      <c r="C938" s="379"/>
      <c r="H938" s="379"/>
      <c r="N938" s="379"/>
      <c r="O938" s="394"/>
      <c r="Q938" s="379"/>
      <c r="BK938" s="14"/>
      <c r="BL938" s="14"/>
      <c r="BM938" s="14"/>
    </row>
    <row r="939" spans="3:65" s="13" customFormat="1" ht="30" customHeight="1" x14ac:dyDescent="0.2">
      <c r="C939" s="379"/>
      <c r="H939" s="379"/>
      <c r="N939" s="379"/>
      <c r="O939" s="394"/>
      <c r="Q939" s="379"/>
      <c r="BK939" s="14"/>
      <c r="BL939" s="14"/>
      <c r="BM939" s="14"/>
    </row>
    <row r="940" spans="3:65" s="13" customFormat="1" ht="30" customHeight="1" x14ac:dyDescent="0.2">
      <c r="C940" s="379"/>
      <c r="H940" s="379"/>
      <c r="N940" s="379"/>
      <c r="O940" s="394"/>
      <c r="Q940" s="379"/>
      <c r="BK940" s="14"/>
      <c r="BL940" s="14"/>
      <c r="BM940" s="14"/>
    </row>
    <row r="941" spans="3:65" s="13" customFormat="1" ht="30" customHeight="1" x14ac:dyDescent="0.2">
      <c r="C941" s="379"/>
      <c r="H941" s="379"/>
      <c r="N941" s="379"/>
      <c r="O941" s="394"/>
      <c r="Q941" s="379"/>
      <c r="BK941" s="14"/>
      <c r="BL941" s="14"/>
      <c r="BM941" s="14"/>
    </row>
    <row r="942" spans="3:65" s="13" customFormat="1" ht="30" customHeight="1" x14ac:dyDescent="0.2">
      <c r="C942" s="379"/>
      <c r="H942" s="379"/>
      <c r="N942" s="379"/>
      <c r="O942" s="394"/>
      <c r="Q942" s="379"/>
      <c r="BK942" s="14"/>
      <c r="BL942" s="14"/>
      <c r="BM942" s="14"/>
    </row>
    <row r="943" spans="3:65" s="13" customFormat="1" ht="30" customHeight="1" x14ac:dyDescent="0.2">
      <c r="C943" s="379"/>
      <c r="H943" s="379"/>
      <c r="N943" s="379"/>
      <c r="O943" s="394"/>
      <c r="Q943" s="379"/>
      <c r="BK943" s="14"/>
      <c r="BL943" s="14"/>
      <c r="BM943" s="14"/>
    </row>
    <row r="944" spans="3:65" s="13" customFormat="1" ht="30" customHeight="1" x14ac:dyDescent="0.2">
      <c r="C944" s="379"/>
      <c r="H944" s="379"/>
      <c r="N944" s="379"/>
      <c r="O944" s="394"/>
      <c r="Q944" s="379"/>
      <c r="BK944" s="14"/>
      <c r="BL944" s="14"/>
      <c r="BM944" s="14"/>
    </row>
    <row r="945" spans="3:65" s="13" customFormat="1" ht="30" customHeight="1" x14ac:dyDescent="0.2">
      <c r="C945" s="379"/>
      <c r="H945" s="379"/>
      <c r="N945" s="379"/>
      <c r="O945" s="394"/>
      <c r="Q945" s="379"/>
      <c r="BK945" s="14"/>
      <c r="BL945" s="14"/>
      <c r="BM945" s="14"/>
    </row>
    <row r="946" spans="3:65" s="13" customFormat="1" ht="30" customHeight="1" x14ac:dyDescent="0.2">
      <c r="C946" s="379"/>
      <c r="H946" s="379"/>
      <c r="N946" s="379"/>
      <c r="O946" s="394"/>
      <c r="Q946" s="379"/>
      <c r="BK946" s="14"/>
      <c r="BL946" s="14"/>
      <c r="BM946" s="14"/>
    </row>
    <row r="947" spans="3:65" s="13" customFormat="1" ht="30" customHeight="1" x14ac:dyDescent="0.2">
      <c r="C947" s="379"/>
      <c r="H947" s="379"/>
      <c r="N947" s="379"/>
      <c r="O947" s="394"/>
      <c r="Q947" s="379"/>
      <c r="BK947" s="14"/>
      <c r="BL947" s="14"/>
      <c r="BM947" s="14"/>
    </row>
    <row r="948" spans="3:65" s="13" customFormat="1" ht="30" customHeight="1" x14ac:dyDescent="0.2">
      <c r="C948" s="379"/>
      <c r="H948" s="379"/>
      <c r="N948" s="379"/>
      <c r="O948" s="394"/>
      <c r="Q948" s="379"/>
      <c r="BK948" s="14"/>
      <c r="BL948" s="14"/>
      <c r="BM948" s="14"/>
    </row>
    <row r="949" spans="3:65" s="13" customFormat="1" ht="30" customHeight="1" x14ac:dyDescent="0.2">
      <c r="C949" s="379"/>
      <c r="H949" s="379"/>
      <c r="N949" s="379"/>
      <c r="O949" s="394"/>
      <c r="Q949" s="379"/>
      <c r="BK949" s="14"/>
      <c r="BL949" s="14"/>
      <c r="BM949" s="14"/>
    </row>
    <row r="950" spans="3:65" s="13" customFormat="1" ht="30" customHeight="1" x14ac:dyDescent="0.2">
      <c r="C950" s="379"/>
      <c r="H950" s="379"/>
      <c r="N950" s="379"/>
      <c r="O950" s="394"/>
      <c r="Q950" s="379"/>
      <c r="BK950" s="14"/>
      <c r="BL950" s="14"/>
      <c r="BM950" s="14"/>
    </row>
    <row r="951" spans="3:65" s="13" customFormat="1" ht="30" customHeight="1" x14ac:dyDescent="0.2">
      <c r="C951" s="379"/>
      <c r="H951" s="379"/>
      <c r="N951" s="379"/>
      <c r="O951" s="394"/>
      <c r="Q951" s="379"/>
      <c r="BK951" s="14"/>
      <c r="BL951" s="14"/>
      <c r="BM951" s="14"/>
    </row>
    <row r="952" spans="3:65" s="13" customFormat="1" ht="30" customHeight="1" x14ac:dyDescent="0.2">
      <c r="C952" s="379"/>
      <c r="H952" s="379"/>
      <c r="N952" s="379"/>
      <c r="O952" s="394"/>
      <c r="Q952" s="379"/>
      <c r="BK952" s="14"/>
      <c r="BL952" s="14"/>
      <c r="BM952" s="14"/>
    </row>
    <row r="953" spans="3:65" s="13" customFormat="1" ht="30" customHeight="1" x14ac:dyDescent="0.2">
      <c r="C953" s="379"/>
      <c r="H953" s="379"/>
      <c r="N953" s="379"/>
      <c r="O953" s="394"/>
      <c r="Q953" s="379"/>
      <c r="BK953" s="14"/>
      <c r="BL953" s="14"/>
      <c r="BM953" s="14"/>
    </row>
    <row r="954" spans="3:65" s="13" customFormat="1" ht="30" customHeight="1" x14ac:dyDescent="0.2">
      <c r="C954" s="379"/>
      <c r="H954" s="379"/>
      <c r="N954" s="379"/>
      <c r="O954" s="394"/>
      <c r="Q954" s="379"/>
      <c r="BK954" s="14"/>
      <c r="BL954" s="14"/>
      <c r="BM954" s="14"/>
    </row>
    <row r="955" spans="3:65" s="13" customFormat="1" ht="30" customHeight="1" x14ac:dyDescent="0.2">
      <c r="C955" s="379"/>
      <c r="H955" s="379"/>
      <c r="N955" s="379"/>
      <c r="O955" s="394"/>
      <c r="Q955" s="379"/>
      <c r="BK955" s="14"/>
      <c r="BL955" s="14"/>
      <c r="BM955" s="14"/>
    </row>
    <row r="956" spans="3:65" s="13" customFormat="1" ht="30" customHeight="1" x14ac:dyDescent="0.2">
      <c r="C956" s="379"/>
      <c r="H956" s="379"/>
      <c r="N956" s="379"/>
      <c r="O956" s="394"/>
      <c r="Q956" s="379"/>
      <c r="BK956" s="14"/>
      <c r="BL956" s="14"/>
      <c r="BM956" s="14"/>
    </row>
    <row r="957" spans="3:65" s="13" customFormat="1" ht="30" customHeight="1" x14ac:dyDescent="0.2">
      <c r="C957" s="379"/>
      <c r="H957" s="379"/>
      <c r="N957" s="379"/>
      <c r="O957" s="394"/>
      <c r="Q957" s="379"/>
      <c r="BK957" s="14"/>
      <c r="BL957" s="14"/>
      <c r="BM957" s="14"/>
    </row>
    <row r="958" spans="3:65" s="13" customFormat="1" ht="30" customHeight="1" x14ac:dyDescent="0.2">
      <c r="C958" s="379"/>
      <c r="H958" s="379"/>
      <c r="N958" s="379"/>
      <c r="O958" s="394"/>
      <c r="Q958" s="379"/>
      <c r="BK958" s="14"/>
      <c r="BL958" s="14"/>
      <c r="BM958" s="14"/>
    </row>
    <row r="959" spans="3:65" s="13" customFormat="1" ht="30" customHeight="1" x14ac:dyDescent="0.2">
      <c r="C959" s="379"/>
      <c r="H959" s="379"/>
      <c r="N959" s="379"/>
      <c r="O959" s="394"/>
      <c r="Q959" s="379"/>
      <c r="BK959" s="14"/>
      <c r="BL959" s="14"/>
      <c r="BM959" s="14"/>
    </row>
    <row r="960" spans="3:65" s="13" customFormat="1" ht="30" customHeight="1" x14ac:dyDescent="0.2">
      <c r="C960" s="379"/>
      <c r="H960" s="379"/>
      <c r="N960" s="379"/>
      <c r="O960" s="394"/>
      <c r="Q960" s="379"/>
      <c r="BK960" s="14"/>
      <c r="BL960" s="14"/>
      <c r="BM960" s="14"/>
    </row>
    <row r="961" spans="3:65" s="13" customFormat="1" ht="30" customHeight="1" x14ac:dyDescent="0.2">
      <c r="C961" s="379"/>
      <c r="H961" s="379"/>
      <c r="N961" s="379"/>
      <c r="O961" s="394"/>
      <c r="Q961" s="379"/>
      <c r="BK961" s="14"/>
      <c r="BL961" s="14"/>
      <c r="BM961" s="14"/>
    </row>
    <row r="962" spans="3:65" s="13" customFormat="1" ht="30" customHeight="1" x14ac:dyDescent="0.2">
      <c r="C962" s="379"/>
      <c r="H962" s="379"/>
      <c r="N962" s="379"/>
      <c r="O962" s="394"/>
      <c r="Q962" s="379"/>
      <c r="BK962" s="14"/>
      <c r="BL962" s="14"/>
      <c r="BM962" s="14"/>
    </row>
    <row r="963" spans="3:65" s="13" customFormat="1" ht="30" customHeight="1" x14ac:dyDescent="0.2">
      <c r="C963" s="379"/>
      <c r="H963" s="379"/>
      <c r="N963" s="379"/>
      <c r="O963" s="394"/>
      <c r="Q963" s="379"/>
      <c r="BK963" s="14"/>
      <c r="BL963" s="14"/>
      <c r="BM963" s="14"/>
    </row>
    <row r="964" spans="3:65" s="13" customFormat="1" ht="30" customHeight="1" x14ac:dyDescent="0.2">
      <c r="C964" s="379"/>
      <c r="H964" s="379"/>
      <c r="N964" s="379"/>
      <c r="O964" s="394"/>
      <c r="Q964" s="379"/>
      <c r="BK964" s="14"/>
      <c r="BL964" s="14"/>
      <c r="BM964" s="14"/>
    </row>
    <row r="965" spans="3:65" s="13" customFormat="1" ht="30" customHeight="1" x14ac:dyDescent="0.2">
      <c r="C965" s="379"/>
      <c r="H965" s="379"/>
      <c r="N965" s="379"/>
      <c r="O965" s="394"/>
      <c r="Q965" s="379"/>
      <c r="BK965" s="14"/>
      <c r="BL965" s="14"/>
      <c r="BM965" s="14"/>
    </row>
    <row r="966" spans="3:65" s="13" customFormat="1" ht="30" customHeight="1" x14ac:dyDescent="0.2">
      <c r="C966" s="379"/>
      <c r="H966" s="379"/>
      <c r="N966" s="379"/>
      <c r="O966" s="394"/>
      <c r="Q966" s="379"/>
      <c r="BK966" s="14"/>
      <c r="BL966" s="14"/>
      <c r="BM966" s="14"/>
    </row>
    <row r="967" spans="3:65" s="13" customFormat="1" ht="30" customHeight="1" x14ac:dyDescent="0.2">
      <c r="C967" s="379"/>
      <c r="H967" s="379"/>
      <c r="N967" s="379"/>
      <c r="O967" s="394"/>
      <c r="Q967" s="379"/>
      <c r="BK967" s="14"/>
      <c r="BL967" s="14"/>
      <c r="BM967" s="14"/>
    </row>
    <row r="968" spans="3:65" s="13" customFormat="1" ht="30" customHeight="1" x14ac:dyDescent="0.2">
      <c r="C968" s="379"/>
      <c r="H968" s="379"/>
      <c r="N968" s="379"/>
      <c r="O968" s="394"/>
      <c r="Q968" s="379"/>
      <c r="BK968" s="14"/>
      <c r="BL968" s="14"/>
      <c r="BM968" s="14"/>
    </row>
    <row r="969" spans="3:65" s="13" customFormat="1" ht="30" customHeight="1" x14ac:dyDescent="0.2">
      <c r="C969" s="379"/>
      <c r="H969" s="379"/>
      <c r="N969" s="379"/>
      <c r="O969" s="394"/>
      <c r="Q969" s="379"/>
      <c r="BK969" s="14"/>
      <c r="BL969" s="14"/>
      <c r="BM969" s="14"/>
    </row>
    <row r="970" spans="3:65" s="13" customFormat="1" ht="30" customHeight="1" x14ac:dyDescent="0.2">
      <c r="C970" s="379"/>
      <c r="H970" s="379"/>
      <c r="N970" s="379"/>
      <c r="O970" s="394"/>
      <c r="Q970" s="379"/>
      <c r="BK970" s="14"/>
      <c r="BL970" s="14"/>
      <c r="BM970" s="14"/>
    </row>
    <row r="971" spans="3:65" s="13" customFormat="1" ht="30" customHeight="1" x14ac:dyDescent="0.2">
      <c r="C971" s="379"/>
      <c r="H971" s="379"/>
      <c r="N971" s="379"/>
      <c r="O971" s="394"/>
      <c r="Q971" s="379"/>
      <c r="BK971" s="14"/>
      <c r="BL971" s="14"/>
      <c r="BM971" s="14"/>
    </row>
    <row r="972" spans="3:65" s="13" customFormat="1" ht="30" customHeight="1" x14ac:dyDescent="0.2">
      <c r="C972" s="379"/>
      <c r="H972" s="379"/>
      <c r="N972" s="379"/>
      <c r="O972" s="394"/>
      <c r="Q972" s="379"/>
      <c r="BK972" s="14"/>
      <c r="BL972" s="14"/>
      <c r="BM972" s="14"/>
    </row>
    <row r="973" spans="3:65" s="13" customFormat="1" ht="30" customHeight="1" x14ac:dyDescent="0.2">
      <c r="C973" s="379"/>
      <c r="H973" s="379"/>
      <c r="N973" s="379"/>
      <c r="O973" s="394"/>
      <c r="Q973" s="379"/>
      <c r="BK973" s="14"/>
      <c r="BL973" s="14"/>
      <c r="BM973" s="14"/>
    </row>
    <row r="974" spans="3:65" s="13" customFormat="1" ht="30" customHeight="1" x14ac:dyDescent="0.2">
      <c r="C974" s="379"/>
      <c r="H974" s="379"/>
      <c r="N974" s="379"/>
      <c r="O974" s="394"/>
      <c r="Q974" s="379"/>
      <c r="BK974" s="14"/>
      <c r="BL974" s="14"/>
      <c r="BM974" s="14"/>
    </row>
    <row r="975" spans="3:65" s="13" customFormat="1" ht="30" customHeight="1" x14ac:dyDescent="0.2">
      <c r="C975" s="379"/>
      <c r="H975" s="379"/>
      <c r="N975" s="379"/>
      <c r="O975" s="394"/>
      <c r="Q975" s="379"/>
      <c r="BK975" s="14"/>
      <c r="BL975" s="14"/>
      <c r="BM975" s="14"/>
    </row>
    <row r="976" spans="3:65" s="13" customFormat="1" ht="30" customHeight="1" x14ac:dyDescent="0.2">
      <c r="C976" s="379"/>
      <c r="H976" s="379"/>
      <c r="N976" s="379"/>
      <c r="O976" s="394"/>
      <c r="Q976" s="379"/>
      <c r="BK976" s="14"/>
      <c r="BL976" s="14"/>
      <c r="BM976" s="14"/>
    </row>
    <row r="977" spans="3:65" s="13" customFormat="1" ht="30" customHeight="1" x14ac:dyDescent="0.2">
      <c r="C977" s="379"/>
      <c r="H977" s="379"/>
      <c r="N977" s="379"/>
      <c r="O977" s="394"/>
      <c r="Q977" s="379"/>
      <c r="BK977" s="14"/>
      <c r="BL977" s="14"/>
      <c r="BM977" s="14"/>
    </row>
    <row r="978" spans="3:65" s="13" customFormat="1" ht="30" customHeight="1" x14ac:dyDescent="0.2">
      <c r="C978" s="379"/>
      <c r="H978" s="379"/>
      <c r="N978" s="379"/>
      <c r="O978" s="394"/>
      <c r="Q978" s="379"/>
      <c r="BK978" s="14"/>
      <c r="BL978" s="14"/>
      <c r="BM978" s="14"/>
    </row>
    <row r="979" spans="3:65" s="13" customFormat="1" ht="30" customHeight="1" x14ac:dyDescent="0.2">
      <c r="C979" s="379"/>
      <c r="H979" s="379"/>
      <c r="N979" s="379"/>
      <c r="O979" s="394"/>
      <c r="Q979" s="379"/>
      <c r="BK979" s="14"/>
      <c r="BL979" s="14"/>
      <c r="BM979" s="14"/>
    </row>
    <row r="980" spans="3:65" s="13" customFormat="1" ht="30" customHeight="1" x14ac:dyDescent="0.2">
      <c r="C980" s="379"/>
      <c r="H980" s="379"/>
      <c r="N980" s="379"/>
      <c r="O980" s="394"/>
      <c r="Q980" s="379"/>
      <c r="BK980" s="14"/>
      <c r="BL980" s="14"/>
      <c r="BM980" s="14"/>
    </row>
    <row r="981" spans="3:65" s="13" customFormat="1" ht="30" customHeight="1" x14ac:dyDescent="0.2">
      <c r="C981" s="379"/>
      <c r="H981" s="379"/>
      <c r="N981" s="379"/>
      <c r="O981" s="394"/>
      <c r="Q981" s="379"/>
      <c r="BK981" s="14"/>
      <c r="BL981" s="14"/>
      <c r="BM981" s="14"/>
    </row>
    <row r="982" spans="3:65" s="13" customFormat="1" ht="30" customHeight="1" x14ac:dyDescent="0.2">
      <c r="C982" s="379"/>
      <c r="H982" s="379"/>
      <c r="N982" s="379"/>
      <c r="O982" s="394"/>
      <c r="Q982" s="379"/>
      <c r="BK982" s="14"/>
      <c r="BL982" s="14"/>
      <c r="BM982" s="14"/>
    </row>
    <row r="983" spans="3:65" s="13" customFormat="1" ht="30" customHeight="1" x14ac:dyDescent="0.2">
      <c r="C983" s="379"/>
      <c r="H983" s="379"/>
      <c r="N983" s="379"/>
      <c r="O983" s="394"/>
      <c r="Q983" s="379"/>
      <c r="BK983" s="14"/>
      <c r="BL983" s="14"/>
      <c r="BM983" s="14"/>
    </row>
    <row r="984" spans="3:65" s="13" customFormat="1" ht="30" customHeight="1" x14ac:dyDescent="0.2">
      <c r="C984" s="379"/>
      <c r="H984" s="379"/>
      <c r="N984" s="379"/>
      <c r="O984" s="394"/>
      <c r="Q984" s="379"/>
      <c r="BK984" s="14"/>
      <c r="BL984" s="14"/>
      <c r="BM984" s="14"/>
    </row>
    <row r="985" spans="3:65" s="13" customFormat="1" ht="30" customHeight="1" x14ac:dyDescent="0.2">
      <c r="C985" s="379"/>
      <c r="H985" s="379"/>
      <c r="N985" s="379"/>
      <c r="O985" s="394"/>
      <c r="Q985" s="379"/>
      <c r="BK985" s="14"/>
      <c r="BL985" s="14"/>
      <c r="BM985" s="14"/>
    </row>
    <row r="986" spans="3:65" s="13" customFormat="1" ht="30" customHeight="1" x14ac:dyDescent="0.2">
      <c r="C986" s="379"/>
      <c r="H986" s="379"/>
      <c r="N986" s="379"/>
      <c r="O986" s="394"/>
      <c r="Q986" s="379"/>
      <c r="BK986" s="14"/>
      <c r="BL986" s="14"/>
      <c r="BM986" s="14"/>
    </row>
    <row r="987" spans="3:65" s="13" customFormat="1" ht="30" customHeight="1" x14ac:dyDescent="0.2">
      <c r="C987" s="379"/>
      <c r="H987" s="379"/>
      <c r="N987" s="379"/>
      <c r="O987" s="394"/>
      <c r="Q987" s="379"/>
      <c r="BK987" s="14"/>
      <c r="BL987" s="14"/>
      <c r="BM987" s="14"/>
    </row>
    <row r="988" spans="3:65" s="13" customFormat="1" ht="30" customHeight="1" x14ac:dyDescent="0.2">
      <c r="C988" s="379"/>
      <c r="H988" s="379"/>
      <c r="N988" s="379"/>
      <c r="O988" s="394"/>
      <c r="Q988" s="379"/>
      <c r="BK988" s="14"/>
      <c r="BL988" s="14"/>
      <c r="BM988" s="14"/>
    </row>
    <row r="989" spans="3:65" s="13" customFormat="1" ht="30" customHeight="1" x14ac:dyDescent="0.2">
      <c r="C989" s="379"/>
      <c r="H989" s="379"/>
      <c r="N989" s="379"/>
      <c r="O989" s="394"/>
      <c r="Q989" s="379"/>
      <c r="BK989" s="14"/>
      <c r="BL989" s="14"/>
      <c r="BM989" s="14"/>
    </row>
    <row r="990" spans="3:65" s="13" customFormat="1" ht="30" customHeight="1" x14ac:dyDescent="0.2">
      <c r="C990" s="379"/>
      <c r="H990" s="379"/>
      <c r="N990" s="379"/>
      <c r="O990" s="394"/>
      <c r="Q990" s="379"/>
      <c r="BK990" s="14"/>
      <c r="BL990" s="14"/>
      <c r="BM990" s="14"/>
    </row>
    <row r="991" spans="3:65" s="13" customFormat="1" ht="30" customHeight="1" x14ac:dyDescent="0.2">
      <c r="C991" s="379"/>
      <c r="H991" s="379"/>
      <c r="N991" s="379"/>
      <c r="O991" s="394"/>
      <c r="Q991" s="379"/>
      <c r="BK991" s="14"/>
      <c r="BL991" s="14"/>
      <c r="BM991" s="14"/>
    </row>
    <row r="992" spans="3:65" s="13" customFormat="1" ht="30" customHeight="1" x14ac:dyDescent="0.2">
      <c r="C992" s="379"/>
      <c r="H992" s="379"/>
      <c r="N992" s="379"/>
      <c r="O992" s="394"/>
      <c r="Q992" s="379"/>
      <c r="BK992" s="14"/>
      <c r="BL992" s="14"/>
      <c r="BM992" s="14"/>
    </row>
    <row r="993" spans="3:65" s="13" customFormat="1" ht="30" customHeight="1" x14ac:dyDescent="0.2">
      <c r="C993" s="379"/>
      <c r="H993" s="379"/>
      <c r="N993" s="379"/>
      <c r="O993" s="394"/>
      <c r="Q993" s="379"/>
      <c r="BK993" s="14"/>
      <c r="BL993" s="14"/>
      <c r="BM993" s="14"/>
    </row>
    <row r="994" spans="3:65" s="13" customFormat="1" ht="30" customHeight="1" x14ac:dyDescent="0.2">
      <c r="C994" s="379"/>
      <c r="H994" s="379"/>
      <c r="N994" s="379"/>
      <c r="O994" s="394"/>
      <c r="Q994" s="379"/>
      <c r="BK994" s="14"/>
      <c r="BL994" s="14"/>
      <c r="BM994" s="14"/>
    </row>
    <row r="995" spans="3:65" s="13" customFormat="1" ht="30" customHeight="1" x14ac:dyDescent="0.2">
      <c r="C995" s="379"/>
      <c r="H995" s="379"/>
      <c r="N995" s="379"/>
      <c r="O995" s="394"/>
      <c r="Q995" s="379"/>
      <c r="BK995" s="14"/>
      <c r="BL995" s="14"/>
      <c r="BM995" s="14"/>
    </row>
    <row r="996" spans="3:65" s="13" customFormat="1" ht="30" customHeight="1" x14ac:dyDescent="0.2">
      <c r="C996" s="379"/>
      <c r="H996" s="379"/>
      <c r="N996" s="379"/>
      <c r="O996" s="394"/>
      <c r="Q996" s="379"/>
      <c r="BK996" s="14"/>
      <c r="BL996" s="14"/>
      <c r="BM996" s="14"/>
    </row>
    <row r="997" spans="3:65" s="13" customFormat="1" ht="30" customHeight="1" x14ac:dyDescent="0.2">
      <c r="C997" s="379"/>
      <c r="H997" s="379"/>
      <c r="N997" s="379"/>
      <c r="O997" s="394"/>
      <c r="Q997" s="379"/>
      <c r="BK997" s="14"/>
      <c r="BL997" s="14"/>
      <c r="BM997" s="14"/>
    </row>
    <row r="998" spans="3:65" s="13" customFormat="1" ht="30" customHeight="1" x14ac:dyDescent="0.2">
      <c r="C998" s="379"/>
      <c r="H998" s="379"/>
      <c r="N998" s="379"/>
      <c r="O998" s="394"/>
      <c r="Q998" s="379"/>
      <c r="BK998" s="14"/>
      <c r="BL998" s="14"/>
      <c r="BM998" s="14"/>
    </row>
    <row r="999" spans="3:65" s="13" customFormat="1" ht="30" customHeight="1" x14ac:dyDescent="0.2">
      <c r="C999" s="379"/>
      <c r="H999" s="379"/>
      <c r="N999" s="379"/>
      <c r="O999" s="394"/>
      <c r="Q999" s="379"/>
      <c r="BK999" s="14"/>
      <c r="BL999" s="14"/>
      <c r="BM999" s="14"/>
    </row>
    <row r="1000" spans="3:65" s="13" customFormat="1" ht="30" customHeight="1" x14ac:dyDescent="0.2">
      <c r="C1000" s="379"/>
      <c r="H1000" s="379"/>
      <c r="N1000" s="379"/>
      <c r="O1000" s="394"/>
      <c r="Q1000" s="379"/>
      <c r="BK1000" s="14"/>
      <c r="BL1000" s="14"/>
      <c r="BM1000" s="14"/>
    </row>
    <row r="1001" spans="3:65" s="13" customFormat="1" ht="30" customHeight="1" x14ac:dyDescent="0.2">
      <c r="C1001" s="379"/>
      <c r="H1001" s="379"/>
      <c r="N1001" s="379"/>
      <c r="O1001" s="394"/>
      <c r="Q1001" s="379"/>
      <c r="BK1001" s="14"/>
      <c r="BL1001" s="14"/>
      <c r="BM1001" s="14"/>
    </row>
    <row r="1002" spans="3:65" s="13" customFormat="1" ht="30" customHeight="1" x14ac:dyDescent="0.2">
      <c r="C1002" s="379"/>
      <c r="H1002" s="379"/>
      <c r="N1002" s="379"/>
      <c r="O1002" s="394"/>
      <c r="Q1002" s="379"/>
      <c r="BK1002" s="14"/>
      <c r="BL1002" s="14"/>
      <c r="BM1002" s="14"/>
    </row>
    <row r="1003" spans="3:65" s="13" customFormat="1" ht="30" customHeight="1" x14ac:dyDescent="0.2">
      <c r="C1003" s="379"/>
      <c r="H1003" s="379"/>
      <c r="N1003" s="379"/>
      <c r="O1003" s="394"/>
      <c r="Q1003" s="379"/>
      <c r="BK1003" s="14"/>
      <c r="BL1003" s="14"/>
      <c r="BM1003" s="14"/>
    </row>
    <row r="1004" spans="3:65" s="13" customFormat="1" ht="30" customHeight="1" x14ac:dyDescent="0.2">
      <c r="C1004" s="379"/>
      <c r="H1004" s="379"/>
      <c r="N1004" s="379"/>
      <c r="O1004" s="394"/>
      <c r="Q1004" s="379"/>
      <c r="BK1004" s="14"/>
      <c r="BL1004" s="14"/>
      <c r="BM1004" s="14"/>
    </row>
    <row r="1005" spans="3:65" s="13" customFormat="1" ht="30" customHeight="1" x14ac:dyDescent="0.2">
      <c r="C1005" s="379"/>
      <c r="H1005" s="379"/>
      <c r="N1005" s="379"/>
      <c r="O1005" s="394"/>
      <c r="Q1005" s="379"/>
      <c r="BK1005" s="14"/>
      <c r="BL1005" s="14"/>
      <c r="BM1005" s="14"/>
    </row>
    <row r="1006" spans="3:65" s="13" customFormat="1" ht="30" customHeight="1" x14ac:dyDescent="0.2">
      <c r="C1006" s="379"/>
      <c r="H1006" s="379"/>
      <c r="N1006" s="379"/>
      <c r="O1006" s="394"/>
      <c r="Q1006" s="379"/>
      <c r="BK1006" s="14"/>
      <c r="BL1006" s="14"/>
      <c r="BM1006" s="14"/>
    </row>
    <row r="1007" spans="3:65" s="13" customFormat="1" ht="30" customHeight="1" x14ac:dyDescent="0.2">
      <c r="C1007" s="379"/>
      <c r="H1007" s="379"/>
      <c r="N1007" s="379"/>
      <c r="O1007" s="394"/>
      <c r="Q1007" s="379"/>
      <c r="BK1007" s="14"/>
      <c r="BL1007" s="14"/>
      <c r="BM1007" s="14"/>
    </row>
    <row r="1008" spans="3:65" s="13" customFormat="1" ht="30" customHeight="1" x14ac:dyDescent="0.2">
      <c r="C1008" s="379"/>
      <c r="H1008" s="379"/>
      <c r="N1008" s="379"/>
      <c r="O1008" s="394"/>
      <c r="Q1008" s="379"/>
      <c r="BK1008" s="14"/>
      <c r="BL1008" s="14"/>
      <c r="BM1008" s="14"/>
    </row>
    <row r="1009" spans="3:65" s="13" customFormat="1" ht="30" customHeight="1" x14ac:dyDescent="0.2">
      <c r="C1009" s="379"/>
      <c r="H1009" s="379"/>
      <c r="N1009" s="379"/>
      <c r="O1009" s="394"/>
      <c r="Q1009" s="379"/>
      <c r="BK1009" s="14"/>
      <c r="BL1009" s="14"/>
      <c r="BM1009" s="14"/>
    </row>
    <row r="1010" spans="3:65" s="13" customFormat="1" ht="30" customHeight="1" x14ac:dyDescent="0.2">
      <c r="C1010" s="379"/>
      <c r="H1010" s="379"/>
      <c r="N1010" s="379"/>
      <c r="O1010" s="394"/>
      <c r="Q1010" s="379"/>
      <c r="BK1010" s="14"/>
      <c r="BL1010" s="14"/>
      <c r="BM1010" s="14"/>
    </row>
    <row r="1011" spans="3:65" s="13" customFormat="1" ht="30" customHeight="1" x14ac:dyDescent="0.2">
      <c r="C1011" s="379"/>
      <c r="H1011" s="379"/>
      <c r="N1011" s="379"/>
      <c r="O1011" s="394"/>
      <c r="Q1011" s="379"/>
      <c r="BK1011" s="14"/>
      <c r="BL1011" s="14"/>
      <c r="BM1011" s="14"/>
    </row>
    <row r="1012" spans="3:65" s="13" customFormat="1" ht="30" customHeight="1" x14ac:dyDescent="0.2">
      <c r="C1012" s="379"/>
      <c r="H1012" s="379"/>
      <c r="N1012" s="379"/>
      <c r="O1012" s="394"/>
      <c r="Q1012" s="379"/>
      <c r="BK1012" s="14"/>
      <c r="BL1012" s="14"/>
      <c r="BM1012" s="14"/>
    </row>
    <row r="1013" spans="3:65" s="13" customFormat="1" ht="30" customHeight="1" x14ac:dyDescent="0.2">
      <c r="C1013" s="379"/>
      <c r="H1013" s="379"/>
      <c r="N1013" s="379"/>
      <c r="O1013" s="394"/>
      <c r="Q1013" s="379"/>
      <c r="BK1013" s="14"/>
      <c r="BL1013" s="14"/>
      <c r="BM1013" s="14"/>
    </row>
    <row r="1014" spans="3:65" s="13" customFormat="1" ht="30" customHeight="1" x14ac:dyDescent="0.2">
      <c r="C1014" s="379"/>
      <c r="H1014" s="379"/>
      <c r="N1014" s="379"/>
      <c r="O1014" s="394"/>
      <c r="Q1014" s="379"/>
      <c r="BK1014" s="14"/>
      <c r="BL1014" s="14"/>
      <c r="BM1014" s="14"/>
    </row>
    <row r="1015" spans="3:65" s="13" customFormat="1" ht="30" customHeight="1" x14ac:dyDescent="0.2">
      <c r="C1015" s="379"/>
      <c r="H1015" s="379"/>
      <c r="N1015" s="379"/>
      <c r="O1015" s="394"/>
      <c r="Q1015" s="379"/>
      <c r="BK1015" s="14"/>
      <c r="BL1015" s="14"/>
      <c r="BM1015" s="14"/>
    </row>
    <row r="1016" spans="3:65" s="13" customFormat="1" ht="30" customHeight="1" x14ac:dyDescent="0.2">
      <c r="C1016" s="379"/>
      <c r="H1016" s="379"/>
      <c r="N1016" s="379"/>
      <c r="O1016" s="394"/>
      <c r="Q1016" s="379"/>
      <c r="BK1016" s="14"/>
      <c r="BL1016" s="14"/>
      <c r="BM1016" s="14"/>
    </row>
    <row r="1017" spans="3:65" s="13" customFormat="1" ht="30" customHeight="1" x14ac:dyDescent="0.2">
      <c r="C1017" s="379"/>
      <c r="H1017" s="379"/>
      <c r="N1017" s="379"/>
      <c r="O1017" s="394"/>
      <c r="Q1017" s="379"/>
      <c r="BK1017" s="14"/>
      <c r="BL1017" s="14"/>
      <c r="BM1017" s="14"/>
    </row>
    <row r="1018" spans="3:65" s="13" customFormat="1" ht="30" customHeight="1" x14ac:dyDescent="0.2">
      <c r="C1018" s="379"/>
      <c r="H1018" s="379"/>
      <c r="N1018" s="379"/>
      <c r="O1018" s="394"/>
      <c r="Q1018" s="379"/>
      <c r="BK1018" s="14"/>
      <c r="BL1018" s="14"/>
      <c r="BM1018" s="14"/>
    </row>
    <row r="1019" spans="3:65" s="13" customFormat="1" ht="30" customHeight="1" x14ac:dyDescent="0.2">
      <c r="C1019" s="379"/>
      <c r="H1019" s="379"/>
      <c r="N1019" s="379"/>
      <c r="O1019" s="394"/>
      <c r="Q1019" s="379"/>
      <c r="BK1019" s="14"/>
      <c r="BL1019" s="14"/>
      <c r="BM1019" s="14"/>
    </row>
    <row r="1020" spans="3:65" s="13" customFormat="1" ht="30" customHeight="1" x14ac:dyDescent="0.2">
      <c r="C1020" s="379"/>
      <c r="H1020" s="379"/>
      <c r="N1020" s="379"/>
      <c r="O1020" s="394"/>
      <c r="Q1020" s="379"/>
      <c r="BK1020" s="14"/>
      <c r="BL1020" s="14"/>
      <c r="BM1020" s="14"/>
    </row>
    <row r="1021" spans="3:65" s="13" customFormat="1" ht="30" customHeight="1" x14ac:dyDescent="0.2">
      <c r="C1021" s="379"/>
      <c r="H1021" s="379"/>
      <c r="N1021" s="379"/>
      <c r="O1021" s="394"/>
      <c r="Q1021" s="379"/>
      <c r="BK1021" s="14"/>
      <c r="BL1021" s="14"/>
      <c r="BM1021" s="14"/>
    </row>
    <row r="1022" spans="3:65" s="13" customFormat="1" ht="30" customHeight="1" x14ac:dyDescent="0.2">
      <c r="C1022" s="379"/>
      <c r="H1022" s="379"/>
      <c r="N1022" s="379"/>
      <c r="O1022" s="394"/>
      <c r="Q1022" s="379"/>
      <c r="BK1022" s="14"/>
      <c r="BL1022" s="14"/>
      <c r="BM1022" s="14"/>
    </row>
    <row r="1023" spans="3:65" s="13" customFormat="1" ht="30" customHeight="1" x14ac:dyDescent="0.2">
      <c r="C1023" s="379"/>
      <c r="H1023" s="379"/>
      <c r="N1023" s="379"/>
      <c r="O1023" s="394"/>
      <c r="Q1023" s="379"/>
      <c r="BK1023" s="14"/>
      <c r="BL1023" s="14"/>
      <c r="BM1023" s="14"/>
    </row>
    <row r="1024" spans="3:65" s="13" customFormat="1" ht="30" customHeight="1" x14ac:dyDescent="0.2">
      <c r="C1024" s="379"/>
      <c r="H1024" s="379"/>
      <c r="N1024" s="379"/>
      <c r="O1024" s="394"/>
      <c r="Q1024" s="379"/>
      <c r="BK1024" s="14"/>
      <c r="BL1024" s="14"/>
      <c r="BM1024" s="14"/>
    </row>
    <row r="1025" spans="3:65" s="13" customFormat="1" ht="30" customHeight="1" x14ac:dyDescent="0.2">
      <c r="C1025" s="379"/>
      <c r="H1025" s="379"/>
      <c r="N1025" s="379"/>
      <c r="O1025" s="394"/>
      <c r="Q1025" s="379"/>
      <c r="BK1025" s="14"/>
      <c r="BL1025" s="14"/>
      <c r="BM1025" s="14"/>
    </row>
    <row r="1026" spans="3:65" s="13" customFormat="1" ht="30" customHeight="1" x14ac:dyDescent="0.2">
      <c r="C1026" s="379"/>
      <c r="H1026" s="379"/>
      <c r="N1026" s="379"/>
      <c r="O1026" s="394"/>
      <c r="Q1026" s="379"/>
      <c r="BK1026" s="14"/>
      <c r="BL1026" s="14"/>
      <c r="BM1026" s="14"/>
    </row>
    <row r="1027" spans="3:65" s="13" customFormat="1" ht="30" customHeight="1" x14ac:dyDescent="0.2">
      <c r="C1027" s="379"/>
      <c r="H1027" s="379"/>
      <c r="N1027" s="379"/>
      <c r="O1027" s="394"/>
      <c r="Q1027" s="379"/>
      <c r="BK1027" s="14"/>
      <c r="BL1027" s="14"/>
      <c r="BM1027" s="14"/>
    </row>
    <row r="1028" spans="3:65" s="13" customFormat="1" ht="30" customHeight="1" x14ac:dyDescent="0.2">
      <c r="C1028" s="379"/>
      <c r="H1028" s="379"/>
      <c r="N1028" s="379"/>
      <c r="O1028" s="394"/>
      <c r="Q1028" s="379"/>
      <c r="BK1028" s="14"/>
      <c r="BL1028" s="14"/>
      <c r="BM1028" s="14"/>
    </row>
    <row r="1029" spans="3:65" s="13" customFormat="1" ht="30" customHeight="1" x14ac:dyDescent="0.2">
      <c r="C1029" s="379"/>
      <c r="H1029" s="379"/>
      <c r="N1029" s="379"/>
      <c r="O1029" s="394"/>
      <c r="Q1029" s="379"/>
      <c r="BK1029" s="14"/>
      <c r="BL1029" s="14"/>
      <c r="BM1029" s="14"/>
    </row>
    <row r="1030" spans="3:65" s="13" customFormat="1" ht="30" customHeight="1" x14ac:dyDescent="0.2">
      <c r="C1030" s="379"/>
      <c r="H1030" s="379"/>
      <c r="N1030" s="379"/>
      <c r="O1030" s="394"/>
      <c r="Q1030" s="379"/>
      <c r="BK1030" s="14"/>
      <c r="BL1030" s="14"/>
      <c r="BM1030" s="14"/>
    </row>
    <row r="1031" spans="3:65" s="13" customFormat="1" ht="30" customHeight="1" x14ac:dyDescent="0.2">
      <c r="C1031" s="379"/>
      <c r="H1031" s="379"/>
      <c r="N1031" s="379"/>
      <c r="O1031" s="394"/>
      <c r="Q1031" s="379"/>
      <c r="BK1031" s="14"/>
      <c r="BL1031" s="14"/>
      <c r="BM1031" s="14"/>
    </row>
    <row r="1032" spans="3:65" s="13" customFormat="1" ht="30" customHeight="1" x14ac:dyDescent="0.2">
      <c r="C1032" s="379"/>
      <c r="H1032" s="379"/>
      <c r="N1032" s="379"/>
      <c r="O1032" s="394"/>
      <c r="Q1032" s="379"/>
      <c r="BK1032" s="14"/>
      <c r="BL1032" s="14"/>
      <c r="BM1032" s="14"/>
    </row>
    <row r="1033" spans="3:65" s="13" customFormat="1" ht="30" customHeight="1" x14ac:dyDescent="0.2">
      <c r="C1033" s="379"/>
      <c r="H1033" s="379"/>
      <c r="N1033" s="379"/>
      <c r="O1033" s="394"/>
      <c r="Q1033" s="379"/>
      <c r="BK1033" s="14"/>
      <c r="BL1033" s="14"/>
      <c r="BM1033" s="14"/>
    </row>
    <row r="1034" spans="3:65" s="13" customFormat="1" ht="30" customHeight="1" x14ac:dyDescent="0.2">
      <c r="C1034" s="379"/>
      <c r="H1034" s="379"/>
      <c r="N1034" s="379"/>
      <c r="O1034" s="394"/>
      <c r="Q1034" s="379"/>
      <c r="BK1034" s="14"/>
      <c r="BL1034" s="14"/>
      <c r="BM1034" s="14"/>
    </row>
    <row r="1035" spans="3:65" s="13" customFormat="1" ht="30" customHeight="1" x14ac:dyDescent="0.2">
      <c r="C1035" s="379"/>
      <c r="H1035" s="379"/>
      <c r="N1035" s="379"/>
      <c r="O1035" s="394"/>
      <c r="Q1035" s="379"/>
      <c r="BK1035" s="14"/>
      <c r="BL1035" s="14"/>
      <c r="BM1035" s="14"/>
    </row>
    <row r="1036" spans="3:65" s="13" customFormat="1" ht="30" customHeight="1" x14ac:dyDescent="0.2">
      <c r="C1036" s="379"/>
      <c r="H1036" s="379"/>
      <c r="N1036" s="379"/>
      <c r="O1036" s="394"/>
      <c r="Q1036" s="379"/>
      <c r="BK1036" s="14"/>
      <c r="BL1036" s="14"/>
      <c r="BM1036" s="14"/>
    </row>
    <row r="1037" spans="3:65" s="13" customFormat="1" ht="30" customHeight="1" x14ac:dyDescent="0.2">
      <c r="C1037" s="379"/>
      <c r="H1037" s="379"/>
      <c r="N1037" s="379"/>
      <c r="O1037" s="394"/>
      <c r="Q1037" s="379"/>
      <c r="BK1037" s="14"/>
      <c r="BL1037" s="14"/>
      <c r="BM1037" s="14"/>
    </row>
    <row r="1038" spans="3:65" s="13" customFormat="1" ht="30" customHeight="1" x14ac:dyDescent="0.2">
      <c r="C1038" s="379"/>
      <c r="H1038" s="379"/>
      <c r="N1038" s="379"/>
      <c r="O1038" s="394"/>
      <c r="Q1038" s="379"/>
      <c r="BK1038" s="14"/>
      <c r="BL1038" s="14"/>
      <c r="BM1038" s="14"/>
    </row>
    <row r="1039" spans="3:65" s="13" customFormat="1" ht="30" customHeight="1" x14ac:dyDescent="0.2">
      <c r="C1039" s="379"/>
      <c r="H1039" s="379"/>
      <c r="N1039" s="379"/>
      <c r="O1039" s="394"/>
      <c r="Q1039" s="379"/>
      <c r="BK1039" s="14"/>
      <c r="BL1039" s="14"/>
      <c r="BM1039" s="14"/>
    </row>
    <row r="1040" spans="3:65" s="13" customFormat="1" ht="30" customHeight="1" x14ac:dyDescent="0.2">
      <c r="C1040" s="379"/>
      <c r="H1040" s="379"/>
      <c r="N1040" s="379"/>
      <c r="O1040" s="394"/>
      <c r="Q1040" s="379"/>
      <c r="BK1040" s="14"/>
      <c r="BL1040" s="14"/>
      <c r="BM1040" s="14"/>
    </row>
    <row r="1041" spans="3:65" s="13" customFormat="1" ht="30" customHeight="1" x14ac:dyDescent="0.2">
      <c r="C1041" s="379"/>
      <c r="H1041" s="379"/>
      <c r="N1041" s="379"/>
      <c r="O1041" s="394"/>
      <c r="Q1041" s="379"/>
      <c r="BK1041" s="14"/>
      <c r="BL1041" s="14"/>
      <c r="BM1041" s="14"/>
    </row>
    <row r="1042" spans="3:65" s="13" customFormat="1" ht="30" customHeight="1" x14ac:dyDescent="0.2">
      <c r="C1042" s="379"/>
      <c r="H1042" s="379"/>
      <c r="N1042" s="379"/>
      <c r="O1042" s="394"/>
      <c r="Q1042" s="379"/>
      <c r="BK1042" s="14"/>
      <c r="BL1042" s="14"/>
      <c r="BM1042" s="14"/>
    </row>
    <row r="1043" spans="3:65" s="13" customFormat="1" ht="30" customHeight="1" x14ac:dyDescent="0.2">
      <c r="C1043" s="379"/>
      <c r="H1043" s="379"/>
      <c r="N1043" s="379"/>
      <c r="O1043" s="394"/>
      <c r="Q1043" s="379"/>
      <c r="BK1043" s="14"/>
      <c r="BL1043" s="14"/>
      <c r="BM1043" s="14"/>
    </row>
    <row r="1044" spans="3:65" s="13" customFormat="1" ht="30" customHeight="1" x14ac:dyDescent="0.2">
      <c r="C1044" s="379"/>
      <c r="H1044" s="379"/>
      <c r="N1044" s="379"/>
      <c r="O1044" s="394"/>
      <c r="Q1044" s="379"/>
      <c r="BK1044" s="14"/>
      <c r="BL1044" s="14"/>
      <c r="BM1044" s="14"/>
    </row>
    <row r="1045" spans="3:65" s="13" customFormat="1" ht="30" customHeight="1" x14ac:dyDescent="0.2">
      <c r="C1045" s="379"/>
      <c r="H1045" s="379"/>
      <c r="N1045" s="379"/>
      <c r="O1045" s="394"/>
      <c r="Q1045" s="379"/>
      <c r="BK1045" s="14"/>
      <c r="BL1045" s="14"/>
      <c r="BM1045" s="14"/>
    </row>
    <row r="1046" spans="3:65" s="13" customFormat="1" ht="30" customHeight="1" x14ac:dyDescent="0.2">
      <c r="C1046" s="379"/>
      <c r="H1046" s="379"/>
      <c r="N1046" s="379"/>
      <c r="O1046" s="394"/>
      <c r="Q1046" s="379"/>
      <c r="BK1046" s="14"/>
      <c r="BL1046" s="14"/>
      <c r="BM1046" s="14"/>
    </row>
    <row r="1047" spans="3:65" s="13" customFormat="1" ht="30" customHeight="1" x14ac:dyDescent="0.2">
      <c r="C1047" s="379"/>
      <c r="H1047" s="379"/>
      <c r="N1047" s="379"/>
      <c r="O1047" s="394"/>
      <c r="Q1047" s="379"/>
      <c r="BK1047" s="14"/>
      <c r="BL1047" s="14"/>
      <c r="BM1047" s="14"/>
    </row>
    <row r="1048" spans="3:65" s="13" customFormat="1" ht="30" customHeight="1" x14ac:dyDescent="0.2">
      <c r="C1048" s="379"/>
      <c r="H1048" s="379"/>
      <c r="N1048" s="379"/>
      <c r="O1048" s="394"/>
      <c r="Q1048" s="379"/>
      <c r="BK1048" s="14"/>
      <c r="BL1048" s="14"/>
      <c r="BM1048" s="14"/>
    </row>
    <row r="1049" spans="3:65" s="13" customFormat="1" ht="30" customHeight="1" x14ac:dyDescent="0.2">
      <c r="C1049" s="379"/>
      <c r="H1049" s="379"/>
      <c r="N1049" s="379"/>
      <c r="O1049" s="394"/>
      <c r="Q1049" s="379"/>
      <c r="BK1049" s="14"/>
      <c r="BL1049" s="14"/>
      <c r="BM1049" s="14"/>
    </row>
    <row r="1050" spans="3:65" s="13" customFormat="1" ht="30" customHeight="1" x14ac:dyDescent="0.2">
      <c r="C1050" s="379"/>
      <c r="H1050" s="379"/>
      <c r="N1050" s="379"/>
      <c r="O1050" s="394"/>
      <c r="Q1050" s="379"/>
      <c r="BK1050" s="14"/>
      <c r="BL1050" s="14"/>
      <c r="BM1050" s="14"/>
    </row>
    <row r="1051" spans="3:65" s="13" customFormat="1" ht="30" customHeight="1" x14ac:dyDescent="0.2">
      <c r="C1051" s="379"/>
      <c r="H1051" s="379"/>
      <c r="N1051" s="379"/>
      <c r="O1051" s="394"/>
      <c r="Q1051" s="379"/>
      <c r="BK1051" s="14"/>
      <c r="BL1051" s="14"/>
      <c r="BM1051" s="14"/>
    </row>
    <row r="1052" spans="3:65" s="13" customFormat="1" ht="30" customHeight="1" x14ac:dyDescent="0.2">
      <c r="C1052" s="379"/>
      <c r="H1052" s="379"/>
      <c r="N1052" s="379"/>
      <c r="O1052" s="394"/>
      <c r="Q1052" s="379"/>
      <c r="BK1052" s="14"/>
      <c r="BL1052" s="14"/>
      <c r="BM1052" s="14"/>
    </row>
    <row r="1053" spans="3:65" s="13" customFormat="1" ht="30" customHeight="1" x14ac:dyDescent="0.2">
      <c r="C1053" s="379"/>
      <c r="H1053" s="379"/>
      <c r="N1053" s="379"/>
      <c r="O1053" s="394"/>
      <c r="Q1053" s="379"/>
      <c r="BK1053" s="14"/>
      <c r="BL1053" s="14"/>
      <c r="BM1053" s="14"/>
    </row>
    <row r="1054" spans="3:65" s="13" customFormat="1" ht="30" customHeight="1" x14ac:dyDescent="0.2">
      <c r="C1054" s="379"/>
      <c r="H1054" s="379"/>
      <c r="N1054" s="379"/>
      <c r="O1054" s="394"/>
      <c r="Q1054" s="379"/>
      <c r="BK1054" s="14"/>
      <c r="BL1054" s="14"/>
      <c r="BM1054" s="14"/>
    </row>
    <row r="1055" spans="3:65" s="13" customFormat="1" ht="30" customHeight="1" x14ac:dyDescent="0.2">
      <c r="C1055" s="379"/>
      <c r="H1055" s="379"/>
      <c r="N1055" s="379"/>
      <c r="O1055" s="394"/>
      <c r="Q1055" s="379"/>
      <c r="BK1055" s="14"/>
      <c r="BL1055" s="14"/>
      <c r="BM1055" s="14"/>
    </row>
    <row r="1056" spans="3:65" s="13" customFormat="1" ht="30" customHeight="1" x14ac:dyDescent="0.2">
      <c r="C1056" s="379"/>
      <c r="H1056" s="379"/>
      <c r="N1056" s="379"/>
      <c r="O1056" s="394"/>
      <c r="Q1056" s="379"/>
      <c r="BK1056" s="14"/>
      <c r="BL1056" s="14"/>
      <c r="BM1056" s="14"/>
    </row>
    <row r="1057" spans="3:65" s="13" customFormat="1" ht="30" customHeight="1" x14ac:dyDescent="0.2">
      <c r="C1057" s="379"/>
      <c r="H1057" s="379"/>
      <c r="N1057" s="379"/>
      <c r="O1057" s="394"/>
      <c r="Q1057" s="379"/>
      <c r="BK1057" s="14"/>
      <c r="BL1057" s="14"/>
      <c r="BM1057" s="14"/>
    </row>
    <row r="1058" spans="3:65" s="13" customFormat="1" ht="30" customHeight="1" x14ac:dyDescent="0.2">
      <c r="C1058" s="379"/>
      <c r="H1058" s="379"/>
      <c r="N1058" s="379"/>
      <c r="O1058" s="394"/>
      <c r="Q1058" s="379"/>
      <c r="BK1058" s="14"/>
      <c r="BL1058" s="14"/>
      <c r="BM1058" s="14"/>
    </row>
    <row r="1059" spans="3:65" s="13" customFormat="1" ht="30" customHeight="1" x14ac:dyDescent="0.2">
      <c r="C1059" s="379"/>
      <c r="H1059" s="379"/>
      <c r="N1059" s="379"/>
      <c r="O1059" s="394"/>
      <c r="Q1059" s="379"/>
      <c r="BK1059" s="14"/>
      <c r="BL1059" s="14"/>
      <c r="BM1059" s="14"/>
    </row>
    <row r="1060" spans="3:65" s="13" customFormat="1" ht="30" customHeight="1" x14ac:dyDescent="0.2">
      <c r="C1060" s="379"/>
      <c r="H1060" s="379"/>
      <c r="N1060" s="379"/>
      <c r="O1060" s="394"/>
      <c r="Q1060" s="379"/>
      <c r="BK1060" s="14"/>
      <c r="BL1060" s="14"/>
      <c r="BM1060" s="14"/>
    </row>
    <row r="1061" spans="3:65" s="13" customFormat="1" ht="30" customHeight="1" x14ac:dyDescent="0.2">
      <c r="C1061" s="379"/>
      <c r="H1061" s="379"/>
      <c r="N1061" s="379"/>
      <c r="O1061" s="394"/>
      <c r="Q1061" s="379"/>
      <c r="BK1061" s="14"/>
      <c r="BL1061" s="14"/>
      <c r="BM1061" s="14"/>
    </row>
    <row r="1062" spans="3:65" s="13" customFormat="1" ht="30" customHeight="1" x14ac:dyDescent="0.2">
      <c r="C1062" s="379"/>
      <c r="H1062" s="379"/>
      <c r="N1062" s="379"/>
      <c r="O1062" s="394"/>
      <c r="Q1062" s="379"/>
      <c r="BK1062" s="14"/>
      <c r="BL1062" s="14"/>
      <c r="BM1062" s="14"/>
    </row>
    <row r="1063" spans="3:65" s="13" customFormat="1" ht="30" customHeight="1" x14ac:dyDescent="0.2">
      <c r="C1063" s="379"/>
      <c r="H1063" s="379"/>
      <c r="N1063" s="379"/>
      <c r="O1063" s="394"/>
      <c r="Q1063" s="379"/>
      <c r="BK1063" s="14"/>
      <c r="BL1063" s="14"/>
      <c r="BM1063" s="14"/>
    </row>
    <row r="1064" spans="3:65" s="13" customFormat="1" ht="30" customHeight="1" x14ac:dyDescent="0.2">
      <c r="C1064" s="379"/>
      <c r="H1064" s="379"/>
      <c r="N1064" s="379"/>
      <c r="O1064" s="394"/>
      <c r="Q1064" s="379"/>
      <c r="BK1064" s="14"/>
      <c r="BL1064" s="14"/>
      <c r="BM1064" s="14"/>
    </row>
    <row r="1065" spans="3:65" s="13" customFormat="1" ht="30" customHeight="1" x14ac:dyDescent="0.2">
      <c r="C1065" s="379"/>
      <c r="H1065" s="379"/>
      <c r="N1065" s="379"/>
      <c r="O1065" s="394"/>
      <c r="Q1065" s="379"/>
      <c r="BK1065" s="14"/>
      <c r="BL1065" s="14"/>
      <c r="BM1065" s="14"/>
    </row>
    <row r="1066" spans="3:65" s="13" customFormat="1" ht="30" customHeight="1" x14ac:dyDescent="0.2">
      <c r="C1066" s="379"/>
      <c r="H1066" s="379"/>
      <c r="N1066" s="379"/>
      <c r="O1066" s="394"/>
      <c r="Q1066" s="379"/>
      <c r="BK1066" s="14"/>
      <c r="BL1066" s="14"/>
      <c r="BM1066" s="14"/>
    </row>
    <row r="1067" spans="3:65" s="13" customFormat="1" ht="30" customHeight="1" x14ac:dyDescent="0.2">
      <c r="C1067" s="379"/>
      <c r="H1067" s="379"/>
      <c r="N1067" s="379"/>
      <c r="O1067" s="394"/>
      <c r="Q1067" s="379"/>
      <c r="BK1067" s="14"/>
      <c r="BL1067" s="14"/>
      <c r="BM1067" s="14"/>
    </row>
    <row r="1068" spans="3:65" s="13" customFormat="1" ht="30" customHeight="1" x14ac:dyDescent="0.2">
      <c r="C1068" s="379"/>
      <c r="H1068" s="379"/>
      <c r="N1068" s="379"/>
      <c r="O1068" s="394"/>
      <c r="Q1068" s="379"/>
      <c r="BK1068" s="14"/>
      <c r="BL1068" s="14"/>
      <c r="BM1068" s="14"/>
    </row>
    <row r="1069" spans="3:65" s="13" customFormat="1" ht="30" customHeight="1" x14ac:dyDescent="0.2">
      <c r="C1069" s="379"/>
      <c r="H1069" s="379"/>
      <c r="N1069" s="379"/>
      <c r="O1069" s="394"/>
      <c r="Q1069" s="379"/>
      <c r="BK1069" s="14"/>
      <c r="BL1069" s="14"/>
      <c r="BM1069" s="14"/>
    </row>
    <row r="1070" spans="3:65" s="13" customFormat="1" ht="30" customHeight="1" x14ac:dyDescent="0.2">
      <c r="C1070" s="379"/>
      <c r="H1070" s="379"/>
      <c r="N1070" s="379"/>
      <c r="O1070" s="394"/>
      <c r="Q1070" s="379"/>
      <c r="BK1070" s="14"/>
      <c r="BL1070" s="14"/>
      <c r="BM1070" s="14"/>
    </row>
    <row r="1071" spans="3:65" s="13" customFormat="1" ht="30" customHeight="1" x14ac:dyDescent="0.2">
      <c r="C1071" s="379"/>
      <c r="H1071" s="379"/>
      <c r="N1071" s="379"/>
      <c r="O1071" s="394"/>
      <c r="Q1071" s="379"/>
      <c r="BK1071" s="14"/>
      <c r="BL1071" s="14"/>
      <c r="BM1071" s="14"/>
    </row>
    <row r="1072" spans="3:65" s="13" customFormat="1" ht="30" customHeight="1" x14ac:dyDescent="0.2">
      <c r="C1072" s="379"/>
      <c r="H1072" s="379"/>
      <c r="N1072" s="379"/>
      <c r="O1072" s="394"/>
      <c r="Q1072" s="379"/>
      <c r="BK1072" s="14"/>
      <c r="BL1072" s="14"/>
      <c r="BM1072" s="14"/>
    </row>
    <row r="1073" spans="3:65" s="13" customFormat="1" ht="30" customHeight="1" x14ac:dyDescent="0.2">
      <c r="C1073" s="379"/>
      <c r="H1073" s="379"/>
      <c r="N1073" s="379"/>
      <c r="O1073" s="394"/>
      <c r="Q1073" s="379"/>
      <c r="BK1073" s="14"/>
      <c r="BL1073" s="14"/>
      <c r="BM1073" s="14"/>
    </row>
    <row r="1074" spans="3:65" s="13" customFormat="1" ht="30" customHeight="1" x14ac:dyDescent="0.2">
      <c r="C1074" s="379"/>
      <c r="H1074" s="379"/>
      <c r="N1074" s="379"/>
      <c r="O1074" s="394"/>
      <c r="Q1074" s="379"/>
      <c r="BK1074" s="14"/>
      <c r="BL1074" s="14"/>
      <c r="BM1074" s="14"/>
    </row>
    <row r="1075" spans="3:65" s="13" customFormat="1" ht="30" customHeight="1" x14ac:dyDescent="0.2">
      <c r="C1075" s="379"/>
      <c r="H1075" s="379"/>
      <c r="N1075" s="379"/>
      <c r="O1075" s="394"/>
      <c r="Q1075" s="379"/>
      <c r="BK1075" s="14"/>
      <c r="BL1075" s="14"/>
      <c r="BM1075" s="14"/>
    </row>
    <row r="1076" spans="3:65" s="13" customFormat="1" ht="30" customHeight="1" x14ac:dyDescent="0.2">
      <c r="C1076" s="379"/>
      <c r="H1076" s="379"/>
      <c r="N1076" s="379"/>
      <c r="O1076" s="394"/>
      <c r="Q1076" s="379"/>
      <c r="BK1076" s="14"/>
      <c r="BL1076" s="14"/>
      <c r="BM1076" s="14"/>
    </row>
    <row r="1077" spans="3:65" s="13" customFormat="1" ht="30" customHeight="1" x14ac:dyDescent="0.2">
      <c r="C1077" s="379"/>
      <c r="H1077" s="379"/>
      <c r="N1077" s="379"/>
      <c r="O1077" s="394"/>
      <c r="Q1077" s="379"/>
      <c r="BK1077" s="14"/>
      <c r="BL1077" s="14"/>
      <c r="BM1077" s="14"/>
    </row>
    <row r="1078" spans="3:65" s="13" customFormat="1" ht="30" customHeight="1" x14ac:dyDescent="0.2">
      <c r="C1078" s="379"/>
      <c r="H1078" s="379"/>
      <c r="N1078" s="379"/>
      <c r="O1078" s="394"/>
      <c r="Q1078" s="379"/>
      <c r="BK1078" s="14"/>
      <c r="BL1078" s="14"/>
      <c r="BM1078" s="14"/>
    </row>
    <row r="1079" spans="3:65" s="13" customFormat="1" ht="30" customHeight="1" x14ac:dyDescent="0.2">
      <c r="C1079" s="379"/>
      <c r="H1079" s="379"/>
      <c r="N1079" s="379"/>
      <c r="O1079" s="394"/>
      <c r="Q1079" s="379"/>
      <c r="BK1079" s="14"/>
      <c r="BL1079" s="14"/>
      <c r="BM1079" s="14"/>
    </row>
    <row r="1080" spans="3:65" s="13" customFormat="1" ht="30" customHeight="1" x14ac:dyDescent="0.2">
      <c r="C1080" s="379"/>
      <c r="H1080" s="379"/>
      <c r="N1080" s="379"/>
      <c r="O1080" s="394"/>
      <c r="Q1080" s="379"/>
      <c r="BK1080" s="14"/>
      <c r="BL1080" s="14"/>
      <c r="BM1080" s="14"/>
    </row>
    <row r="1081" spans="3:65" s="13" customFormat="1" ht="30" customHeight="1" x14ac:dyDescent="0.2">
      <c r="C1081" s="379"/>
      <c r="H1081" s="379"/>
      <c r="N1081" s="379"/>
      <c r="O1081" s="394"/>
      <c r="Q1081" s="379"/>
      <c r="BK1081" s="14"/>
      <c r="BL1081" s="14"/>
      <c r="BM1081" s="14"/>
    </row>
    <row r="1082" spans="3:65" s="13" customFormat="1" ht="30" customHeight="1" x14ac:dyDescent="0.2">
      <c r="C1082" s="379"/>
      <c r="H1082" s="379"/>
      <c r="N1082" s="379"/>
      <c r="O1082" s="394"/>
      <c r="Q1082" s="379"/>
      <c r="BK1082" s="14"/>
      <c r="BL1082" s="14"/>
      <c r="BM1082" s="14"/>
    </row>
    <row r="1083" spans="3:65" s="13" customFormat="1" ht="30" customHeight="1" x14ac:dyDescent="0.2">
      <c r="C1083" s="379"/>
      <c r="H1083" s="379"/>
      <c r="N1083" s="379"/>
      <c r="O1083" s="394"/>
      <c r="Q1083" s="379"/>
      <c r="BK1083" s="14"/>
      <c r="BL1083" s="14"/>
      <c r="BM1083" s="14"/>
    </row>
    <row r="1084" spans="3:65" s="13" customFormat="1" ht="30" customHeight="1" x14ac:dyDescent="0.2">
      <c r="C1084" s="379"/>
      <c r="H1084" s="379"/>
      <c r="N1084" s="379"/>
      <c r="O1084" s="394"/>
      <c r="Q1084" s="379"/>
      <c r="BK1084" s="14"/>
      <c r="BL1084" s="14"/>
      <c r="BM1084" s="14"/>
    </row>
    <row r="1085" spans="3:65" s="13" customFormat="1" ht="30" customHeight="1" x14ac:dyDescent="0.2">
      <c r="C1085" s="379"/>
      <c r="H1085" s="379"/>
      <c r="N1085" s="379"/>
      <c r="O1085" s="394"/>
      <c r="Q1085" s="379"/>
      <c r="BK1085" s="14"/>
      <c r="BL1085" s="14"/>
      <c r="BM1085" s="14"/>
    </row>
    <row r="1086" spans="3:65" s="13" customFormat="1" ht="30" customHeight="1" x14ac:dyDescent="0.2">
      <c r="C1086" s="379"/>
      <c r="H1086" s="379"/>
      <c r="N1086" s="379"/>
      <c r="O1086" s="394"/>
      <c r="Q1086" s="379"/>
      <c r="BK1086" s="14"/>
      <c r="BL1086" s="14"/>
      <c r="BM1086" s="14"/>
    </row>
    <row r="1087" spans="3:65" s="13" customFormat="1" ht="30" customHeight="1" x14ac:dyDescent="0.2">
      <c r="C1087" s="379"/>
      <c r="H1087" s="379"/>
      <c r="N1087" s="379"/>
      <c r="O1087" s="394"/>
      <c r="Q1087" s="379"/>
      <c r="BK1087" s="14"/>
      <c r="BL1087" s="14"/>
      <c r="BM1087" s="14"/>
    </row>
    <row r="1088" spans="3:65" s="13" customFormat="1" ht="30" customHeight="1" x14ac:dyDescent="0.2">
      <c r="C1088" s="379"/>
      <c r="H1088" s="379"/>
      <c r="N1088" s="379"/>
      <c r="O1088" s="394"/>
      <c r="Q1088" s="379"/>
      <c r="BK1088" s="14"/>
      <c r="BL1088" s="14"/>
      <c r="BM1088" s="14"/>
    </row>
    <row r="1089" spans="3:65" s="13" customFormat="1" ht="30" customHeight="1" x14ac:dyDescent="0.2">
      <c r="C1089" s="379"/>
      <c r="H1089" s="379"/>
      <c r="N1089" s="379"/>
      <c r="O1089" s="394"/>
      <c r="Q1089" s="379"/>
      <c r="BK1089" s="14"/>
      <c r="BL1089" s="14"/>
      <c r="BM1089" s="14"/>
    </row>
    <row r="1090" spans="3:65" s="13" customFormat="1" ht="30" customHeight="1" x14ac:dyDescent="0.2">
      <c r="C1090" s="379"/>
      <c r="H1090" s="379"/>
      <c r="N1090" s="379"/>
      <c r="O1090" s="394"/>
      <c r="Q1090" s="379"/>
      <c r="BK1090" s="14"/>
      <c r="BL1090" s="14"/>
      <c r="BM1090" s="14"/>
    </row>
    <row r="1091" spans="3:65" s="13" customFormat="1" ht="30" customHeight="1" x14ac:dyDescent="0.2">
      <c r="C1091" s="379"/>
      <c r="H1091" s="379"/>
      <c r="N1091" s="379"/>
      <c r="O1091" s="394"/>
      <c r="Q1091" s="379"/>
      <c r="BK1091" s="14"/>
      <c r="BL1091" s="14"/>
      <c r="BM1091" s="14"/>
    </row>
    <row r="1092" spans="3:65" s="13" customFormat="1" ht="30" customHeight="1" x14ac:dyDescent="0.2">
      <c r="C1092" s="379"/>
      <c r="H1092" s="379"/>
      <c r="N1092" s="379"/>
      <c r="O1092" s="394"/>
      <c r="Q1092" s="379"/>
      <c r="BK1092" s="14"/>
      <c r="BL1092" s="14"/>
      <c r="BM1092" s="14"/>
    </row>
    <row r="1093" spans="3:65" s="13" customFormat="1" ht="30" customHeight="1" x14ac:dyDescent="0.2">
      <c r="C1093" s="379"/>
      <c r="H1093" s="379"/>
      <c r="N1093" s="379"/>
      <c r="O1093" s="394"/>
      <c r="Q1093" s="379"/>
      <c r="BK1093" s="14"/>
      <c r="BL1093" s="14"/>
      <c r="BM1093" s="14"/>
    </row>
    <row r="1094" spans="3:65" s="13" customFormat="1" ht="30" customHeight="1" x14ac:dyDescent="0.2">
      <c r="C1094" s="379"/>
      <c r="H1094" s="379"/>
      <c r="N1094" s="379"/>
      <c r="O1094" s="394"/>
      <c r="Q1094" s="379"/>
      <c r="BK1094" s="14"/>
      <c r="BL1094" s="14"/>
      <c r="BM1094" s="14"/>
    </row>
    <row r="1095" spans="3:65" s="13" customFormat="1" ht="30" customHeight="1" x14ac:dyDescent="0.2">
      <c r="C1095" s="379"/>
      <c r="H1095" s="379"/>
      <c r="N1095" s="379"/>
      <c r="O1095" s="394"/>
      <c r="Q1095" s="379"/>
      <c r="BK1095" s="14"/>
      <c r="BL1095" s="14"/>
      <c r="BM1095" s="14"/>
    </row>
    <row r="1096" spans="3:65" s="13" customFormat="1" ht="30" customHeight="1" x14ac:dyDescent="0.2">
      <c r="C1096" s="379"/>
      <c r="H1096" s="379"/>
      <c r="N1096" s="379"/>
      <c r="O1096" s="394"/>
      <c r="Q1096" s="379"/>
      <c r="BK1096" s="14"/>
      <c r="BL1096" s="14"/>
      <c r="BM1096" s="14"/>
    </row>
    <row r="1097" spans="3:65" s="13" customFormat="1" ht="30" customHeight="1" x14ac:dyDescent="0.2">
      <c r="C1097" s="379"/>
      <c r="H1097" s="379"/>
      <c r="N1097" s="379"/>
      <c r="O1097" s="394"/>
      <c r="Q1097" s="379"/>
      <c r="BK1097" s="14"/>
      <c r="BL1097" s="14"/>
      <c r="BM1097" s="14"/>
    </row>
    <row r="1098" spans="3:65" s="13" customFormat="1" ht="30" customHeight="1" x14ac:dyDescent="0.2">
      <c r="C1098" s="379"/>
      <c r="H1098" s="379"/>
      <c r="N1098" s="379"/>
      <c r="O1098" s="394"/>
      <c r="Q1098" s="379"/>
      <c r="BK1098" s="14"/>
      <c r="BL1098" s="14"/>
      <c r="BM1098" s="14"/>
    </row>
    <row r="1099" spans="3:65" s="13" customFormat="1" ht="30" customHeight="1" x14ac:dyDescent="0.2">
      <c r="C1099" s="379"/>
      <c r="H1099" s="379"/>
      <c r="N1099" s="379"/>
      <c r="O1099" s="394"/>
      <c r="Q1099" s="379"/>
      <c r="BK1099" s="14"/>
      <c r="BL1099" s="14"/>
      <c r="BM1099" s="14"/>
    </row>
    <row r="1100" spans="3:65" s="13" customFormat="1" ht="30" customHeight="1" x14ac:dyDescent="0.2">
      <c r="C1100" s="379"/>
      <c r="H1100" s="379"/>
      <c r="N1100" s="379"/>
      <c r="O1100" s="394"/>
      <c r="Q1100" s="379"/>
      <c r="BK1100" s="14"/>
      <c r="BL1100" s="14"/>
      <c r="BM1100" s="14"/>
    </row>
    <row r="1101" spans="3:65" s="13" customFormat="1" ht="30" customHeight="1" x14ac:dyDescent="0.2">
      <c r="C1101" s="379"/>
      <c r="H1101" s="379"/>
      <c r="N1101" s="379"/>
      <c r="O1101" s="394"/>
      <c r="Q1101" s="379"/>
      <c r="BK1101" s="14"/>
      <c r="BL1101" s="14"/>
      <c r="BM1101" s="14"/>
    </row>
    <row r="1102" spans="3:65" s="13" customFormat="1" ht="30" customHeight="1" x14ac:dyDescent="0.2">
      <c r="C1102" s="379"/>
      <c r="H1102" s="379"/>
      <c r="N1102" s="379"/>
      <c r="O1102" s="394"/>
      <c r="Q1102" s="379"/>
      <c r="BK1102" s="14"/>
      <c r="BL1102" s="14"/>
      <c r="BM1102" s="14"/>
    </row>
    <row r="1103" spans="3:65" s="13" customFormat="1" ht="30" customHeight="1" x14ac:dyDescent="0.2">
      <c r="C1103" s="379"/>
      <c r="H1103" s="379"/>
      <c r="N1103" s="379"/>
      <c r="O1103" s="394"/>
      <c r="Q1103" s="379"/>
      <c r="BK1103" s="14"/>
      <c r="BL1103" s="14"/>
      <c r="BM1103" s="14"/>
    </row>
    <row r="1104" spans="3:65" s="13" customFormat="1" ht="30" customHeight="1" x14ac:dyDescent="0.2">
      <c r="C1104" s="379"/>
      <c r="H1104" s="379"/>
      <c r="N1104" s="379"/>
      <c r="O1104" s="394"/>
      <c r="Q1104" s="379"/>
      <c r="BK1104" s="14"/>
      <c r="BL1104" s="14"/>
      <c r="BM1104" s="14"/>
    </row>
    <row r="1105" spans="3:65" s="13" customFormat="1" ht="30" customHeight="1" x14ac:dyDescent="0.2">
      <c r="C1105" s="379"/>
      <c r="H1105" s="379"/>
      <c r="N1105" s="379"/>
      <c r="O1105" s="394"/>
      <c r="Q1105" s="379"/>
      <c r="BK1105" s="14"/>
      <c r="BL1105" s="14"/>
      <c r="BM1105" s="14"/>
    </row>
    <row r="1106" spans="3:65" s="13" customFormat="1" ht="30" customHeight="1" x14ac:dyDescent="0.2">
      <c r="C1106" s="379"/>
      <c r="H1106" s="379"/>
      <c r="N1106" s="379"/>
      <c r="O1106" s="394"/>
      <c r="Q1106" s="379"/>
      <c r="BK1106" s="14"/>
      <c r="BL1106" s="14"/>
      <c r="BM1106" s="14"/>
    </row>
    <row r="1107" spans="3:65" s="13" customFormat="1" ht="30" customHeight="1" x14ac:dyDescent="0.2">
      <c r="C1107" s="379"/>
      <c r="H1107" s="379"/>
      <c r="N1107" s="379"/>
      <c r="O1107" s="394"/>
      <c r="Q1107" s="379"/>
      <c r="BK1107" s="14"/>
      <c r="BL1107" s="14"/>
      <c r="BM1107" s="14"/>
    </row>
    <row r="1108" spans="3:65" s="13" customFormat="1" ht="30" customHeight="1" x14ac:dyDescent="0.2">
      <c r="C1108" s="379"/>
      <c r="H1108" s="379"/>
      <c r="N1108" s="379"/>
      <c r="O1108" s="394"/>
      <c r="Q1108" s="379"/>
      <c r="BK1108" s="14"/>
      <c r="BL1108" s="14"/>
      <c r="BM1108" s="14"/>
    </row>
    <row r="1109" spans="3:65" s="13" customFormat="1" ht="30" customHeight="1" x14ac:dyDescent="0.2">
      <c r="C1109" s="379"/>
      <c r="H1109" s="379"/>
      <c r="N1109" s="379"/>
      <c r="O1109" s="394"/>
      <c r="Q1109" s="379"/>
      <c r="BK1109" s="14"/>
      <c r="BL1109" s="14"/>
      <c r="BM1109" s="14"/>
    </row>
    <row r="1110" spans="3:65" s="13" customFormat="1" ht="30" customHeight="1" x14ac:dyDescent="0.2">
      <c r="C1110" s="379"/>
      <c r="H1110" s="379"/>
      <c r="N1110" s="379"/>
      <c r="O1110" s="394"/>
      <c r="Q1110" s="379"/>
      <c r="BK1110" s="14"/>
      <c r="BL1110" s="14"/>
      <c r="BM1110" s="14"/>
    </row>
    <row r="1111" spans="3:65" s="13" customFormat="1" ht="30" customHeight="1" x14ac:dyDescent="0.2">
      <c r="C1111" s="379"/>
      <c r="H1111" s="379"/>
      <c r="N1111" s="379"/>
      <c r="O1111" s="394"/>
      <c r="Q1111" s="379"/>
      <c r="BK1111" s="14"/>
      <c r="BL1111" s="14"/>
      <c r="BM1111" s="14"/>
    </row>
    <row r="1112" spans="3:65" s="13" customFormat="1" ht="30" customHeight="1" x14ac:dyDescent="0.2">
      <c r="C1112" s="379"/>
      <c r="H1112" s="379"/>
      <c r="N1112" s="379"/>
      <c r="O1112" s="394"/>
      <c r="Q1112" s="379"/>
      <c r="BK1112" s="14"/>
      <c r="BL1112" s="14"/>
      <c r="BM1112" s="14"/>
    </row>
    <row r="1113" spans="3:65" s="13" customFormat="1" ht="30" customHeight="1" x14ac:dyDescent="0.2">
      <c r="C1113" s="379"/>
      <c r="H1113" s="379"/>
      <c r="N1113" s="379"/>
      <c r="O1113" s="394"/>
      <c r="Q1113" s="379"/>
      <c r="BK1113" s="14"/>
      <c r="BL1113" s="14"/>
      <c r="BM1113" s="14"/>
    </row>
    <row r="1114" spans="3:65" s="13" customFormat="1" ht="30" customHeight="1" x14ac:dyDescent="0.2">
      <c r="C1114" s="379"/>
      <c r="H1114" s="379"/>
      <c r="N1114" s="379"/>
      <c r="O1114" s="394"/>
      <c r="Q1114" s="379"/>
      <c r="BK1114" s="14"/>
      <c r="BL1114" s="14"/>
      <c r="BM1114" s="14"/>
    </row>
    <row r="1115" spans="3:65" s="13" customFormat="1" ht="30" customHeight="1" x14ac:dyDescent="0.2">
      <c r="C1115" s="379"/>
      <c r="H1115" s="379"/>
      <c r="N1115" s="379"/>
      <c r="O1115" s="394"/>
      <c r="Q1115" s="379"/>
      <c r="BK1115" s="14"/>
      <c r="BL1115" s="14"/>
      <c r="BM1115" s="14"/>
    </row>
    <row r="1116" spans="3:65" s="13" customFormat="1" ht="30" customHeight="1" x14ac:dyDescent="0.2">
      <c r="C1116" s="379"/>
      <c r="H1116" s="379"/>
      <c r="N1116" s="379"/>
      <c r="O1116" s="394"/>
      <c r="Q1116" s="379"/>
      <c r="BK1116" s="14"/>
      <c r="BL1116" s="14"/>
      <c r="BM1116" s="14"/>
    </row>
    <row r="1117" spans="3:65" s="13" customFormat="1" ht="30" customHeight="1" x14ac:dyDescent="0.2">
      <c r="C1117" s="379"/>
      <c r="H1117" s="379"/>
      <c r="N1117" s="379"/>
      <c r="O1117" s="394"/>
      <c r="Q1117" s="379"/>
      <c r="BK1117" s="14"/>
      <c r="BL1117" s="14"/>
      <c r="BM1117" s="14"/>
    </row>
    <row r="1118" spans="3:65" s="13" customFormat="1" ht="30" customHeight="1" x14ac:dyDescent="0.2">
      <c r="C1118" s="379"/>
      <c r="H1118" s="379"/>
      <c r="N1118" s="379"/>
      <c r="O1118" s="394"/>
      <c r="Q1118" s="379"/>
      <c r="BK1118" s="14"/>
      <c r="BL1118" s="14"/>
      <c r="BM1118" s="14"/>
    </row>
    <row r="1119" spans="3:65" s="13" customFormat="1" ht="30" customHeight="1" x14ac:dyDescent="0.2">
      <c r="C1119" s="379"/>
      <c r="H1119" s="379"/>
      <c r="N1119" s="379"/>
      <c r="O1119" s="394"/>
      <c r="Q1119" s="379"/>
      <c r="BK1119" s="14"/>
      <c r="BL1119" s="14"/>
      <c r="BM1119" s="14"/>
    </row>
    <row r="1120" spans="3:65" s="13" customFormat="1" ht="30" customHeight="1" x14ac:dyDescent="0.2">
      <c r="C1120" s="379"/>
      <c r="H1120" s="379"/>
      <c r="N1120" s="379"/>
      <c r="O1120" s="394"/>
      <c r="Q1120" s="379"/>
      <c r="BK1120" s="14"/>
      <c r="BL1120" s="14"/>
      <c r="BM1120" s="14"/>
    </row>
    <row r="1121" spans="3:65" s="13" customFormat="1" ht="30" customHeight="1" x14ac:dyDescent="0.2">
      <c r="C1121" s="379"/>
      <c r="H1121" s="379"/>
      <c r="N1121" s="379"/>
      <c r="O1121" s="394"/>
      <c r="Q1121" s="379"/>
      <c r="BK1121" s="14"/>
      <c r="BL1121" s="14"/>
      <c r="BM1121" s="14"/>
    </row>
    <row r="1122" spans="3:65" s="13" customFormat="1" ht="30" customHeight="1" x14ac:dyDescent="0.2">
      <c r="C1122" s="379"/>
      <c r="H1122" s="379"/>
      <c r="N1122" s="379"/>
      <c r="O1122" s="394"/>
      <c r="Q1122" s="379"/>
      <c r="BK1122" s="14"/>
      <c r="BL1122" s="14"/>
      <c r="BM1122" s="14"/>
    </row>
    <row r="1123" spans="3:65" s="13" customFormat="1" ht="30" customHeight="1" x14ac:dyDescent="0.2">
      <c r="C1123" s="379"/>
      <c r="H1123" s="379"/>
      <c r="N1123" s="379"/>
      <c r="O1123" s="394"/>
      <c r="Q1123" s="379"/>
      <c r="BK1123" s="14"/>
      <c r="BL1123" s="14"/>
      <c r="BM1123" s="14"/>
    </row>
    <row r="1124" spans="3:65" s="13" customFormat="1" ht="30" customHeight="1" x14ac:dyDescent="0.2">
      <c r="C1124" s="379"/>
      <c r="H1124" s="379"/>
      <c r="N1124" s="379"/>
      <c r="O1124" s="394"/>
      <c r="Q1124" s="379"/>
      <c r="BK1124" s="14"/>
      <c r="BL1124" s="14"/>
      <c r="BM1124" s="14"/>
    </row>
    <row r="1125" spans="3:65" s="13" customFormat="1" ht="30" customHeight="1" x14ac:dyDescent="0.2">
      <c r="C1125" s="379"/>
      <c r="H1125" s="379"/>
      <c r="N1125" s="379"/>
      <c r="O1125" s="394"/>
      <c r="Q1125" s="379"/>
      <c r="BK1125" s="14"/>
      <c r="BL1125" s="14"/>
      <c r="BM1125" s="14"/>
    </row>
    <row r="1126" spans="3:65" s="13" customFormat="1" ht="30" customHeight="1" x14ac:dyDescent="0.2">
      <c r="C1126" s="379"/>
      <c r="H1126" s="379"/>
      <c r="N1126" s="379"/>
      <c r="O1126" s="394"/>
      <c r="Q1126" s="379"/>
      <c r="BK1126" s="14"/>
      <c r="BL1126" s="14"/>
      <c r="BM1126" s="14"/>
    </row>
    <row r="1127" spans="3:65" s="13" customFormat="1" ht="30" customHeight="1" x14ac:dyDescent="0.2">
      <c r="C1127" s="379"/>
      <c r="H1127" s="379"/>
      <c r="N1127" s="379"/>
      <c r="O1127" s="394"/>
      <c r="Q1127" s="379"/>
      <c r="BK1127" s="14"/>
      <c r="BL1127" s="14"/>
      <c r="BM1127" s="14"/>
    </row>
    <row r="1128" spans="3:65" s="13" customFormat="1" ht="30" customHeight="1" x14ac:dyDescent="0.2">
      <c r="C1128" s="379"/>
      <c r="H1128" s="379"/>
      <c r="N1128" s="379"/>
      <c r="O1128" s="394"/>
      <c r="Q1128" s="379"/>
      <c r="BK1128" s="14"/>
      <c r="BL1128" s="14"/>
      <c r="BM1128" s="14"/>
    </row>
    <row r="1129" spans="3:65" s="13" customFormat="1" ht="30" customHeight="1" x14ac:dyDescent="0.2">
      <c r="C1129" s="379"/>
      <c r="H1129" s="379"/>
      <c r="N1129" s="379"/>
      <c r="O1129" s="394"/>
      <c r="Q1129" s="379"/>
      <c r="BK1129" s="14"/>
      <c r="BL1129" s="14"/>
      <c r="BM1129" s="14"/>
    </row>
    <row r="1130" spans="3:65" s="13" customFormat="1" ht="30" customHeight="1" x14ac:dyDescent="0.2">
      <c r="C1130" s="379"/>
      <c r="H1130" s="379"/>
      <c r="N1130" s="379"/>
      <c r="O1130" s="394"/>
      <c r="Q1130" s="379"/>
      <c r="BK1130" s="14"/>
      <c r="BL1130" s="14"/>
      <c r="BM1130" s="14"/>
    </row>
    <row r="1131" spans="3:65" s="13" customFormat="1" ht="30" customHeight="1" x14ac:dyDescent="0.2">
      <c r="C1131" s="379"/>
      <c r="H1131" s="379"/>
      <c r="N1131" s="379"/>
      <c r="O1131" s="394"/>
      <c r="Q1131" s="379"/>
      <c r="BK1131" s="14"/>
      <c r="BL1131" s="14"/>
      <c r="BM1131" s="14"/>
    </row>
    <row r="1132" spans="3:65" s="13" customFormat="1" ht="30" customHeight="1" x14ac:dyDescent="0.2">
      <c r="C1132" s="379"/>
      <c r="H1132" s="379"/>
      <c r="N1132" s="379"/>
      <c r="O1132" s="394"/>
      <c r="Q1132" s="379"/>
      <c r="BK1132" s="14"/>
      <c r="BL1132" s="14"/>
      <c r="BM1132" s="14"/>
    </row>
    <row r="1133" spans="3:65" s="13" customFormat="1" ht="30" customHeight="1" x14ac:dyDescent="0.2">
      <c r="C1133" s="379"/>
      <c r="H1133" s="379"/>
      <c r="N1133" s="379"/>
      <c r="O1133" s="394"/>
      <c r="Q1133" s="379"/>
      <c r="BK1133" s="14"/>
      <c r="BL1133" s="14"/>
      <c r="BM1133" s="14"/>
    </row>
    <row r="1134" spans="3:65" s="13" customFormat="1" ht="30" customHeight="1" x14ac:dyDescent="0.2">
      <c r="C1134" s="379"/>
      <c r="H1134" s="379"/>
      <c r="N1134" s="379"/>
      <c r="O1134" s="394"/>
      <c r="Q1134" s="379"/>
      <c r="BK1134" s="14"/>
      <c r="BL1134" s="14"/>
      <c r="BM1134" s="14"/>
    </row>
    <row r="1135" spans="3:65" s="13" customFormat="1" ht="30" customHeight="1" x14ac:dyDescent="0.2">
      <c r="C1135" s="379"/>
      <c r="H1135" s="379"/>
      <c r="N1135" s="379"/>
      <c r="O1135" s="394"/>
      <c r="Q1135" s="379"/>
      <c r="BK1135" s="14"/>
      <c r="BL1135" s="14"/>
      <c r="BM1135" s="14"/>
    </row>
    <row r="1136" spans="3:65" s="13" customFormat="1" ht="30" customHeight="1" x14ac:dyDescent="0.2">
      <c r="C1136" s="379"/>
      <c r="H1136" s="379"/>
      <c r="N1136" s="379"/>
      <c r="O1136" s="394"/>
      <c r="Q1136" s="379"/>
      <c r="BK1136" s="14"/>
      <c r="BL1136" s="14"/>
      <c r="BM1136" s="14"/>
    </row>
    <row r="1137" spans="3:65" s="13" customFormat="1" ht="30" customHeight="1" x14ac:dyDescent="0.2">
      <c r="C1137" s="379"/>
      <c r="H1137" s="379"/>
      <c r="N1137" s="379"/>
      <c r="O1137" s="394"/>
      <c r="Q1137" s="379"/>
      <c r="BK1137" s="14"/>
      <c r="BL1137" s="14"/>
      <c r="BM1137" s="14"/>
    </row>
    <row r="1138" spans="3:65" s="13" customFormat="1" ht="30" customHeight="1" x14ac:dyDescent="0.2">
      <c r="C1138" s="379"/>
      <c r="H1138" s="379"/>
      <c r="N1138" s="379"/>
      <c r="O1138" s="394"/>
      <c r="Q1138" s="379"/>
      <c r="BK1138" s="14"/>
      <c r="BL1138" s="14"/>
      <c r="BM1138" s="14"/>
    </row>
    <row r="1139" spans="3:65" s="13" customFormat="1" ht="30" customHeight="1" x14ac:dyDescent="0.2">
      <c r="C1139" s="379"/>
      <c r="H1139" s="379"/>
      <c r="N1139" s="379"/>
      <c r="O1139" s="394"/>
      <c r="Q1139" s="379"/>
      <c r="BK1139" s="14"/>
      <c r="BL1139" s="14"/>
      <c r="BM1139" s="14"/>
    </row>
    <row r="1140" spans="3:65" s="13" customFormat="1" ht="30" customHeight="1" x14ac:dyDescent="0.2">
      <c r="C1140" s="379"/>
      <c r="H1140" s="379"/>
      <c r="N1140" s="379"/>
      <c r="O1140" s="394"/>
      <c r="Q1140" s="379"/>
      <c r="BK1140" s="14"/>
      <c r="BL1140" s="14"/>
      <c r="BM1140" s="14"/>
    </row>
    <row r="1141" spans="3:65" s="13" customFormat="1" ht="30" customHeight="1" x14ac:dyDescent="0.2">
      <c r="C1141" s="379"/>
      <c r="H1141" s="379"/>
      <c r="N1141" s="379"/>
      <c r="O1141" s="394"/>
      <c r="Q1141" s="379"/>
      <c r="BK1141" s="14"/>
      <c r="BL1141" s="14"/>
      <c r="BM1141" s="14"/>
    </row>
    <row r="1142" spans="3:65" s="13" customFormat="1" ht="30" customHeight="1" x14ac:dyDescent="0.2">
      <c r="C1142" s="379"/>
      <c r="H1142" s="379"/>
      <c r="N1142" s="379"/>
      <c r="O1142" s="394"/>
      <c r="Q1142" s="379"/>
      <c r="BK1142" s="14"/>
      <c r="BL1142" s="14"/>
      <c r="BM1142" s="14"/>
    </row>
    <row r="1143" spans="3:65" s="13" customFormat="1" ht="30" customHeight="1" x14ac:dyDescent="0.2">
      <c r="C1143" s="379"/>
      <c r="H1143" s="379"/>
      <c r="N1143" s="379"/>
      <c r="O1143" s="394"/>
      <c r="Q1143" s="379"/>
      <c r="BK1143" s="14"/>
      <c r="BL1143" s="14"/>
      <c r="BM1143" s="14"/>
    </row>
    <row r="1144" spans="3:65" s="13" customFormat="1" ht="30" customHeight="1" x14ac:dyDescent="0.2">
      <c r="C1144" s="379"/>
      <c r="H1144" s="379"/>
      <c r="N1144" s="379"/>
      <c r="O1144" s="394"/>
      <c r="Q1144" s="379"/>
      <c r="BK1144" s="14"/>
      <c r="BL1144" s="14"/>
      <c r="BM1144" s="14"/>
    </row>
    <row r="1145" spans="3:65" s="13" customFormat="1" ht="30" customHeight="1" x14ac:dyDescent="0.2">
      <c r="C1145" s="379"/>
      <c r="H1145" s="379"/>
      <c r="N1145" s="379"/>
      <c r="O1145" s="394"/>
      <c r="Q1145" s="379"/>
      <c r="BK1145" s="14"/>
      <c r="BL1145" s="14"/>
      <c r="BM1145" s="14"/>
    </row>
    <row r="1146" spans="3:65" s="13" customFormat="1" ht="30" customHeight="1" x14ac:dyDescent="0.2">
      <c r="C1146" s="379"/>
      <c r="H1146" s="379"/>
      <c r="N1146" s="379"/>
      <c r="O1146" s="394"/>
      <c r="Q1146" s="379"/>
      <c r="BK1146" s="14"/>
      <c r="BL1146" s="14"/>
      <c r="BM1146" s="14"/>
    </row>
    <row r="1147" spans="3:65" s="13" customFormat="1" ht="30" customHeight="1" x14ac:dyDescent="0.2">
      <c r="C1147" s="379"/>
      <c r="H1147" s="379"/>
      <c r="N1147" s="379"/>
      <c r="O1147" s="394"/>
      <c r="Q1147" s="379"/>
      <c r="BK1147" s="14"/>
      <c r="BL1147" s="14"/>
      <c r="BM1147" s="14"/>
    </row>
    <row r="1148" spans="3:65" s="13" customFormat="1" ht="30" customHeight="1" x14ac:dyDescent="0.2">
      <c r="C1148" s="379"/>
      <c r="H1148" s="379"/>
      <c r="N1148" s="379"/>
      <c r="O1148" s="394"/>
      <c r="Q1148" s="379"/>
      <c r="BK1148" s="14"/>
      <c r="BL1148" s="14"/>
      <c r="BM1148" s="14"/>
    </row>
    <row r="1149" spans="3:65" s="13" customFormat="1" ht="30" customHeight="1" x14ac:dyDescent="0.2">
      <c r="C1149" s="379"/>
      <c r="H1149" s="379"/>
      <c r="N1149" s="379"/>
      <c r="O1149" s="394"/>
      <c r="Q1149" s="379"/>
      <c r="BK1149" s="14"/>
      <c r="BL1149" s="14"/>
      <c r="BM1149" s="14"/>
    </row>
    <row r="1150" spans="3:65" s="13" customFormat="1" ht="30" customHeight="1" x14ac:dyDescent="0.2">
      <c r="C1150" s="379"/>
      <c r="H1150" s="379"/>
      <c r="N1150" s="379"/>
      <c r="O1150" s="394"/>
      <c r="Q1150" s="379"/>
      <c r="BK1150" s="14"/>
      <c r="BL1150" s="14"/>
      <c r="BM1150" s="14"/>
    </row>
    <row r="1151" spans="3:65" s="13" customFormat="1" ht="30" customHeight="1" x14ac:dyDescent="0.2">
      <c r="C1151" s="379"/>
      <c r="H1151" s="379"/>
      <c r="N1151" s="379"/>
      <c r="O1151" s="394"/>
      <c r="Q1151" s="379"/>
      <c r="BK1151" s="14"/>
      <c r="BL1151" s="14"/>
      <c r="BM1151" s="14"/>
    </row>
    <row r="1152" spans="3:65" s="13" customFormat="1" ht="30" customHeight="1" x14ac:dyDescent="0.2">
      <c r="C1152" s="379"/>
      <c r="H1152" s="379"/>
      <c r="N1152" s="379"/>
      <c r="O1152" s="394"/>
      <c r="Q1152" s="379"/>
      <c r="BK1152" s="14"/>
      <c r="BL1152" s="14"/>
      <c r="BM1152" s="14"/>
    </row>
    <row r="1153" spans="3:65" s="13" customFormat="1" ht="30" customHeight="1" x14ac:dyDescent="0.2">
      <c r="C1153" s="379"/>
      <c r="H1153" s="379"/>
      <c r="N1153" s="379"/>
      <c r="O1153" s="394"/>
      <c r="Q1153" s="379"/>
      <c r="BK1153" s="14"/>
      <c r="BL1153" s="14"/>
      <c r="BM1153" s="14"/>
    </row>
    <row r="1154" spans="3:65" s="13" customFormat="1" ht="30" customHeight="1" x14ac:dyDescent="0.2">
      <c r="C1154" s="379"/>
      <c r="H1154" s="379"/>
      <c r="N1154" s="379"/>
      <c r="O1154" s="394"/>
      <c r="Q1154" s="379"/>
      <c r="BK1154" s="14"/>
      <c r="BL1154" s="14"/>
      <c r="BM1154" s="14"/>
    </row>
    <row r="1155" spans="3:65" s="13" customFormat="1" ht="30" customHeight="1" x14ac:dyDescent="0.2">
      <c r="C1155" s="379"/>
      <c r="H1155" s="379"/>
      <c r="N1155" s="379"/>
      <c r="O1155" s="394"/>
      <c r="Q1155" s="379"/>
      <c r="BK1155" s="14"/>
      <c r="BL1155" s="14"/>
      <c r="BM1155" s="14"/>
    </row>
    <row r="1156" spans="3:65" s="13" customFormat="1" ht="30" customHeight="1" x14ac:dyDescent="0.2">
      <c r="C1156" s="379"/>
      <c r="H1156" s="379"/>
      <c r="N1156" s="379"/>
      <c r="O1156" s="394"/>
      <c r="Q1156" s="379"/>
      <c r="BK1156" s="14"/>
      <c r="BL1156" s="14"/>
      <c r="BM1156" s="14"/>
    </row>
    <row r="1157" spans="3:65" s="13" customFormat="1" ht="30" customHeight="1" x14ac:dyDescent="0.2">
      <c r="C1157" s="379"/>
      <c r="H1157" s="379"/>
      <c r="N1157" s="379"/>
      <c r="O1157" s="394"/>
      <c r="Q1157" s="379"/>
      <c r="BK1157" s="14"/>
      <c r="BL1157" s="14"/>
      <c r="BM1157" s="14"/>
    </row>
    <row r="1158" spans="3:65" s="13" customFormat="1" ht="30" customHeight="1" x14ac:dyDescent="0.2">
      <c r="C1158" s="379"/>
      <c r="H1158" s="379"/>
      <c r="N1158" s="379"/>
      <c r="O1158" s="394"/>
      <c r="Q1158" s="379"/>
      <c r="BK1158" s="14"/>
      <c r="BL1158" s="14"/>
      <c r="BM1158" s="14"/>
    </row>
    <row r="1159" spans="3:65" s="13" customFormat="1" ht="30" customHeight="1" x14ac:dyDescent="0.2">
      <c r="C1159" s="379"/>
      <c r="H1159" s="379"/>
      <c r="N1159" s="379"/>
      <c r="O1159" s="394"/>
      <c r="Q1159" s="379"/>
      <c r="BK1159" s="14"/>
      <c r="BL1159" s="14"/>
      <c r="BM1159" s="14"/>
    </row>
    <row r="1160" spans="3:65" s="13" customFormat="1" ht="30" customHeight="1" x14ac:dyDescent="0.2">
      <c r="C1160" s="379"/>
      <c r="H1160" s="379"/>
      <c r="N1160" s="379"/>
      <c r="O1160" s="394"/>
      <c r="Q1160" s="379"/>
      <c r="BK1160" s="14"/>
      <c r="BL1160" s="14"/>
      <c r="BM1160" s="14"/>
    </row>
    <row r="1161" spans="3:65" s="13" customFormat="1" ht="30" customHeight="1" x14ac:dyDescent="0.2">
      <c r="C1161" s="379"/>
      <c r="H1161" s="379"/>
      <c r="N1161" s="379"/>
      <c r="O1161" s="394"/>
      <c r="Q1161" s="379"/>
      <c r="BK1161" s="14"/>
      <c r="BL1161" s="14"/>
      <c r="BM1161" s="14"/>
    </row>
    <row r="1162" spans="3:65" s="13" customFormat="1" ht="30" customHeight="1" x14ac:dyDescent="0.2">
      <c r="C1162" s="379"/>
      <c r="H1162" s="379"/>
      <c r="N1162" s="379"/>
      <c r="O1162" s="394"/>
      <c r="Q1162" s="379"/>
      <c r="BK1162" s="14"/>
      <c r="BL1162" s="14"/>
      <c r="BM1162" s="14"/>
    </row>
    <row r="1163" spans="3:65" s="13" customFormat="1" ht="30" customHeight="1" x14ac:dyDescent="0.2">
      <c r="C1163" s="379"/>
      <c r="H1163" s="379"/>
      <c r="N1163" s="379"/>
      <c r="O1163" s="394"/>
      <c r="Q1163" s="379"/>
      <c r="BK1163" s="14"/>
      <c r="BL1163" s="14"/>
      <c r="BM1163" s="14"/>
    </row>
    <row r="1164" spans="3:65" s="13" customFormat="1" ht="30" customHeight="1" x14ac:dyDescent="0.2">
      <c r="C1164" s="379"/>
      <c r="H1164" s="379"/>
      <c r="N1164" s="379"/>
      <c r="O1164" s="394"/>
      <c r="Q1164" s="379"/>
      <c r="BK1164" s="14"/>
      <c r="BL1164" s="14"/>
      <c r="BM1164" s="14"/>
    </row>
    <row r="1165" spans="3:65" s="13" customFormat="1" ht="30" customHeight="1" x14ac:dyDescent="0.2">
      <c r="C1165" s="379"/>
      <c r="H1165" s="379"/>
      <c r="N1165" s="379"/>
      <c r="O1165" s="394"/>
      <c r="Q1165" s="379"/>
      <c r="BK1165" s="14"/>
      <c r="BL1165" s="14"/>
      <c r="BM1165" s="14"/>
    </row>
    <row r="1166" spans="3:65" s="13" customFormat="1" ht="30" customHeight="1" x14ac:dyDescent="0.2">
      <c r="C1166" s="379"/>
      <c r="H1166" s="379"/>
      <c r="N1166" s="379"/>
      <c r="O1166" s="394"/>
      <c r="Q1166" s="379"/>
      <c r="BK1166" s="14"/>
      <c r="BL1166" s="14"/>
      <c r="BM1166" s="14"/>
    </row>
    <row r="1167" spans="3:65" s="13" customFormat="1" ht="30" customHeight="1" x14ac:dyDescent="0.2">
      <c r="C1167" s="379"/>
      <c r="H1167" s="379"/>
      <c r="N1167" s="379"/>
      <c r="O1167" s="394"/>
      <c r="Q1167" s="379"/>
      <c r="BK1167" s="14"/>
      <c r="BL1167" s="14"/>
      <c r="BM1167" s="14"/>
    </row>
    <row r="1168" spans="3:65" s="13" customFormat="1" ht="30" customHeight="1" x14ac:dyDescent="0.2">
      <c r="C1168" s="379"/>
      <c r="H1168" s="379"/>
      <c r="N1168" s="379"/>
      <c r="O1168" s="394"/>
      <c r="Q1168" s="379"/>
      <c r="BK1168" s="14"/>
      <c r="BL1168" s="14"/>
      <c r="BM1168" s="14"/>
    </row>
    <row r="1169" spans="3:65" s="13" customFormat="1" ht="30" customHeight="1" x14ac:dyDescent="0.2">
      <c r="C1169" s="379"/>
      <c r="H1169" s="379"/>
      <c r="N1169" s="379"/>
      <c r="O1169" s="394"/>
      <c r="Q1169" s="379"/>
      <c r="BK1169" s="14"/>
      <c r="BL1169" s="14"/>
      <c r="BM1169" s="14"/>
    </row>
    <row r="1170" spans="3:65" s="13" customFormat="1" ht="30" customHeight="1" x14ac:dyDescent="0.2">
      <c r="C1170" s="379"/>
      <c r="H1170" s="379"/>
      <c r="N1170" s="379"/>
      <c r="O1170" s="394"/>
      <c r="Q1170" s="379"/>
      <c r="BK1170" s="14"/>
      <c r="BL1170" s="14"/>
      <c r="BM1170" s="14"/>
    </row>
    <row r="1171" spans="3:65" s="13" customFormat="1" ht="30" customHeight="1" x14ac:dyDescent="0.2">
      <c r="C1171" s="379"/>
      <c r="H1171" s="379"/>
      <c r="N1171" s="379"/>
      <c r="O1171" s="394"/>
      <c r="Q1171" s="379"/>
      <c r="BK1171" s="14"/>
      <c r="BL1171" s="14"/>
      <c r="BM1171" s="14"/>
    </row>
    <row r="1172" spans="3:65" s="13" customFormat="1" ht="30" customHeight="1" x14ac:dyDescent="0.2">
      <c r="C1172" s="379"/>
      <c r="H1172" s="379"/>
      <c r="N1172" s="379"/>
      <c r="O1172" s="394"/>
      <c r="Q1172" s="379"/>
      <c r="BK1172" s="14"/>
      <c r="BL1172" s="14"/>
      <c r="BM1172" s="14"/>
    </row>
    <row r="1173" spans="3:65" s="13" customFormat="1" ht="30" customHeight="1" x14ac:dyDescent="0.2">
      <c r="C1173" s="379"/>
      <c r="H1173" s="379"/>
      <c r="N1173" s="379"/>
      <c r="O1173" s="394"/>
      <c r="Q1173" s="379"/>
      <c r="BK1173" s="14"/>
      <c r="BL1173" s="14"/>
      <c r="BM1173" s="14"/>
    </row>
    <row r="1174" spans="3:65" s="13" customFormat="1" ht="30" customHeight="1" x14ac:dyDescent="0.2">
      <c r="C1174" s="379"/>
      <c r="H1174" s="379"/>
      <c r="N1174" s="379"/>
      <c r="O1174" s="394"/>
      <c r="Q1174" s="379"/>
      <c r="BK1174" s="14"/>
      <c r="BL1174" s="14"/>
      <c r="BM1174" s="14"/>
    </row>
    <row r="1175" spans="3:65" s="13" customFormat="1" ht="30" customHeight="1" x14ac:dyDescent="0.2">
      <c r="C1175" s="379"/>
      <c r="H1175" s="379"/>
      <c r="N1175" s="379"/>
      <c r="O1175" s="394"/>
      <c r="Q1175" s="379"/>
      <c r="BK1175" s="14"/>
      <c r="BL1175" s="14"/>
      <c r="BM1175" s="14"/>
    </row>
    <row r="1176" spans="3:65" s="13" customFormat="1" ht="30" customHeight="1" x14ac:dyDescent="0.2">
      <c r="C1176" s="379"/>
      <c r="H1176" s="379"/>
      <c r="N1176" s="379"/>
      <c r="O1176" s="394"/>
      <c r="Q1176" s="379"/>
      <c r="BK1176" s="14"/>
      <c r="BL1176" s="14"/>
      <c r="BM1176" s="14"/>
    </row>
    <row r="1177" spans="3:65" s="13" customFormat="1" ht="30" customHeight="1" x14ac:dyDescent="0.2">
      <c r="C1177" s="379"/>
      <c r="H1177" s="379"/>
      <c r="N1177" s="379"/>
      <c r="O1177" s="394"/>
      <c r="Q1177" s="379"/>
      <c r="BK1177" s="14"/>
      <c r="BL1177" s="14"/>
      <c r="BM1177" s="14"/>
    </row>
    <row r="1178" spans="3:65" s="13" customFormat="1" ht="30" customHeight="1" x14ac:dyDescent="0.2">
      <c r="C1178" s="379"/>
      <c r="H1178" s="379"/>
      <c r="N1178" s="379"/>
      <c r="O1178" s="394"/>
      <c r="Q1178" s="379"/>
      <c r="BK1178" s="14"/>
      <c r="BL1178" s="14"/>
      <c r="BM1178" s="14"/>
    </row>
    <row r="1179" spans="3:65" s="13" customFormat="1" ht="30" customHeight="1" x14ac:dyDescent="0.2">
      <c r="C1179" s="379"/>
      <c r="H1179" s="379"/>
      <c r="N1179" s="379"/>
      <c r="O1179" s="394"/>
      <c r="Q1179" s="379"/>
      <c r="BK1179" s="14"/>
      <c r="BL1179" s="14"/>
      <c r="BM1179" s="14"/>
    </row>
    <row r="1180" spans="3:65" s="13" customFormat="1" ht="30" customHeight="1" x14ac:dyDescent="0.2">
      <c r="C1180" s="379"/>
      <c r="H1180" s="379"/>
      <c r="N1180" s="379"/>
      <c r="O1180" s="394"/>
      <c r="Q1180" s="379"/>
      <c r="BK1180" s="14"/>
      <c r="BL1180" s="14"/>
      <c r="BM1180" s="14"/>
    </row>
    <row r="1181" spans="3:65" s="13" customFormat="1" ht="30" customHeight="1" x14ac:dyDescent="0.2">
      <c r="C1181" s="379"/>
      <c r="H1181" s="379"/>
      <c r="N1181" s="379"/>
      <c r="O1181" s="394"/>
      <c r="Q1181" s="379"/>
      <c r="BK1181" s="14"/>
      <c r="BL1181" s="14"/>
      <c r="BM1181" s="14"/>
    </row>
    <row r="1182" spans="3:65" s="13" customFormat="1" ht="30" customHeight="1" x14ac:dyDescent="0.2">
      <c r="C1182" s="379"/>
      <c r="H1182" s="379"/>
      <c r="N1182" s="379"/>
      <c r="O1182" s="394"/>
      <c r="Q1182" s="379"/>
      <c r="BK1182" s="14"/>
      <c r="BL1182" s="14"/>
      <c r="BM1182" s="14"/>
    </row>
    <row r="1183" spans="3:65" s="13" customFormat="1" ht="30" customHeight="1" x14ac:dyDescent="0.2">
      <c r="C1183" s="379"/>
      <c r="H1183" s="379"/>
      <c r="N1183" s="379"/>
      <c r="O1183" s="394"/>
      <c r="Q1183" s="379"/>
      <c r="BK1183" s="14"/>
      <c r="BL1183" s="14"/>
      <c r="BM1183" s="14"/>
    </row>
    <row r="1184" spans="3:65" s="13" customFormat="1" ht="30" customHeight="1" x14ac:dyDescent="0.2">
      <c r="C1184" s="379"/>
      <c r="H1184" s="379"/>
      <c r="N1184" s="379"/>
      <c r="O1184" s="394"/>
      <c r="Q1184" s="379"/>
      <c r="BK1184" s="14"/>
      <c r="BL1184" s="14"/>
      <c r="BM1184" s="14"/>
    </row>
    <row r="1185" spans="3:65" s="13" customFormat="1" ht="30" customHeight="1" x14ac:dyDescent="0.2">
      <c r="C1185" s="379"/>
      <c r="H1185" s="379"/>
      <c r="N1185" s="379"/>
      <c r="O1185" s="394"/>
      <c r="Q1185" s="379"/>
      <c r="BK1185" s="14"/>
      <c r="BL1185" s="14"/>
      <c r="BM1185" s="14"/>
    </row>
    <row r="1186" spans="3:65" s="13" customFormat="1" ht="30" customHeight="1" x14ac:dyDescent="0.2">
      <c r="C1186" s="379"/>
      <c r="H1186" s="379"/>
      <c r="N1186" s="379"/>
      <c r="O1186" s="394"/>
      <c r="Q1186" s="379"/>
      <c r="BK1186" s="14"/>
      <c r="BL1186" s="14"/>
      <c r="BM1186" s="14"/>
    </row>
    <row r="1187" spans="3:65" s="13" customFormat="1" ht="30" customHeight="1" x14ac:dyDescent="0.2">
      <c r="C1187" s="379"/>
      <c r="H1187" s="379"/>
      <c r="N1187" s="379"/>
      <c r="O1187" s="394"/>
      <c r="Q1187" s="379"/>
      <c r="BK1187" s="14"/>
      <c r="BL1187" s="14"/>
      <c r="BM1187" s="14"/>
    </row>
    <row r="1188" spans="3:65" s="13" customFormat="1" ht="30" customHeight="1" x14ac:dyDescent="0.2">
      <c r="C1188" s="379"/>
      <c r="H1188" s="379"/>
      <c r="N1188" s="379"/>
      <c r="O1188" s="394"/>
      <c r="Q1188" s="379"/>
      <c r="BK1188" s="14"/>
      <c r="BL1188" s="14"/>
      <c r="BM1188" s="14"/>
    </row>
    <row r="1189" spans="3:65" s="13" customFormat="1" ht="30" customHeight="1" x14ac:dyDescent="0.2">
      <c r="C1189" s="379"/>
      <c r="H1189" s="379"/>
      <c r="N1189" s="379"/>
      <c r="O1189" s="394"/>
      <c r="Q1189" s="379"/>
      <c r="BK1189" s="14"/>
      <c r="BL1189" s="14"/>
      <c r="BM1189" s="14"/>
    </row>
    <row r="1190" spans="3:65" s="13" customFormat="1" ht="30" customHeight="1" x14ac:dyDescent="0.2">
      <c r="C1190" s="379"/>
      <c r="H1190" s="379"/>
      <c r="N1190" s="379"/>
      <c r="O1190" s="394"/>
      <c r="Q1190" s="379"/>
      <c r="BK1190" s="14"/>
      <c r="BL1190" s="14"/>
      <c r="BM1190" s="14"/>
    </row>
    <row r="1191" spans="3:65" s="13" customFormat="1" ht="30" customHeight="1" x14ac:dyDescent="0.2">
      <c r="C1191" s="379"/>
      <c r="H1191" s="379"/>
      <c r="N1191" s="379"/>
      <c r="O1191" s="394"/>
      <c r="Q1191" s="379"/>
      <c r="BK1191" s="14"/>
      <c r="BL1191" s="14"/>
      <c r="BM1191" s="14"/>
    </row>
    <row r="1192" spans="3:65" s="13" customFormat="1" ht="30" customHeight="1" x14ac:dyDescent="0.2">
      <c r="C1192" s="379"/>
      <c r="H1192" s="379"/>
      <c r="N1192" s="379"/>
      <c r="O1192" s="394"/>
      <c r="Q1192" s="379"/>
      <c r="BK1192" s="14"/>
      <c r="BL1192" s="14"/>
      <c r="BM1192" s="14"/>
    </row>
    <row r="1193" spans="3:65" s="13" customFormat="1" ht="30" customHeight="1" x14ac:dyDescent="0.2">
      <c r="C1193" s="379"/>
      <c r="H1193" s="379"/>
      <c r="N1193" s="379"/>
      <c r="O1193" s="394"/>
      <c r="Q1193" s="379"/>
      <c r="BK1193" s="14"/>
      <c r="BL1193" s="14"/>
      <c r="BM1193" s="14"/>
    </row>
    <row r="1194" spans="3:65" s="13" customFormat="1" ht="30" customHeight="1" x14ac:dyDescent="0.2">
      <c r="C1194" s="379"/>
      <c r="H1194" s="379"/>
      <c r="N1194" s="379"/>
      <c r="O1194" s="394"/>
      <c r="Q1194" s="379"/>
      <c r="BK1194" s="14"/>
      <c r="BL1194" s="14"/>
      <c r="BM1194" s="14"/>
    </row>
    <row r="1195" spans="3:65" s="13" customFormat="1" ht="30" customHeight="1" x14ac:dyDescent="0.2">
      <c r="C1195" s="379"/>
      <c r="H1195" s="379"/>
      <c r="N1195" s="379"/>
      <c r="O1195" s="394"/>
      <c r="Q1195" s="379"/>
      <c r="BK1195" s="14"/>
      <c r="BL1195" s="14"/>
      <c r="BM1195" s="14"/>
    </row>
    <row r="1196" spans="3:65" s="13" customFormat="1" ht="30" customHeight="1" x14ac:dyDescent="0.2">
      <c r="C1196" s="379"/>
      <c r="H1196" s="379"/>
      <c r="N1196" s="379"/>
      <c r="O1196" s="394"/>
      <c r="Q1196" s="379"/>
      <c r="BK1196" s="14"/>
      <c r="BL1196" s="14"/>
      <c r="BM1196" s="14"/>
    </row>
    <row r="1197" spans="3:65" s="13" customFormat="1" ht="30" customHeight="1" x14ac:dyDescent="0.2">
      <c r="C1197" s="379"/>
      <c r="H1197" s="379"/>
      <c r="N1197" s="379"/>
      <c r="O1197" s="394"/>
      <c r="Q1197" s="379"/>
      <c r="BK1197" s="14"/>
      <c r="BL1197" s="14"/>
      <c r="BM1197" s="14"/>
    </row>
    <row r="1198" spans="3:65" s="13" customFormat="1" ht="30" customHeight="1" x14ac:dyDescent="0.2">
      <c r="C1198" s="379"/>
      <c r="H1198" s="379"/>
      <c r="N1198" s="379"/>
      <c r="O1198" s="394"/>
      <c r="Q1198" s="379"/>
      <c r="BK1198" s="14"/>
      <c r="BL1198" s="14"/>
      <c r="BM1198" s="14"/>
    </row>
    <row r="1199" spans="3:65" s="13" customFormat="1" ht="30" customHeight="1" x14ac:dyDescent="0.2">
      <c r="C1199" s="379"/>
      <c r="H1199" s="379"/>
      <c r="N1199" s="379"/>
      <c r="O1199" s="394"/>
      <c r="Q1199" s="379"/>
      <c r="BK1199" s="14"/>
      <c r="BL1199" s="14"/>
      <c r="BM1199" s="14"/>
    </row>
    <row r="1200" spans="3:65" s="13" customFormat="1" ht="30" customHeight="1" x14ac:dyDescent="0.2">
      <c r="C1200" s="379"/>
      <c r="H1200" s="379"/>
      <c r="N1200" s="379"/>
      <c r="O1200" s="394"/>
      <c r="Q1200" s="379"/>
      <c r="BK1200" s="14"/>
      <c r="BL1200" s="14"/>
      <c r="BM1200" s="14"/>
    </row>
    <row r="1201" spans="3:65" s="13" customFormat="1" ht="30" customHeight="1" x14ac:dyDescent="0.2">
      <c r="C1201" s="379"/>
      <c r="H1201" s="379"/>
      <c r="N1201" s="379"/>
      <c r="O1201" s="394"/>
      <c r="Q1201" s="379"/>
      <c r="BK1201" s="14"/>
      <c r="BL1201" s="14"/>
      <c r="BM1201" s="14"/>
    </row>
    <row r="1202" spans="3:65" s="13" customFormat="1" ht="30" customHeight="1" x14ac:dyDescent="0.2">
      <c r="C1202" s="379"/>
      <c r="H1202" s="379"/>
      <c r="N1202" s="379"/>
      <c r="O1202" s="394"/>
      <c r="Q1202" s="379"/>
      <c r="BK1202" s="14"/>
      <c r="BL1202" s="14"/>
      <c r="BM1202" s="14"/>
    </row>
    <row r="1203" spans="3:65" s="13" customFormat="1" ht="30" customHeight="1" x14ac:dyDescent="0.2">
      <c r="C1203" s="379"/>
      <c r="H1203" s="379"/>
      <c r="N1203" s="379"/>
      <c r="O1203" s="394"/>
      <c r="Q1203" s="379"/>
      <c r="BK1203" s="14"/>
      <c r="BL1203" s="14"/>
      <c r="BM1203" s="14"/>
    </row>
    <row r="1204" spans="3:65" s="13" customFormat="1" ht="30" customHeight="1" x14ac:dyDescent="0.2">
      <c r="C1204" s="379"/>
      <c r="H1204" s="379"/>
      <c r="N1204" s="379"/>
      <c r="O1204" s="394"/>
      <c r="Q1204" s="379"/>
      <c r="BK1204" s="14"/>
      <c r="BL1204" s="14"/>
      <c r="BM1204" s="14"/>
    </row>
    <row r="1205" spans="3:65" s="13" customFormat="1" ht="30" customHeight="1" x14ac:dyDescent="0.2">
      <c r="C1205" s="379"/>
      <c r="H1205" s="379"/>
      <c r="N1205" s="379"/>
      <c r="O1205" s="394"/>
      <c r="Q1205" s="379"/>
      <c r="BK1205" s="14"/>
      <c r="BL1205" s="14"/>
      <c r="BM1205" s="14"/>
    </row>
    <row r="1206" spans="3:65" s="13" customFormat="1" ht="30" customHeight="1" x14ac:dyDescent="0.2">
      <c r="C1206" s="379"/>
      <c r="H1206" s="379"/>
      <c r="N1206" s="379"/>
      <c r="O1206" s="394"/>
      <c r="Q1206" s="379"/>
      <c r="BK1206" s="14"/>
      <c r="BL1206" s="14"/>
      <c r="BM1206" s="14"/>
    </row>
    <row r="1207" spans="3:65" s="13" customFormat="1" ht="30" customHeight="1" x14ac:dyDescent="0.2">
      <c r="C1207" s="379"/>
      <c r="H1207" s="379"/>
      <c r="N1207" s="379"/>
      <c r="O1207" s="394"/>
      <c r="Q1207" s="379"/>
      <c r="BK1207" s="14"/>
      <c r="BL1207" s="14"/>
      <c r="BM1207" s="14"/>
    </row>
    <row r="1208" spans="3:65" s="13" customFormat="1" ht="30" customHeight="1" x14ac:dyDescent="0.2">
      <c r="C1208" s="379"/>
      <c r="H1208" s="379"/>
      <c r="N1208" s="379"/>
      <c r="O1208" s="394"/>
      <c r="Q1208" s="379"/>
      <c r="BK1208" s="14"/>
      <c r="BL1208" s="14"/>
      <c r="BM1208" s="14"/>
    </row>
    <row r="1209" spans="3:65" s="13" customFormat="1" ht="30" customHeight="1" x14ac:dyDescent="0.2">
      <c r="C1209" s="379"/>
      <c r="H1209" s="379"/>
      <c r="N1209" s="379"/>
      <c r="O1209" s="394"/>
      <c r="Q1209" s="379"/>
      <c r="BK1209" s="14"/>
      <c r="BL1209" s="14"/>
      <c r="BM1209" s="14"/>
    </row>
    <row r="1210" spans="3:65" s="13" customFormat="1" ht="30" customHeight="1" x14ac:dyDescent="0.2">
      <c r="C1210" s="379"/>
      <c r="H1210" s="379"/>
      <c r="N1210" s="379"/>
      <c r="O1210" s="394"/>
      <c r="Q1210" s="379"/>
      <c r="BK1210" s="14"/>
      <c r="BL1210" s="14"/>
      <c r="BM1210" s="14"/>
    </row>
    <row r="1211" spans="3:65" s="13" customFormat="1" ht="30" customHeight="1" x14ac:dyDescent="0.2">
      <c r="C1211" s="379"/>
      <c r="H1211" s="379"/>
      <c r="N1211" s="379"/>
      <c r="O1211" s="394"/>
      <c r="Q1211" s="379"/>
      <c r="BK1211" s="14"/>
      <c r="BL1211" s="14"/>
      <c r="BM1211" s="14"/>
    </row>
    <row r="1212" spans="3:65" s="13" customFormat="1" ht="30" customHeight="1" x14ac:dyDescent="0.2">
      <c r="C1212" s="379"/>
      <c r="H1212" s="379"/>
      <c r="N1212" s="379"/>
      <c r="O1212" s="394"/>
      <c r="Q1212" s="379"/>
      <c r="BK1212" s="14"/>
      <c r="BL1212" s="14"/>
      <c r="BM1212" s="14"/>
    </row>
    <row r="1213" spans="3:65" s="13" customFormat="1" ht="30" customHeight="1" x14ac:dyDescent="0.2">
      <c r="C1213" s="379"/>
      <c r="H1213" s="379"/>
      <c r="N1213" s="379"/>
      <c r="O1213" s="394"/>
      <c r="Q1213" s="379"/>
      <c r="BK1213" s="14"/>
      <c r="BL1213" s="14"/>
      <c r="BM1213" s="14"/>
    </row>
    <row r="1214" spans="3:65" s="13" customFormat="1" ht="30" customHeight="1" x14ac:dyDescent="0.2">
      <c r="C1214" s="379"/>
      <c r="H1214" s="379"/>
      <c r="N1214" s="379"/>
      <c r="O1214" s="394"/>
      <c r="Q1214" s="379"/>
      <c r="BK1214" s="14"/>
      <c r="BL1214" s="14"/>
      <c r="BM1214" s="14"/>
    </row>
    <row r="1215" spans="3:65" s="13" customFormat="1" ht="30" customHeight="1" x14ac:dyDescent="0.2">
      <c r="C1215" s="379"/>
      <c r="H1215" s="379"/>
      <c r="N1215" s="379"/>
      <c r="O1215" s="394"/>
      <c r="Q1215" s="379"/>
      <c r="BK1215" s="14"/>
      <c r="BL1215" s="14"/>
      <c r="BM1215" s="14"/>
    </row>
    <row r="1216" spans="3:65" s="13" customFormat="1" ht="30" customHeight="1" x14ac:dyDescent="0.2">
      <c r="C1216" s="379"/>
      <c r="H1216" s="379"/>
      <c r="N1216" s="379"/>
      <c r="O1216" s="394"/>
      <c r="Q1216" s="379"/>
      <c r="BK1216" s="14"/>
      <c r="BL1216" s="14"/>
      <c r="BM1216" s="14"/>
    </row>
    <row r="1217" spans="3:65" s="13" customFormat="1" ht="30" customHeight="1" x14ac:dyDescent="0.2">
      <c r="C1217" s="379"/>
      <c r="H1217" s="379"/>
      <c r="N1217" s="379"/>
      <c r="O1217" s="394"/>
      <c r="Q1217" s="379"/>
      <c r="BK1217" s="14"/>
      <c r="BL1217" s="14"/>
      <c r="BM1217" s="14"/>
    </row>
    <row r="1218" spans="3:65" s="13" customFormat="1" ht="30" customHeight="1" x14ac:dyDescent="0.2">
      <c r="C1218" s="379"/>
      <c r="H1218" s="379"/>
      <c r="N1218" s="379"/>
      <c r="O1218" s="394"/>
      <c r="Q1218" s="379"/>
      <c r="BK1218" s="14"/>
      <c r="BL1218" s="14"/>
      <c r="BM1218" s="14"/>
    </row>
    <row r="1219" spans="3:65" s="13" customFormat="1" ht="30" customHeight="1" x14ac:dyDescent="0.2">
      <c r="C1219" s="379"/>
      <c r="H1219" s="379"/>
      <c r="N1219" s="379"/>
      <c r="O1219" s="394"/>
      <c r="Q1219" s="379"/>
      <c r="BK1219" s="14"/>
      <c r="BL1219" s="14"/>
      <c r="BM1219" s="14"/>
    </row>
    <row r="1220" spans="3:65" s="13" customFormat="1" ht="30" customHeight="1" x14ac:dyDescent="0.2">
      <c r="C1220" s="379"/>
      <c r="H1220" s="379"/>
      <c r="N1220" s="379"/>
      <c r="O1220" s="394"/>
      <c r="Q1220" s="379"/>
      <c r="BK1220" s="14"/>
      <c r="BL1220" s="14"/>
      <c r="BM1220" s="14"/>
    </row>
    <row r="1221" spans="3:65" s="13" customFormat="1" ht="30" customHeight="1" x14ac:dyDescent="0.2">
      <c r="C1221" s="379"/>
      <c r="H1221" s="379"/>
      <c r="N1221" s="379"/>
      <c r="O1221" s="394"/>
      <c r="Q1221" s="379"/>
      <c r="BK1221" s="14"/>
      <c r="BL1221" s="14"/>
      <c r="BM1221" s="14"/>
    </row>
    <row r="1222" spans="3:65" s="13" customFormat="1" ht="30" customHeight="1" x14ac:dyDescent="0.2">
      <c r="C1222" s="379"/>
      <c r="H1222" s="379"/>
      <c r="N1222" s="379"/>
      <c r="O1222" s="394"/>
      <c r="Q1222" s="379"/>
      <c r="BK1222" s="14"/>
      <c r="BL1222" s="14"/>
      <c r="BM1222" s="14"/>
    </row>
    <row r="1223" spans="3:65" s="13" customFormat="1" ht="30" customHeight="1" x14ac:dyDescent="0.2">
      <c r="C1223" s="379"/>
      <c r="H1223" s="379"/>
      <c r="N1223" s="379"/>
      <c r="O1223" s="394"/>
      <c r="Q1223" s="379"/>
      <c r="BK1223" s="14"/>
      <c r="BL1223" s="14"/>
      <c r="BM1223" s="14"/>
    </row>
    <row r="1224" spans="3:65" s="13" customFormat="1" ht="30" customHeight="1" x14ac:dyDescent="0.2">
      <c r="C1224" s="379"/>
      <c r="H1224" s="379"/>
      <c r="N1224" s="379"/>
      <c r="O1224" s="394"/>
      <c r="Q1224" s="379"/>
      <c r="BK1224" s="14"/>
      <c r="BL1224" s="14"/>
      <c r="BM1224" s="14"/>
    </row>
    <row r="1225" spans="3:65" s="13" customFormat="1" ht="30" customHeight="1" x14ac:dyDescent="0.2">
      <c r="C1225" s="379"/>
      <c r="H1225" s="379"/>
      <c r="N1225" s="379"/>
      <c r="O1225" s="394"/>
      <c r="Q1225" s="379"/>
      <c r="BK1225" s="14"/>
      <c r="BL1225" s="14"/>
      <c r="BM1225" s="14"/>
    </row>
    <row r="1226" spans="3:65" s="13" customFormat="1" ht="30" customHeight="1" x14ac:dyDescent="0.2">
      <c r="C1226" s="379"/>
      <c r="H1226" s="379"/>
      <c r="N1226" s="379"/>
      <c r="O1226" s="394"/>
      <c r="Q1226" s="379"/>
      <c r="BK1226" s="14"/>
      <c r="BL1226" s="14"/>
      <c r="BM1226" s="14"/>
    </row>
    <row r="1227" spans="3:65" s="13" customFormat="1" ht="30" customHeight="1" x14ac:dyDescent="0.2">
      <c r="C1227" s="379"/>
      <c r="H1227" s="379"/>
      <c r="N1227" s="379"/>
      <c r="O1227" s="394"/>
      <c r="Q1227" s="379"/>
      <c r="BK1227" s="14"/>
      <c r="BL1227" s="14"/>
      <c r="BM1227" s="14"/>
    </row>
    <row r="1228" spans="3:65" s="13" customFormat="1" ht="30" customHeight="1" x14ac:dyDescent="0.2">
      <c r="C1228" s="379"/>
      <c r="H1228" s="379"/>
      <c r="N1228" s="379"/>
      <c r="O1228" s="394"/>
      <c r="Q1228" s="379"/>
      <c r="BK1228" s="14"/>
      <c r="BL1228" s="14"/>
      <c r="BM1228" s="14"/>
    </row>
    <row r="1229" spans="3:65" s="13" customFormat="1" ht="30" customHeight="1" x14ac:dyDescent="0.2">
      <c r="C1229" s="379"/>
      <c r="H1229" s="379"/>
      <c r="N1229" s="379"/>
      <c r="O1229" s="394"/>
      <c r="Q1229" s="379"/>
      <c r="BK1229" s="14"/>
      <c r="BL1229" s="14"/>
      <c r="BM1229" s="14"/>
    </row>
    <row r="1230" spans="3:65" s="13" customFormat="1" ht="30" customHeight="1" x14ac:dyDescent="0.2">
      <c r="C1230" s="379"/>
      <c r="H1230" s="379"/>
      <c r="N1230" s="379"/>
      <c r="O1230" s="394"/>
      <c r="Q1230" s="379"/>
      <c r="BK1230" s="14"/>
      <c r="BL1230" s="14"/>
      <c r="BM1230" s="14"/>
    </row>
    <row r="1231" spans="3:65" s="13" customFormat="1" ht="30" customHeight="1" x14ac:dyDescent="0.2">
      <c r="C1231" s="379"/>
      <c r="H1231" s="379"/>
      <c r="N1231" s="379"/>
      <c r="O1231" s="394"/>
      <c r="Q1231" s="379"/>
      <c r="BK1231" s="14"/>
      <c r="BL1231" s="14"/>
      <c r="BM1231" s="14"/>
    </row>
    <row r="1232" spans="3:65" s="13" customFormat="1" ht="30" customHeight="1" x14ac:dyDescent="0.2">
      <c r="C1232" s="379"/>
      <c r="H1232" s="379"/>
      <c r="N1232" s="379"/>
      <c r="O1232" s="394"/>
      <c r="Q1232" s="379"/>
      <c r="BK1232" s="14"/>
      <c r="BL1232" s="14"/>
      <c r="BM1232" s="14"/>
    </row>
    <row r="1233" spans="3:65" s="13" customFormat="1" ht="30" customHeight="1" x14ac:dyDescent="0.2">
      <c r="C1233" s="379"/>
      <c r="H1233" s="379"/>
      <c r="N1233" s="379"/>
      <c r="O1233" s="394"/>
      <c r="Q1233" s="379"/>
      <c r="BK1233" s="14"/>
      <c r="BL1233" s="14"/>
      <c r="BM1233" s="14"/>
    </row>
    <row r="1234" spans="3:65" s="13" customFormat="1" ht="30" customHeight="1" x14ac:dyDescent="0.2">
      <c r="C1234" s="379"/>
      <c r="H1234" s="379"/>
      <c r="N1234" s="379"/>
      <c r="O1234" s="394"/>
      <c r="Q1234" s="379"/>
      <c r="BK1234" s="14"/>
      <c r="BL1234" s="14"/>
      <c r="BM1234" s="14"/>
    </row>
    <row r="1235" spans="3:65" s="13" customFormat="1" ht="30" customHeight="1" x14ac:dyDescent="0.2">
      <c r="C1235" s="379"/>
      <c r="H1235" s="379"/>
      <c r="N1235" s="379"/>
      <c r="O1235" s="394"/>
      <c r="Q1235" s="379"/>
      <c r="BK1235" s="14"/>
      <c r="BL1235" s="14"/>
      <c r="BM1235" s="14"/>
    </row>
    <row r="1236" spans="3:65" s="13" customFormat="1" ht="30" customHeight="1" x14ac:dyDescent="0.2">
      <c r="C1236" s="379"/>
      <c r="H1236" s="379"/>
      <c r="N1236" s="379"/>
      <c r="O1236" s="394"/>
      <c r="Q1236" s="379"/>
      <c r="BK1236" s="14"/>
      <c r="BL1236" s="14"/>
      <c r="BM1236" s="14"/>
    </row>
    <row r="1237" spans="3:65" s="13" customFormat="1" ht="30" customHeight="1" x14ac:dyDescent="0.2">
      <c r="C1237" s="379"/>
      <c r="H1237" s="379"/>
      <c r="N1237" s="379"/>
      <c r="O1237" s="394"/>
      <c r="Q1237" s="379"/>
      <c r="BK1237" s="14"/>
      <c r="BL1237" s="14"/>
      <c r="BM1237" s="14"/>
    </row>
    <row r="1238" spans="3:65" s="13" customFormat="1" ht="30" customHeight="1" x14ac:dyDescent="0.2">
      <c r="C1238" s="379"/>
      <c r="H1238" s="379"/>
      <c r="N1238" s="379"/>
      <c r="O1238" s="394"/>
      <c r="Q1238" s="379"/>
      <c r="BK1238" s="14"/>
      <c r="BL1238" s="14"/>
      <c r="BM1238" s="14"/>
    </row>
    <row r="1239" spans="3:65" s="13" customFormat="1" ht="30" customHeight="1" x14ac:dyDescent="0.2">
      <c r="C1239" s="379"/>
      <c r="H1239" s="379"/>
      <c r="N1239" s="379"/>
      <c r="O1239" s="394"/>
      <c r="Q1239" s="379"/>
      <c r="BK1239" s="14"/>
      <c r="BL1239" s="14"/>
      <c r="BM1239" s="14"/>
    </row>
    <row r="1240" spans="3:65" s="13" customFormat="1" ht="30" customHeight="1" x14ac:dyDescent="0.2">
      <c r="C1240" s="379"/>
      <c r="H1240" s="379"/>
      <c r="N1240" s="379"/>
      <c r="O1240" s="394"/>
      <c r="Q1240" s="379"/>
      <c r="BK1240" s="14"/>
      <c r="BL1240" s="14"/>
      <c r="BM1240" s="14"/>
    </row>
    <row r="1241" spans="3:65" s="13" customFormat="1" ht="30" customHeight="1" x14ac:dyDescent="0.2">
      <c r="C1241" s="379"/>
      <c r="H1241" s="379"/>
      <c r="N1241" s="379"/>
      <c r="O1241" s="394"/>
      <c r="Q1241" s="379"/>
      <c r="BK1241" s="14"/>
      <c r="BL1241" s="14"/>
      <c r="BM1241" s="14"/>
    </row>
    <row r="1242" spans="3:65" s="13" customFormat="1" ht="30" customHeight="1" x14ac:dyDescent="0.2">
      <c r="C1242" s="379"/>
      <c r="H1242" s="379"/>
      <c r="N1242" s="379"/>
      <c r="O1242" s="394"/>
      <c r="Q1242" s="379"/>
      <c r="BK1242" s="14"/>
      <c r="BL1242" s="14"/>
      <c r="BM1242" s="14"/>
    </row>
    <row r="1243" spans="3:65" s="13" customFormat="1" ht="30" customHeight="1" x14ac:dyDescent="0.2">
      <c r="C1243" s="379"/>
      <c r="H1243" s="379"/>
      <c r="N1243" s="379"/>
      <c r="O1243" s="394"/>
      <c r="Q1243" s="379"/>
      <c r="BK1243" s="14"/>
      <c r="BL1243" s="14"/>
      <c r="BM1243" s="14"/>
    </row>
    <row r="1244" spans="3:65" s="13" customFormat="1" ht="30" customHeight="1" x14ac:dyDescent="0.2">
      <c r="C1244" s="379"/>
      <c r="H1244" s="379"/>
      <c r="N1244" s="379"/>
      <c r="O1244" s="394"/>
      <c r="Q1244" s="379"/>
      <c r="BK1244" s="14"/>
      <c r="BL1244" s="14"/>
      <c r="BM1244" s="14"/>
    </row>
    <row r="1245" spans="3:65" s="13" customFormat="1" ht="30" customHeight="1" x14ac:dyDescent="0.2">
      <c r="C1245" s="379"/>
      <c r="H1245" s="379"/>
      <c r="N1245" s="379"/>
      <c r="O1245" s="394"/>
      <c r="Q1245" s="379"/>
      <c r="BK1245" s="14"/>
      <c r="BL1245" s="14"/>
      <c r="BM1245" s="14"/>
    </row>
    <row r="1246" spans="3:65" s="13" customFormat="1" ht="30" customHeight="1" x14ac:dyDescent="0.2">
      <c r="C1246" s="379"/>
      <c r="H1246" s="379"/>
      <c r="N1246" s="379"/>
      <c r="O1246" s="394"/>
      <c r="Q1246" s="379"/>
      <c r="BK1246" s="14"/>
      <c r="BL1246" s="14"/>
      <c r="BM1246" s="14"/>
    </row>
    <row r="1247" spans="3:65" s="13" customFormat="1" ht="30" customHeight="1" x14ac:dyDescent="0.2">
      <c r="C1247" s="379"/>
      <c r="H1247" s="379"/>
      <c r="N1247" s="379"/>
      <c r="O1247" s="394"/>
      <c r="Q1247" s="379"/>
      <c r="BK1247" s="14"/>
      <c r="BL1247" s="14"/>
      <c r="BM1247" s="14"/>
    </row>
    <row r="1248" spans="3:65" s="13" customFormat="1" ht="30" customHeight="1" x14ac:dyDescent="0.2">
      <c r="C1248" s="379"/>
      <c r="H1248" s="379"/>
      <c r="N1248" s="379"/>
      <c r="O1248" s="394"/>
      <c r="Q1248" s="379"/>
      <c r="BK1248" s="14"/>
      <c r="BL1248" s="14"/>
      <c r="BM1248" s="14"/>
    </row>
    <row r="1249" spans="3:65" s="13" customFormat="1" ht="30" customHeight="1" x14ac:dyDescent="0.2">
      <c r="C1249" s="379"/>
      <c r="H1249" s="379"/>
      <c r="N1249" s="379"/>
      <c r="O1249" s="394"/>
      <c r="Q1249" s="379"/>
      <c r="BK1249" s="14"/>
      <c r="BL1249" s="14"/>
      <c r="BM1249" s="14"/>
    </row>
    <row r="1250" spans="3:65" s="13" customFormat="1" ht="30" customHeight="1" x14ac:dyDescent="0.2">
      <c r="C1250" s="379"/>
      <c r="H1250" s="379"/>
      <c r="N1250" s="379"/>
      <c r="O1250" s="394"/>
      <c r="Q1250" s="379"/>
      <c r="BK1250" s="14"/>
      <c r="BL1250" s="14"/>
      <c r="BM1250" s="14"/>
    </row>
    <row r="1251" spans="3:65" s="13" customFormat="1" ht="30" customHeight="1" x14ac:dyDescent="0.2">
      <c r="C1251" s="379"/>
      <c r="H1251" s="379"/>
      <c r="N1251" s="379"/>
      <c r="O1251" s="394"/>
      <c r="Q1251" s="379"/>
      <c r="BK1251" s="14"/>
      <c r="BL1251" s="14"/>
      <c r="BM1251" s="14"/>
    </row>
    <row r="1252" spans="3:65" s="13" customFormat="1" ht="30" customHeight="1" x14ac:dyDescent="0.2">
      <c r="C1252" s="379"/>
      <c r="H1252" s="379"/>
      <c r="N1252" s="379"/>
      <c r="O1252" s="394"/>
      <c r="Q1252" s="379"/>
      <c r="BK1252" s="14"/>
      <c r="BL1252" s="14"/>
      <c r="BM1252" s="14"/>
    </row>
    <row r="1253" spans="3:65" s="13" customFormat="1" ht="30" customHeight="1" x14ac:dyDescent="0.2">
      <c r="C1253" s="379"/>
      <c r="H1253" s="379"/>
      <c r="N1253" s="379"/>
      <c r="O1253" s="394"/>
      <c r="Q1253" s="379"/>
      <c r="BK1253" s="14"/>
      <c r="BL1253" s="14"/>
      <c r="BM1253" s="14"/>
    </row>
    <row r="1254" spans="3:65" s="13" customFormat="1" ht="30" customHeight="1" x14ac:dyDescent="0.2">
      <c r="C1254" s="379"/>
      <c r="H1254" s="379"/>
      <c r="N1254" s="379"/>
      <c r="O1254" s="394"/>
      <c r="Q1254" s="379"/>
      <c r="BK1254" s="14"/>
      <c r="BL1254" s="14"/>
      <c r="BM1254" s="14"/>
    </row>
    <row r="1255" spans="3:65" s="13" customFormat="1" ht="30" customHeight="1" x14ac:dyDescent="0.2">
      <c r="C1255" s="379"/>
      <c r="H1255" s="379"/>
      <c r="N1255" s="379"/>
      <c r="O1255" s="394"/>
      <c r="Q1255" s="379"/>
      <c r="BK1255" s="14"/>
      <c r="BL1255" s="14"/>
      <c r="BM1255" s="14"/>
    </row>
    <row r="1256" spans="3:65" s="13" customFormat="1" ht="30" customHeight="1" x14ac:dyDescent="0.2">
      <c r="C1256" s="379"/>
      <c r="H1256" s="379"/>
      <c r="N1256" s="379"/>
      <c r="O1256" s="394"/>
      <c r="Q1256" s="379"/>
      <c r="BK1256" s="14"/>
      <c r="BL1256" s="14"/>
      <c r="BM1256" s="14"/>
    </row>
    <row r="1257" spans="3:65" s="13" customFormat="1" ht="30" customHeight="1" x14ac:dyDescent="0.2">
      <c r="C1257" s="379"/>
      <c r="H1257" s="379"/>
      <c r="N1257" s="379"/>
      <c r="O1257" s="394"/>
      <c r="Q1257" s="379"/>
      <c r="BK1257" s="14"/>
      <c r="BL1257" s="14"/>
      <c r="BM1257" s="14"/>
    </row>
    <row r="1258" spans="3:65" s="13" customFormat="1" ht="30" customHeight="1" x14ac:dyDescent="0.2">
      <c r="C1258" s="379"/>
      <c r="H1258" s="379"/>
      <c r="N1258" s="379"/>
      <c r="O1258" s="394"/>
      <c r="Q1258" s="379"/>
      <c r="BK1258" s="14"/>
      <c r="BL1258" s="14"/>
      <c r="BM1258" s="14"/>
    </row>
    <row r="1259" spans="3:65" s="13" customFormat="1" ht="30" customHeight="1" x14ac:dyDescent="0.2">
      <c r="C1259" s="379"/>
      <c r="H1259" s="379"/>
      <c r="N1259" s="379"/>
      <c r="O1259" s="394"/>
      <c r="Q1259" s="379"/>
      <c r="BK1259" s="14"/>
      <c r="BL1259" s="14"/>
      <c r="BM1259" s="14"/>
    </row>
    <row r="1260" spans="3:65" s="13" customFormat="1" ht="30" customHeight="1" x14ac:dyDescent="0.2">
      <c r="C1260" s="379"/>
      <c r="H1260" s="379"/>
      <c r="N1260" s="379"/>
      <c r="O1260" s="394"/>
      <c r="Q1260" s="379"/>
      <c r="BK1260" s="14"/>
      <c r="BL1260" s="14"/>
      <c r="BM1260" s="14"/>
    </row>
    <row r="1261" spans="3:65" s="13" customFormat="1" ht="30" customHeight="1" x14ac:dyDescent="0.2">
      <c r="C1261" s="379"/>
      <c r="H1261" s="379"/>
      <c r="N1261" s="379"/>
      <c r="O1261" s="394"/>
      <c r="Q1261" s="379"/>
      <c r="BK1261" s="14"/>
      <c r="BL1261" s="14"/>
      <c r="BM1261" s="14"/>
    </row>
    <row r="1262" spans="3:65" s="13" customFormat="1" ht="30" customHeight="1" x14ac:dyDescent="0.2">
      <c r="C1262" s="379"/>
      <c r="H1262" s="379"/>
      <c r="N1262" s="379"/>
      <c r="O1262" s="394"/>
      <c r="Q1262" s="379"/>
      <c r="BK1262" s="14"/>
      <c r="BL1262" s="14"/>
      <c r="BM1262" s="14"/>
    </row>
    <row r="1263" spans="3:65" s="13" customFormat="1" ht="30" customHeight="1" x14ac:dyDescent="0.2">
      <c r="C1263" s="379"/>
      <c r="H1263" s="379"/>
      <c r="N1263" s="379"/>
      <c r="O1263" s="394"/>
      <c r="Q1263" s="379"/>
      <c r="BK1263" s="14"/>
      <c r="BL1263" s="14"/>
      <c r="BM1263" s="14"/>
    </row>
    <row r="1264" spans="3:65" s="13" customFormat="1" ht="30" customHeight="1" x14ac:dyDescent="0.2">
      <c r="C1264" s="379"/>
      <c r="H1264" s="379"/>
      <c r="N1264" s="379"/>
      <c r="O1264" s="394"/>
      <c r="Q1264" s="379"/>
      <c r="BK1264" s="14"/>
      <c r="BL1264" s="14"/>
      <c r="BM1264" s="14"/>
    </row>
    <row r="1265" spans="3:65" s="13" customFormat="1" ht="30" customHeight="1" x14ac:dyDescent="0.2">
      <c r="C1265" s="379"/>
      <c r="H1265" s="379"/>
      <c r="N1265" s="379"/>
      <c r="O1265" s="394"/>
      <c r="Q1265" s="379"/>
      <c r="BK1265" s="14"/>
      <c r="BL1265" s="14"/>
      <c r="BM1265" s="14"/>
    </row>
    <row r="1266" spans="3:65" s="13" customFormat="1" ht="30" customHeight="1" x14ac:dyDescent="0.2">
      <c r="C1266" s="379"/>
      <c r="H1266" s="379"/>
      <c r="N1266" s="379"/>
      <c r="O1266" s="394"/>
      <c r="Q1266" s="379"/>
      <c r="BK1266" s="14"/>
      <c r="BL1266" s="14"/>
      <c r="BM1266" s="14"/>
    </row>
    <row r="1267" spans="3:65" s="13" customFormat="1" ht="30" customHeight="1" x14ac:dyDescent="0.2">
      <c r="C1267" s="379"/>
      <c r="H1267" s="379"/>
      <c r="N1267" s="379"/>
      <c r="O1267" s="394"/>
      <c r="Q1267" s="379"/>
      <c r="BK1267" s="14"/>
      <c r="BL1267" s="14"/>
      <c r="BM1267" s="14"/>
    </row>
    <row r="1268" spans="3:65" s="13" customFormat="1" ht="30" customHeight="1" x14ac:dyDescent="0.2">
      <c r="C1268" s="379"/>
      <c r="H1268" s="379"/>
      <c r="N1268" s="379"/>
      <c r="O1268" s="394"/>
      <c r="Q1268" s="379"/>
      <c r="BK1268" s="14"/>
      <c r="BL1268" s="14"/>
      <c r="BM1268" s="14"/>
    </row>
    <row r="1269" spans="3:65" s="13" customFormat="1" ht="30" customHeight="1" x14ac:dyDescent="0.2">
      <c r="C1269" s="379"/>
      <c r="H1269" s="379"/>
      <c r="N1269" s="379"/>
      <c r="O1269" s="394"/>
      <c r="Q1269" s="379"/>
      <c r="BK1269" s="14"/>
      <c r="BL1269" s="14"/>
      <c r="BM1269" s="14"/>
    </row>
    <row r="1270" spans="3:65" s="13" customFormat="1" ht="30" customHeight="1" x14ac:dyDescent="0.2">
      <c r="C1270" s="379"/>
      <c r="H1270" s="379"/>
      <c r="N1270" s="379"/>
      <c r="O1270" s="394"/>
      <c r="Q1270" s="379"/>
      <c r="BK1270" s="14"/>
      <c r="BL1270" s="14"/>
      <c r="BM1270" s="14"/>
    </row>
    <row r="1271" spans="3:65" s="13" customFormat="1" ht="30" customHeight="1" x14ac:dyDescent="0.2">
      <c r="C1271" s="379"/>
      <c r="H1271" s="379"/>
      <c r="N1271" s="379"/>
      <c r="O1271" s="394"/>
      <c r="Q1271" s="379"/>
      <c r="BK1271" s="14"/>
      <c r="BL1271" s="14"/>
      <c r="BM1271" s="14"/>
    </row>
    <row r="1272" spans="3:65" s="13" customFormat="1" ht="30" customHeight="1" x14ac:dyDescent="0.2">
      <c r="C1272" s="379"/>
      <c r="H1272" s="379"/>
      <c r="N1272" s="379"/>
      <c r="O1272" s="394"/>
      <c r="Q1272" s="379"/>
      <c r="BK1272" s="14"/>
      <c r="BL1272" s="14"/>
      <c r="BM1272" s="14"/>
    </row>
    <row r="1273" spans="3:65" s="13" customFormat="1" ht="30" customHeight="1" x14ac:dyDescent="0.2">
      <c r="C1273" s="379"/>
      <c r="H1273" s="379"/>
      <c r="N1273" s="379"/>
      <c r="O1273" s="394"/>
      <c r="Q1273" s="379"/>
      <c r="BK1273" s="14"/>
      <c r="BL1273" s="14"/>
      <c r="BM1273" s="14"/>
    </row>
    <row r="1274" spans="3:65" s="13" customFormat="1" ht="30" customHeight="1" x14ac:dyDescent="0.2">
      <c r="C1274" s="379"/>
      <c r="H1274" s="379"/>
      <c r="N1274" s="379"/>
      <c r="O1274" s="394"/>
      <c r="Q1274" s="379"/>
      <c r="BK1274" s="14"/>
      <c r="BL1274" s="14"/>
      <c r="BM1274" s="14"/>
    </row>
    <row r="1275" spans="3:65" s="13" customFormat="1" ht="30" customHeight="1" x14ac:dyDescent="0.2">
      <c r="C1275" s="379"/>
      <c r="H1275" s="379"/>
      <c r="N1275" s="379"/>
      <c r="O1275" s="394"/>
      <c r="Q1275" s="379"/>
      <c r="BK1275" s="14"/>
      <c r="BL1275" s="14"/>
      <c r="BM1275" s="14"/>
    </row>
    <row r="1276" spans="3:65" s="13" customFormat="1" ht="30" customHeight="1" x14ac:dyDescent="0.2">
      <c r="C1276" s="379"/>
      <c r="H1276" s="379"/>
      <c r="N1276" s="379"/>
      <c r="O1276" s="394"/>
      <c r="Q1276" s="379"/>
      <c r="BK1276" s="14"/>
      <c r="BL1276" s="14"/>
      <c r="BM1276" s="14"/>
    </row>
    <row r="1277" spans="3:65" s="13" customFormat="1" ht="30" customHeight="1" x14ac:dyDescent="0.2">
      <c r="C1277" s="379"/>
      <c r="H1277" s="379"/>
      <c r="N1277" s="379"/>
      <c r="O1277" s="394"/>
      <c r="Q1277" s="379"/>
      <c r="BK1277" s="14"/>
      <c r="BL1277" s="14"/>
      <c r="BM1277" s="14"/>
    </row>
    <row r="1278" spans="3:65" s="13" customFormat="1" ht="30" customHeight="1" x14ac:dyDescent="0.2">
      <c r="C1278" s="379"/>
      <c r="H1278" s="379"/>
      <c r="N1278" s="379"/>
      <c r="O1278" s="394"/>
      <c r="Q1278" s="379"/>
      <c r="BK1278" s="14"/>
      <c r="BL1278" s="14"/>
      <c r="BM1278" s="14"/>
    </row>
    <row r="1279" spans="3:65" s="13" customFormat="1" ht="30" customHeight="1" x14ac:dyDescent="0.2">
      <c r="C1279" s="379"/>
      <c r="H1279" s="379"/>
      <c r="N1279" s="379"/>
      <c r="O1279" s="394"/>
      <c r="Q1279" s="379"/>
      <c r="BK1279" s="14"/>
      <c r="BL1279" s="14"/>
      <c r="BM1279" s="14"/>
    </row>
    <row r="1280" spans="3:65" s="13" customFormat="1" ht="30" customHeight="1" x14ac:dyDescent="0.2">
      <c r="C1280" s="379"/>
      <c r="H1280" s="379"/>
      <c r="N1280" s="379"/>
      <c r="O1280" s="394"/>
      <c r="Q1280" s="379"/>
      <c r="BK1280" s="14"/>
      <c r="BL1280" s="14"/>
      <c r="BM1280" s="14"/>
    </row>
    <row r="1281" spans="3:65" s="13" customFormat="1" ht="30" customHeight="1" x14ac:dyDescent="0.2">
      <c r="C1281" s="379"/>
      <c r="H1281" s="379"/>
      <c r="N1281" s="379"/>
      <c r="O1281" s="394"/>
      <c r="Q1281" s="379"/>
      <c r="BK1281" s="14"/>
      <c r="BL1281" s="14"/>
      <c r="BM1281" s="14"/>
    </row>
    <row r="1282" spans="3:65" s="13" customFormat="1" ht="30" customHeight="1" x14ac:dyDescent="0.2">
      <c r="C1282" s="379"/>
      <c r="H1282" s="379"/>
      <c r="N1282" s="379"/>
      <c r="O1282" s="394"/>
      <c r="Q1282" s="379"/>
      <c r="BK1282" s="14"/>
      <c r="BL1282" s="14"/>
      <c r="BM1282" s="14"/>
    </row>
    <row r="1283" spans="3:65" s="13" customFormat="1" ht="30" customHeight="1" x14ac:dyDescent="0.2">
      <c r="C1283" s="379"/>
      <c r="H1283" s="379"/>
      <c r="N1283" s="379"/>
      <c r="O1283" s="394"/>
      <c r="Q1283" s="379"/>
      <c r="BK1283" s="14"/>
      <c r="BL1283" s="14"/>
      <c r="BM1283" s="14"/>
    </row>
    <row r="1284" spans="3:65" s="13" customFormat="1" ht="30" customHeight="1" x14ac:dyDescent="0.2">
      <c r="C1284" s="379"/>
      <c r="H1284" s="379"/>
      <c r="N1284" s="379"/>
      <c r="O1284" s="394"/>
      <c r="Q1284" s="379"/>
      <c r="BK1284" s="14"/>
      <c r="BL1284" s="14"/>
      <c r="BM1284" s="14"/>
    </row>
    <row r="1285" spans="3:65" s="13" customFormat="1" ht="30" customHeight="1" x14ac:dyDescent="0.2">
      <c r="C1285" s="379"/>
      <c r="H1285" s="379"/>
      <c r="N1285" s="379"/>
      <c r="O1285" s="394"/>
      <c r="Q1285" s="379"/>
      <c r="BK1285" s="14"/>
      <c r="BL1285" s="14"/>
      <c r="BM1285" s="14"/>
    </row>
    <row r="1286" spans="3:65" s="13" customFormat="1" ht="30" customHeight="1" x14ac:dyDescent="0.2">
      <c r="C1286" s="379"/>
      <c r="H1286" s="379"/>
      <c r="N1286" s="379"/>
      <c r="O1286" s="394"/>
      <c r="Q1286" s="379"/>
      <c r="BK1286" s="14"/>
      <c r="BL1286" s="14"/>
      <c r="BM1286" s="14"/>
    </row>
    <row r="1287" spans="3:65" s="13" customFormat="1" ht="30" customHeight="1" x14ac:dyDescent="0.2">
      <c r="C1287" s="379"/>
      <c r="H1287" s="379"/>
      <c r="N1287" s="379"/>
      <c r="O1287" s="394"/>
      <c r="Q1287" s="379"/>
      <c r="BK1287" s="14"/>
      <c r="BL1287" s="14"/>
      <c r="BM1287" s="14"/>
    </row>
    <row r="1288" spans="3:65" s="13" customFormat="1" ht="30" customHeight="1" x14ac:dyDescent="0.2">
      <c r="C1288" s="379"/>
      <c r="H1288" s="379"/>
      <c r="N1288" s="379"/>
      <c r="O1288" s="394"/>
      <c r="Q1288" s="379"/>
      <c r="BK1288" s="14"/>
      <c r="BL1288" s="14"/>
      <c r="BM1288" s="14"/>
    </row>
    <row r="1289" spans="3:65" s="13" customFormat="1" ht="30" customHeight="1" x14ac:dyDescent="0.2">
      <c r="C1289" s="379"/>
      <c r="H1289" s="379"/>
      <c r="N1289" s="379"/>
      <c r="O1289" s="394"/>
      <c r="Q1289" s="379"/>
      <c r="BK1289" s="14"/>
      <c r="BL1289" s="14"/>
      <c r="BM1289" s="14"/>
    </row>
    <row r="1290" spans="3:65" s="13" customFormat="1" ht="30" customHeight="1" x14ac:dyDescent="0.2">
      <c r="C1290" s="379"/>
      <c r="H1290" s="379"/>
      <c r="N1290" s="379"/>
      <c r="O1290" s="394"/>
      <c r="Q1290" s="379"/>
      <c r="BK1290" s="14"/>
      <c r="BL1290" s="14"/>
      <c r="BM1290" s="14"/>
    </row>
    <row r="1291" spans="3:65" s="13" customFormat="1" ht="30" customHeight="1" x14ac:dyDescent="0.2">
      <c r="C1291" s="379"/>
      <c r="H1291" s="379"/>
      <c r="N1291" s="379"/>
      <c r="O1291" s="394"/>
      <c r="Q1291" s="379"/>
      <c r="BK1291" s="14"/>
      <c r="BL1291" s="14"/>
      <c r="BM1291" s="14"/>
    </row>
    <row r="1292" spans="3:65" s="13" customFormat="1" ht="30" customHeight="1" x14ac:dyDescent="0.2">
      <c r="C1292" s="379"/>
      <c r="H1292" s="379"/>
      <c r="N1292" s="379"/>
      <c r="O1292" s="394"/>
      <c r="Q1292" s="379"/>
      <c r="BK1292" s="14"/>
      <c r="BL1292" s="14"/>
      <c r="BM1292" s="14"/>
    </row>
    <row r="1293" spans="3:65" s="13" customFormat="1" ht="30" customHeight="1" x14ac:dyDescent="0.2">
      <c r="C1293" s="379"/>
      <c r="H1293" s="379"/>
      <c r="N1293" s="379"/>
      <c r="O1293" s="394"/>
      <c r="Q1293" s="379"/>
      <c r="BK1293" s="14"/>
      <c r="BL1293" s="14"/>
      <c r="BM1293" s="14"/>
    </row>
    <row r="1294" spans="3:65" s="13" customFormat="1" ht="30" customHeight="1" x14ac:dyDescent="0.2">
      <c r="C1294" s="379"/>
      <c r="H1294" s="379"/>
      <c r="N1294" s="379"/>
      <c r="O1294" s="394"/>
      <c r="Q1294" s="379"/>
      <c r="BK1294" s="14"/>
      <c r="BL1294" s="14"/>
      <c r="BM1294" s="14"/>
    </row>
    <row r="1295" spans="3:65" s="13" customFormat="1" ht="30" customHeight="1" x14ac:dyDescent="0.2">
      <c r="C1295" s="379"/>
      <c r="H1295" s="379"/>
      <c r="N1295" s="379"/>
      <c r="O1295" s="394"/>
      <c r="Q1295" s="379"/>
      <c r="BK1295" s="14"/>
      <c r="BL1295" s="14"/>
      <c r="BM1295" s="14"/>
    </row>
    <row r="1296" spans="3:65" s="13" customFormat="1" ht="30" customHeight="1" x14ac:dyDescent="0.2">
      <c r="C1296" s="379"/>
      <c r="H1296" s="379"/>
      <c r="N1296" s="379"/>
      <c r="O1296" s="394"/>
      <c r="Q1296" s="379"/>
      <c r="BK1296" s="14"/>
      <c r="BL1296" s="14"/>
      <c r="BM1296" s="14"/>
    </row>
    <row r="1297" spans="3:65" s="13" customFormat="1" ht="30" customHeight="1" x14ac:dyDescent="0.2">
      <c r="C1297" s="379"/>
      <c r="H1297" s="379"/>
      <c r="N1297" s="379"/>
      <c r="O1297" s="394"/>
      <c r="Q1297" s="379"/>
      <c r="BK1297" s="14"/>
      <c r="BL1297" s="14"/>
      <c r="BM1297" s="14"/>
    </row>
    <row r="1298" spans="3:65" s="13" customFormat="1" ht="30" customHeight="1" x14ac:dyDescent="0.2">
      <c r="C1298" s="379"/>
      <c r="H1298" s="379"/>
      <c r="N1298" s="379"/>
      <c r="O1298" s="394"/>
      <c r="Q1298" s="379"/>
      <c r="BK1298" s="14"/>
      <c r="BL1298" s="14"/>
      <c r="BM1298" s="14"/>
    </row>
    <row r="1299" spans="3:65" s="13" customFormat="1" ht="30" customHeight="1" x14ac:dyDescent="0.2">
      <c r="C1299" s="379"/>
      <c r="H1299" s="379"/>
      <c r="N1299" s="379"/>
      <c r="O1299" s="394"/>
      <c r="Q1299" s="379"/>
      <c r="BK1299" s="14"/>
      <c r="BL1299" s="14"/>
      <c r="BM1299" s="14"/>
    </row>
    <row r="1300" spans="3:65" s="13" customFormat="1" ht="30" customHeight="1" x14ac:dyDescent="0.2">
      <c r="C1300" s="379"/>
      <c r="H1300" s="379"/>
      <c r="N1300" s="379"/>
      <c r="O1300" s="394"/>
      <c r="Q1300" s="379"/>
      <c r="BK1300" s="14"/>
      <c r="BL1300" s="14"/>
      <c r="BM1300" s="14"/>
    </row>
    <row r="1301" spans="3:65" s="13" customFormat="1" ht="30" customHeight="1" x14ac:dyDescent="0.2">
      <c r="C1301" s="379"/>
      <c r="H1301" s="379"/>
      <c r="N1301" s="379"/>
      <c r="O1301" s="394"/>
      <c r="Q1301" s="379"/>
      <c r="BK1301" s="14"/>
      <c r="BL1301" s="14"/>
      <c r="BM1301" s="14"/>
    </row>
    <row r="1302" spans="3:65" s="13" customFormat="1" ht="30" customHeight="1" x14ac:dyDescent="0.2">
      <c r="C1302" s="379"/>
      <c r="H1302" s="379"/>
      <c r="N1302" s="379"/>
      <c r="O1302" s="394"/>
      <c r="Q1302" s="379"/>
      <c r="BK1302" s="14"/>
      <c r="BL1302" s="14"/>
      <c r="BM1302" s="14"/>
    </row>
    <row r="1303" spans="3:65" s="13" customFormat="1" ht="30" customHeight="1" x14ac:dyDescent="0.2">
      <c r="C1303" s="379"/>
      <c r="H1303" s="379"/>
      <c r="N1303" s="379"/>
      <c r="O1303" s="394"/>
      <c r="Q1303" s="379"/>
      <c r="BK1303" s="14"/>
      <c r="BL1303" s="14"/>
      <c r="BM1303" s="14"/>
    </row>
    <row r="1304" spans="3:65" s="13" customFormat="1" ht="30" customHeight="1" x14ac:dyDescent="0.2">
      <c r="C1304" s="379"/>
      <c r="H1304" s="379"/>
      <c r="N1304" s="379"/>
      <c r="O1304" s="394"/>
      <c r="Q1304" s="379"/>
      <c r="BK1304" s="14"/>
      <c r="BL1304" s="14"/>
      <c r="BM1304" s="14"/>
    </row>
    <row r="1305" spans="3:65" s="13" customFormat="1" ht="30" customHeight="1" x14ac:dyDescent="0.2">
      <c r="C1305" s="379"/>
      <c r="H1305" s="379"/>
      <c r="N1305" s="379"/>
      <c r="O1305" s="394"/>
      <c r="Q1305" s="379"/>
      <c r="BK1305" s="14"/>
      <c r="BL1305" s="14"/>
      <c r="BM1305" s="14"/>
    </row>
    <row r="1306" spans="3:65" s="13" customFormat="1" ht="30" customHeight="1" x14ac:dyDescent="0.2">
      <c r="C1306" s="379"/>
      <c r="H1306" s="379"/>
      <c r="N1306" s="379"/>
      <c r="O1306" s="394"/>
      <c r="Q1306" s="379"/>
      <c r="BK1306" s="14"/>
      <c r="BL1306" s="14"/>
      <c r="BM1306" s="14"/>
    </row>
    <row r="1307" spans="3:65" s="13" customFormat="1" ht="30" customHeight="1" x14ac:dyDescent="0.2">
      <c r="C1307" s="379"/>
      <c r="H1307" s="379"/>
      <c r="N1307" s="379"/>
      <c r="O1307" s="394"/>
      <c r="Q1307" s="379"/>
      <c r="BK1307" s="14"/>
      <c r="BL1307" s="14"/>
      <c r="BM1307" s="14"/>
    </row>
    <row r="1308" spans="3:65" s="13" customFormat="1" ht="30" customHeight="1" x14ac:dyDescent="0.2">
      <c r="C1308" s="379"/>
      <c r="H1308" s="379"/>
      <c r="N1308" s="379"/>
      <c r="O1308" s="394"/>
      <c r="Q1308" s="379"/>
      <c r="BK1308" s="14"/>
      <c r="BL1308" s="14"/>
      <c r="BM1308" s="14"/>
    </row>
    <row r="1309" spans="3:65" s="13" customFormat="1" ht="30" customHeight="1" x14ac:dyDescent="0.2">
      <c r="C1309" s="379"/>
      <c r="H1309" s="379"/>
      <c r="N1309" s="379"/>
      <c r="O1309" s="394"/>
      <c r="Q1309" s="379"/>
      <c r="BK1309" s="14"/>
      <c r="BL1309" s="14"/>
      <c r="BM1309" s="14"/>
    </row>
    <row r="1310" spans="3:65" s="13" customFormat="1" ht="30" customHeight="1" x14ac:dyDescent="0.2">
      <c r="C1310" s="379"/>
      <c r="H1310" s="379"/>
      <c r="N1310" s="379"/>
      <c r="O1310" s="394"/>
      <c r="Q1310" s="379"/>
      <c r="BK1310" s="14"/>
      <c r="BL1310" s="14"/>
      <c r="BM1310" s="14"/>
    </row>
    <row r="1311" spans="3:65" s="13" customFormat="1" ht="30" customHeight="1" x14ac:dyDescent="0.2">
      <c r="C1311" s="379"/>
      <c r="H1311" s="379"/>
      <c r="N1311" s="379"/>
      <c r="O1311" s="394"/>
      <c r="Q1311" s="379"/>
      <c r="BK1311" s="14"/>
      <c r="BL1311" s="14"/>
      <c r="BM1311" s="14"/>
    </row>
    <row r="1312" spans="3:65" s="13" customFormat="1" ht="30" customHeight="1" x14ac:dyDescent="0.2">
      <c r="C1312" s="379"/>
      <c r="H1312" s="379"/>
      <c r="N1312" s="379"/>
      <c r="O1312" s="394"/>
      <c r="Q1312" s="379"/>
      <c r="BK1312" s="14"/>
      <c r="BL1312" s="14"/>
      <c r="BM1312" s="14"/>
    </row>
    <row r="1313" spans="3:65" s="13" customFormat="1" ht="30" customHeight="1" x14ac:dyDescent="0.2">
      <c r="C1313" s="379"/>
      <c r="H1313" s="379"/>
      <c r="N1313" s="379"/>
      <c r="O1313" s="394"/>
      <c r="Q1313" s="379"/>
      <c r="BK1313" s="14"/>
      <c r="BL1313" s="14"/>
      <c r="BM1313" s="14"/>
    </row>
    <row r="1314" spans="3:65" s="13" customFormat="1" ht="30" customHeight="1" x14ac:dyDescent="0.2">
      <c r="C1314" s="379"/>
      <c r="H1314" s="379"/>
      <c r="N1314" s="379"/>
      <c r="O1314" s="394"/>
      <c r="Q1314" s="379"/>
      <c r="BK1314" s="14"/>
      <c r="BL1314" s="14"/>
      <c r="BM1314" s="14"/>
    </row>
    <row r="1315" spans="3:65" s="13" customFormat="1" ht="30" customHeight="1" x14ac:dyDescent="0.2">
      <c r="C1315" s="379"/>
      <c r="H1315" s="379"/>
      <c r="N1315" s="379"/>
      <c r="O1315" s="394"/>
      <c r="Q1315" s="379"/>
      <c r="BK1315" s="14"/>
      <c r="BL1315" s="14"/>
      <c r="BM1315" s="14"/>
    </row>
    <row r="1316" spans="3:65" s="13" customFormat="1" ht="30" customHeight="1" x14ac:dyDescent="0.2">
      <c r="C1316" s="379"/>
      <c r="H1316" s="379"/>
      <c r="N1316" s="379"/>
      <c r="O1316" s="394"/>
      <c r="Q1316" s="379"/>
      <c r="BK1316" s="14"/>
      <c r="BL1316" s="14"/>
      <c r="BM1316" s="14"/>
    </row>
    <row r="1317" spans="3:65" s="13" customFormat="1" ht="30" customHeight="1" x14ac:dyDescent="0.2">
      <c r="C1317" s="379"/>
      <c r="H1317" s="379"/>
      <c r="N1317" s="379"/>
      <c r="O1317" s="394"/>
      <c r="Q1317" s="379"/>
      <c r="BK1317" s="14"/>
      <c r="BL1317" s="14"/>
      <c r="BM1317" s="14"/>
    </row>
    <row r="1318" spans="3:65" s="13" customFormat="1" ht="30" customHeight="1" x14ac:dyDescent="0.2">
      <c r="C1318" s="379"/>
      <c r="H1318" s="379"/>
      <c r="N1318" s="379"/>
      <c r="O1318" s="394"/>
      <c r="Q1318" s="379"/>
      <c r="BK1318" s="14"/>
      <c r="BL1318" s="14"/>
      <c r="BM1318" s="14"/>
    </row>
    <row r="1319" spans="3:65" s="13" customFormat="1" ht="30" customHeight="1" x14ac:dyDescent="0.2">
      <c r="C1319" s="379"/>
      <c r="H1319" s="379"/>
      <c r="N1319" s="379"/>
      <c r="O1319" s="394"/>
      <c r="Q1319" s="379"/>
      <c r="BK1319" s="14"/>
      <c r="BL1319" s="14"/>
      <c r="BM1319" s="14"/>
    </row>
    <row r="1320" spans="3:65" s="13" customFormat="1" ht="30" customHeight="1" x14ac:dyDescent="0.2">
      <c r="C1320" s="379"/>
      <c r="H1320" s="379"/>
      <c r="N1320" s="379"/>
      <c r="O1320" s="394"/>
      <c r="Q1320" s="379"/>
      <c r="BK1320" s="14"/>
      <c r="BL1320" s="14"/>
      <c r="BM1320" s="14"/>
    </row>
    <row r="1321" spans="3:65" s="13" customFormat="1" ht="30" customHeight="1" x14ac:dyDescent="0.2">
      <c r="C1321" s="379"/>
      <c r="H1321" s="379"/>
      <c r="N1321" s="379"/>
      <c r="O1321" s="394"/>
      <c r="Q1321" s="379"/>
      <c r="BK1321" s="14"/>
      <c r="BL1321" s="14"/>
      <c r="BM1321" s="14"/>
    </row>
    <row r="1322" spans="3:65" s="13" customFormat="1" ht="30" customHeight="1" x14ac:dyDescent="0.2">
      <c r="C1322" s="379"/>
      <c r="H1322" s="379"/>
      <c r="N1322" s="379"/>
      <c r="O1322" s="394"/>
      <c r="Q1322" s="379"/>
      <c r="BK1322" s="14"/>
      <c r="BL1322" s="14"/>
      <c r="BM1322" s="14"/>
    </row>
    <row r="1323" spans="3:65" s="13" customFormat="1" ht="30" customHeight="1" x14ac:dyDescent="0.2">
      <c r="C1323" s="379"/>
      <c r="H1323" s="379"/>
      <c r="N1323" s="379"/>
      <c r="O1323" s="394"/>
      <c r="Q1323" s="379"/>
      <c r="BK1323" s="14"/>
      <c r="BL1323" s="14"/>
      <c r="BM1323" s="14"/>
    </row>
    <row r="1324" spans="3:65" s="13" customFormat="1" ht="30" customHeight="1" x14ac:dyDescent="0.2">
      <c r="C1324" s="379"/>
      <c r="H1324" s="379"/>
      <c r="N1324" s="379"/>
      <c r="O1324" s="394"/>
      <c r="Q1324" s="379"/>
      <c r="BK1324" s="14"/>
      <c r="BL1324" s="14"/>
      <c r="BM1324" s="14"/>
    </row>
    <row r="1325" spans="3:65" s="13" customFormat="1" ht="30" customHeight="1" x14ac:dyDescent="0.2">
      <c r="C1325" s="379"/>
      <c r="H1325" s="379"/>
      <c r="N1325" s="379"/>
      <c r="O1325" s="394"/>
      <c r="Q1325" s="379"/>
      <c r="BK1325" s="14"/>
      <c r="BL1325" s="14"/>
      <c r="BM1325" s="14"/>
    </row>
    <row r="1326" spans="3:65" s="13" customFormat="1" ht="30" customHeight="1" x14ac:dyDescent="0.2">
      <c r="C1326" s="379"/>
      <c r="H1326" s="379"/>
      <c r="N1326" s="379"/>
      <c r="O1326" s="394"/>
      <c r="Q1326" s="379"/>
      <c r="BK1326" s="14"/>
      <c r="BL1326" s="14"/>
      <c r="BM1326" s="14"/>
    </row>
    <row r="1327" spans="3:65" s="13" customFormat="1" ht="30" customHeight="1" x14ac:dyDescent="0.2">
      <c r="C1327" s="379"/>
      <c r="H1327" s="379"/>
      <c r="N1327" s="379"/>
      <c r="O1327" s="394"/>
      <c r="Q1327" s="379"/>
      <c r="BK1327" s="14"/>
      <c r="BL1327" s="14"/>
      <c r="BM1327" s="14"/>
    </row>
    <row r="1328" spans="3:65" s="13" customFormat="1" ht="30" customHeight="1" x14ac:dyDescent="0.2">
      <c r="C1328" s="379"/>
      <c r="H1328" s="379"/>
      <c r="N1328" s="379"/>
      <c r="O1328" s="394"/>
      <c r="Q1328" s="379"/>
      <c r="BK1328" s="14"/>
      <c r="BL1328" s="14"/>
      <c r="BM1328" s="14"/>
    </row>
    <row r="1329" spans="3:65" s="13" customFormat="1" ht="30" customHeight="1" x14ac:dyDescent="0.2">
      <c r="C1329" s="379"/>
      <c r="H1329" s="379"/>
      <c r="N1329" s="379"/>
      <c r="O1329" s="394"/>
      <c r="Q1329" s="379"/>
      <c r="BK1329" s="14"/>
      <c r="BL1329" s="14"/>
      <c r="BM1329" s="14"/>
    </row>
    <row r="1330" spans="3:65" s="13" customFormat="1" ht="30" customHeight="1" x14ac:dyDescent="0.2">
      <c r="C1330" s="379"/>
      <c r="H1330" s="379"/>
      <c r="N1330" s="379"/>
      <c r="O1330" s="394"/>
      <c r="Q1330" s="379"/>
      <c r="BK1330" s="14"/>
      <c r="BL1330" s="14"/>
      <c r="BM1330" s="14"/>
    </row>
    <row r="1331" spans="3:65" s="13" customFormat="1" ht="30" customHeight="1" x14ac:dyDescent="0.2">
      <c r="C1331" s="379"/>
      <c r="H1331" s="379"/>
      <c r="N1331" s="379"/>
      <c r="O1331" s="394"/>
      <c r="Q1331" s="379"/>
      <c r="BK1331" s="14"/>
      <c r="BL1331" s="14"/>
      <c r="BM1331" s="14"/>
    </row>
    <row r="1332" spans="3:65" s="13" customFormat="1" ht="30" customHeight="1" x14ac:dyDescent="0.2">
      <c r="C1332" s="379"/>
      <c r="H1332" s="379"/>
      <c r="N1332" s="379"/>
      <c r="O1332" s="394"/>
      <c r="Q1332" s="379"/>
      <c r="BK1332" s="14"/>
      <c r="BL1332" s="14"/>
      <c r="BM1332" s="14"/>
    </row>
    <row r="1333" spans="3:65" s="13" customFormat="1" ht="30" customHeight="1" x14ac:dyDescent="0.2">
      <c r="C1333" s="379"/>
      <c r="H1333" s="379"/>
      <c r="N1333" s="379"/>
      <c r="O1333" s="394"/>
      <c r="Q1333" s="379"/>
      <c r="BK1333" s="14"/>
      <c r="BL1333" s="14"/>
      <c r="BM1333" s="14"/>
    </row>
    <row r="1334" spans="3:65" s="13" customFormat="1" ht="30" customHeight="1" x14ac:dyDescent="0.2">
      <c r="C1334" s="379"/>
      <c r="H1334" s="379"/>
      <c r="N1334" s="379"/>
      <c r="O1334" s="394"/>
      <c r="Q1334" s="379"/>
      <c r="BK1334" s="14"/>
      <c r="BL1334" s="14"/>
      <c r="BM1334" s="14"/>
    </row>
    <row r="1335" spans="3:65" s="13" customFormat="1" ht="30" customHeight="1" x14ac:dyDescent="0.2">
      <c r="C1335" s="379"/>
      <c r="H1335" s="379"/>
      <c r="N1335" s="379"/>
      <c r="O1335" s="394"/>
      <c r="Q1335" s="379"/>
      <c r="BK1335" s="14"/>
      <c r="BL1335" s="14"/>
      <c r="BM1335" s="14"/>
    </row>
    <row r="1336" spans="3:65" s="13" customFormat="1" ht="30" customHeight="1" x14ac:dyDescent="0.2">
      <c r="C1336" s="379"/>
      <c r="H1336" s="379"/>
      <c r="N1336" s="379"/>
      <c r="O1336" s="394"/>
      <c r="Q1336" s="379"/>
      <c r="BK1336" s="14"/>
      <c r="BL1336" s="14"/>
      <c r="BM1336" s="14"/>
    </row>
    <row r="1337" spans="3:65" s="13" customFormat="1" ht="30" customHeight="1" x14ac:dyDescent="0.2">
      <c r="C1337" s="379"/>
      <c r="H1337" s="379"/>
      <c r="N1337" s="379"/>
      <c r="O1337" s="394"/>
      <c r="Q1337" s="379"/>
      <c r="BK1337" s="14"/>
      <c r="BL1337" s="14"/>
      <c r="BM1337" s="14"/>
    </row>
    <row r="1338" spans="3:65" s="13" customFormat="1" ht="30" customHeight="1" x14ac:dyDescent="0.2">
      <c r="C1338" s="379"/>
      <c r="H1338" s="379"/>
      <c r="N1338" s="379"/>
      <c r="O1338" s="394"/>
      <c r="Q1338" s="379"/>
      <c r="BK1338" s="14"/>
      <c r="BL1338" s="14"/>
      <c r="BM1338" s="14"/>
    </row>
    <row r="1339" spans="3:65" s="13" customFormat="1" ht="30" customHeight="1" x14ac:dyDescent="0.2">
      <c r="C1339" s="379"/>
      <c r="H1339" s="379"/>
      <c r="N1339" s="379"/>
      <c r="O1339" s="394"/>
      <c r="Q1339" s="379"/>
      <c r="BK1339" s="14"/>
      <c r="BL1339" s="14"/>
      <c r="BM1339" s="14"/>
    </row>
    <row r="1340" spans="3:65" s="13" customFormat="1" ht="30" customHeight="1" x14ac:dyDescent="0.2">
      <c r="C1340" s="379"/>
      <c r="H1340" s="379"/>
      <c r="N1340" s="379"/>
      <c r="O1340" s="394"/>
      <c r="Q1340" s="379"/>
      <c r="BK1340" s="14"/>
      <c r="BL1340" s="14"/>
      <c r="BM1340" s="14"/>
    </row>
    <row r="1341" spans="3:65" s="13" customFormat="1" ht="30" customHeight="1" x14ac:dyDescent="0.2">
      <c r="C1341" s="379"/>
      <c r="H1341" s="379"/>
      <c r="N1341" s="379"/>
      <c r="O1341" s="394"/>
      <c r="Q1341" s="379"/>
      <c r="BK1341" s="14"/>
      <c r="BL1341" s="14"/>
      <c r="BM1341" s="14"/>
    </row>
    <row r="1342" spans="3:65" s="13" customFormat="1" ht="30" customHeight="1" x14ac:dyDescent="0.2">
      <c r="C1342" s="379"/>
      <c r="H1342" s="379"/>
      <c r="N1342" s="379"/>
      <c r="O1342" s="394"/>
      <c r="Q1342" s="379"/>
      <c r="BK1342" s="14"/>
      <c r="BL1342" s="14"/>
      <c r="BM1342" s="14"/>
    </row>
    <row r="1343" spans="3:65" s="13" customFormat="1" ht="30" customHeight="1" x14ac:dyDescent="0.2">
      <c r="C1343" s="379"/>
      <c r="H1343" s="379"/>
      <c r="N1343" s="379"/>
      <c r="O1343" s="394"/>
      <c r="Q1343" s="379"/>
      <c r="BK1343" s="14"/>
      <c r="BL1343" s="14"/>
      <c r="BM1343" s="14"/>
    </row>
    <row r="1344" spans="3:65" s="13" customFormat="1" ht="30" customHeight="1" x14ac:dyDescent="0.2">
      <c r="C1344" s="379"/>
      <c r="H1344" s="379"/>
      <c r="N1344" s="379"/>
      <c r="O1344" s="394"/>
      <c r="Q1344" s="379"/>
      <c r="BK1344" s="14"/>
      <c r="BL1344" s="14"/>
      <c r="BM1344" s="14"/>
    </row>
    <row r="1345" spans="3:65" s="13" customFormat="1" ht="30" customHeight="1" x14ac:dyDescent="0.2">
      <c r="C1345" s="379"/>
      <c r="H1345" s="379"/>
      <c r="N1345" s="379"/>
      <c r="O1345" s="394"/>
      <c r="Q1345" s="379"/>
      <c r="BK1345" s="14"/>
      <c r="BL1345" s="14"/>
      <c r="BM1345" s="14"/>
    </row>
    <row r="1346" spans="3:65" s="13" customFormat="1" ht="30" customHeight="1" x14ac:dyDescent="0.2">
      <c r="C1346" s="379"/>
      <c r="H1346" s="379"/>
      <c r="N1346" s="379"/>
      <c r="O1346" s="394"/>
      <c r="Q1346" s="379"/>
      <c r="BK1346" s="14"/>
      <c r="BL1346" s="14"/>
      <c r="BM1346" s="14"/>
    </row>
    <row r="1347" spans="3:65" s="13" customFormat="1" ht="30" customHeight="1" x14ac:dyDescent="0.2">
      <c r="C1347" s="379"/>
      <c r="H1347" s="379"/>
      <c r="N1347" s="379"/>
      <c r="O1347" s="394"/>
      <c r="Q1347" s="379"/>
      <c r="BK1347" s="14"/>
      <c r="BL1347" s="14"/>
      <c r="BM1347" s="14"/>
    </row>
    <row r="1348" spans="3:65" s="13" customFormat="1" ht="30" customHeight="1" x14ac:dyDescent="0.2">
      <c r="C1348" s="379"/>
      <c r="H1348" s="379"/>
      <c r="N1348" s="379"/>
      <c r="O1348" s="394"/>
      <c r="Q1348" s="379"/>
      <c r="BK1348" s="14"/>
      <c r="BL1348" s="14"/>
      <c r="BM1348" s="14"/>
    </row>
    <row r="1349" spans="3:65" s="13" customFormat="1" ht="30" customHeight="1" x14ac:dyDescent="0.2">
      <c r="C1349" s="379"/>
      <c r="H1349" s="379"/>
      <c r="N1349" s="379"/>
      <c r="O1349" s="394"/>
      <c r="Q1349" s="379"/>
      <c r="BK1349" s="14"/>
      <c r="BL1349" s="14"/>
      <c r="BM1349" s="14"/>
    </row>
    <row r="1350" spans="3:65" s="13" customFormat="1" ht="30" customHeight="1" x14ac:dyDescent="0.2">
      <c r="C1350" s="379"/>
      <c r="H1350" s="379"/>
      <c r="N1350" s="379"/>
      <c r="O1350" s="394"/>
      <c r="Q1350" s="379"/>
      <c r="BK1350" s="14"/>
      <c r="BL1350" s="14"/>
      <c r="BM1350" s="14"/>
    </row>
    <row r="1351" spans="3:65" s="13" customFormat="1" ht="30" customHeight="1" x14ac:dyDescent="0.2">
      <c r="C1351" s="379"/>
      <c r="H1351" s="379"/>
      <c r="N1351" s="379"/>
      <c r="O1351" s="394"/>
      <c r="Q1351" s="379"/>
      <c r="BK1351" s="14"/>
      <c r="BL1351" s="14"/>
      <c r="BM1351" s="14"/>
    </row>
    <row r="1352" spans="3:65" s="13" customFormat="1" ht="30" customHeight="1" x14ac:dyDescent="0.2">
      <c r="C1352" s="379"/>
      <c r="H1352" s="379"/>
      <c r="N1352" s="379"/>
      <c r="O1352" s="394"/>
      <c r="Q1352" s="379"/>
      <c r="BK1352" s="14"/>
      <c r="BL1352" s="14"/>
      <c r="BM1352" s="14"/>
    </row>
    <row r="1353" spans="3:65" s="13" customFormat="1" ht="30" customHeight="1" x14ac:dyDescent="0.2">
      <c r="C1353" s="379"/>
      <c r="H1353" s="379"/>
      <c r="N1353" s="379"/>
      <c r="O1353" s="394"/>
      <c r="Q1353" s="379"/>
      <c r="BK1353" s="14"/>
      <c r="BL1353" s="14"/>
      <c r="BM1353" s="14"/>
    </row>
    <row r="1354" spans="3:65" s="13" customFormat="1" ht="30" customHeight="1" x14ac:dyDescent="0.2">
      <c r="C1354" s="379"/>
      <c r="H1354" s="379"/>
      <c r="N1354" s="379"/>
      <c r="O1354" s="394"/>
      <c r="Q1354" s="379"/>
      <c r="BK1354" s="14"/>
      <c r="BL1354" s="14"/>
      <c r="BM1354" s="14"/>
    </row>
  </sheetData>
  <sheetProtection password="CBEB" sheet="1" objects="1" scenarios="1"/>
  <autoFilter ref="M1:M1048576"/>
  <mergeCells count="481">
    <mergeCell ref="AP5:AR5"/>
    <mergeCell ref="AS5:AU5"/>
    <mergeCell ref="AV5:AX5"/>
    <mergeCell ref="BE5:BG5"/>
    <mergeCell ref="BH5:BJ5"/>
    <mergeCell ref="BK5:BM5"/>
    <mergeCell ref="J5:J6"/>
    <mergeCell ref="K5:L5"/>
    <mergeCell ref="M5:M6"/>
    <mergeCell ref="N5:N6"/>
    <mergeCell ref="O5:O6"/>
    <mergeCell ref="P5:P6"/>
    <mergeCell ref="M15:M19"/>
    <mergeCell ref="N15:N19"/>
    <mergeCell ref="O15:O19"/>
    <mergeCell ref="P15:P19"/>
    <mergeCell ref="Q5:Q6"/>
    <mergeCell ref="R5:T5"/>
    <mergeCell ref="U5:W5"/>
    <mergeCell ref="X5:Z5"/>
    <mergeCell ref="AD5:AF5"/>
    <mergeCell ref="O131:O135"/>
    <mergeCell ref="P131:P135"/>
    <mergeCell ref="N131:N135"/>
    <mergeCell ref="A1:BZ1"/>
    <mergeCell ref="A2:BZ2"/>
    <mergeCell ref="A3:BZ3"/>
    <mergeCell ref="A5:A6"/>
    <mergeCell ref="B5:B6"/>
    <mergeCell ref="C5:D6"/>
    <mergeCell ref="E5:E6"/>
    <mergeCell ref="F5:F6"/>
    <mergeCell ref="G5:G6"/>
    <mergeCell ref="H5:I6"/>
    <mergeCell ref="BQ5:BS5"/>
    <mergeCell ref="BT5:BV5"/>
    <mergeCell ref="BW5:BY5"/>
    <mergeCell ref="BZ5:CB5"/>
    <mergeCell ref="AY5:BA5"/>
    <mergeCell ref="BB5:BD5"/>
    <mergeCell ref="AA5:AC5"/>
    <mergeCell ref="BN5:BP5"/>
    <mergeCell ref="AG5:AI5"/>
    <mergeCell ref="AJ5:AL5"/>
    <mergeCell ref="AM5:AO5"/>
    <mergeCell ref="C75:C76"/>
    <mergeCell ref="D75:D76"/>
    <mergeCell ref="E75:E76"/>
    <mergeCell ref="F75:F76"/>
    <mergeCell ref="M75:M76"/>
    <mergeCell ref="N75:N76"/>
    <mergeCell ref="O75:O76"/>
    <mergeCell ref="P75:P76"/>
    <mergeCell ref="C72:C74"/>
    <mergeCell ref="D72:D74"/>
    <mergeCell ref="E72:E74"/>
    <mergeCell ref="F72:F74"/>
    <mergeCell ref="M72:M74"/>
    <mergeCell ref="N72:N74"/>
    <mergeCell ref="O72:O74"/>
    <mergeCell ref="P72:P74"/>
    <mergeCell ref="C54:C62"/>
    <mergeCell ref="D54:D62"/>
    <mergeCell ref="E54:E62"/>
    <mergeCell ref="F54:F62"/>
    <mergeCell ref="M54:M62"/>
    <mergeCell ref="N54:N62"/>
    <mergeCell ref="O54:O62"/>
    <mergeCell ref="P54:P62"/>
    <mergeCell ref="C45:C49"/>
    <mergeCell ref="D45:D49"/>
    <mergeCell ref="E45:E49"/>
    <mergeCell ref="F45:F49"/>
    <mergeCell ref="M45:M49"/>
    <mergeCell ref="N45:N49"/>
    <mergeCell ref="O45:O49"/>
    <mergeCell ref="P45:P49"/>
    <mergeCell ref="C92:C99"/>
    <mergeCell ref="D92:D99"/>
    <mergeCell ref="E92:E99"/>
    <mergeCell ref="F92:F99"/>
    <mergeCell ref="M92:M99"/>
    <mergeCell ref="O92:O99"/>
    <mergeCell ref="P92:P99"/>
    <mergeCell ref="C86:C88"/>
    <mergeCell ref="D86:D88"/>
    <mergeCell ref="E86:E88"/>
    <mergeCell ref="F86:F88"/>
    <mergeCell ref="M86:M88"/>
    <mergeCell ref="N86:N88"/>
    <mergeCell ref="O86:O88"/>
    <mergeCell ref="P86:P88"/>
    <mergeCell ref="C134:C135"/>
    <mergeCell ref="D134:D135"/>
    <mergeCell ref="E134:E135"/>
    <mergeCell ref="F134:F135"/>
    <mergeCell ref="C131:C133"/>
    <mergeCell ref="D131:D133"/>
    <mergeCell ref="E131:E133"/>
    <mergeCell ref="F131:F133"/>
    <mergeCell ref="M131:M135"/>
    <mergeCell ref="O139:O142"/>
    <mergeCell ref="P139:P142"/>
    <mergeCell ref="C141:C142"/>
    <mergeCell ref="D141:D142"/>
    <mergeCell ref="E141:E142"/>
    <mergeCell ref="F141:F142"/>
    <mergeCell ref="C139:C140"/>
    <mergeCell ref="D139:D140"/>
    <mergeCell ref="E139:E140"/>
    <mergeCell ref="F139:F140"/>
    <mergeCell ref="M139:M142"/>
    <mergeCell ref="N139:N142"/>
    <mergeCell ref="O148:O152"/>
    <mergeCell ref="P148:P152"/>
    <mergeCell ref="C156:C158"/>
    <mergeCell ref="D156:D158"/>
    <mergeCell ref="E156:E158"/>
    <mergeCell ref="F156:F158"/>
    <mergeCell ref="M156:M158"/>
    <mergeCell ref="N156:N158"/>
    <mergeCell ref="O156:O158"/>
    <mergeCell ref="P156:P158"/>
    <mergeCell ref="C148:C152"/>
    <mergeCell ref="D148:D152"/>
    <mergeCell ref="E148:E152"/>
    <mergeCell ref="F148:F152"/>
    <mergeCell ref="M148:M152"/>
    <mergeCell ref="N148:N152"/>
    <mergeCell ref="O162:O163"/>
    <mergeCell ref="P162:P163"/>
    <mergeCell ref="C169:C173"/>
    <mergeCell ref="D169:D173"/>
    <mergeCell ref="E169:E173"/>
    <mergeCell ref="F169:F173"/>
    <mergeCell ref="M169:M173"/>
    <mergeCell ref="N169:N173"/>
    <mergeCell ref="O169:O173"/>
    <mergeCell ref="P169:P173"/>
    <mergeCell ref="C162:C163"/>
    <mergeCell ref="D162:D163"/>
    <mergeCell ref="E162:E163"/>
    <mergeCell ref="F162:F163"/>
    <mergeCell ref="M162:M163"/>
    <mergeCell ref="N162:N163"/>
    <mergeCell ref="N177:N178"/>
    <mergeCell ref="O177:O178"/>
    <mergeCell ref="P177:P178"/>
    <mergeCell ref="C192:C196"/>
    <mergeCell ref="D192:D196"/>
    <mergeCell ref="E192:E196"/>
    <mergeCell ref="F192:F196"/>
    <mergeCell ref="M192:M196"/>
    <mergeCell ref="N192:N196"/>
    <mergeCell ref="O192:O196"/>
    <mergeCell ref="C177:C178"/>
    <mergeCell ref="D177:D178"/>
    <mergeCell ref="E177:E178"/>
    <mergeCell ref="F177:F178"/>
    <mergeCell ref="G177:G178"/>
    <mergeCell ref="M177:M178"/>
    <mergeCell ref="P192:P196"/>
    <mergeCell ref="C211:C213"/>
    <mergeCell ref="D211:D213"/>
    <mergeCell ref="E211:E213"/>
    <mergeCell ref="F211:F213"/>
    <mergeCell ref="M211:M213"/>
    <mergeCell ref="N211:N213"/>
    <mergeCell ref="O211:O213"/>
    <mergeCell ref="P211:P213"/>
    <mergeCell ref="O231:O232"/>
    <mergeCell ref="P231:P232"/>
    <mergeCell ref="M242:M243"/>
    <mergeCell ref="N242:N243"/>
    <mergeCell ref="O242:O243"/>
    <mergeCell ref="P242:P243"/>
    <mergeCell ref="C231:C232"/>
    <mergeCell ref="D231:D232"/>
    <mergeCell ref="E231:E232"/>
    <mergeCell ref="F231:F232"/>
    <mergeCell ref="M231:M232"/>
    <mergeCell ref="N231:N232"/>
    <mergeCell ref="O244:O246"/>
    <mergeCell ref="P244:P246"/>
    <mergeCell ref="G250:G253"/>
    <mergeCell ref="M250:M253"/>
    <mergeCell ref="N250:N253"/>
    <mergeCell ref="O250:O253"/>
    <mergeCell ref="P250:P253"/>
    <mergeCell ref="C244:C245"/>
    <mergeCell ref="D244:D245"/>
    <mergeCell ref="E244:E245"/>
    <mergeCell ref="F244:F245"/>
    <mergeCell ref="M244:M246"/>
    <mergeCell ref="N244:N246"/>
    <mergeCell ref="C265:C266"/>
    <mergeCell ref="D265:D266"/>
    <mergeCell ref="E265:E266"/>
    <mergeCell ref="F265:F266"/>
    <mergeCell ref="M265:M266"/>
    <mergeCell ref="N265:N266"/>
    <mergeCell ref="O265:O266"/>
    <mergeCell ref="P265:P266"/>
    <mergeCell ref="C252:C253"/>
    <mergeCell ref="D252:D253"/>
    <mergeCell ref="E252:E253"/>
    <mergeCell ref="F252:F253"/>
    <mergeCell ref="M257:M259"/>
    <mergeCell ref="N257:N259"/>
    <mergeCell ref="M284:M289"/>
    <mergeCell ref="N284:N289"/>
    <mergeCell ref="O284:O289"/>
    <mergeCell ref="P284:P289"/>
    <mergeCell ref="M293:M294"/>
    <mergeCell ref="N293:N294"/>
    <mergeCell ref="O293:O294"/>
    <mergeCell ref="P293:P294"/>
    <mergeCell ref="O257:O259"/>
    <mergeCell ref="P257:P259"/>
    <mergeCell ref="M318:M321"/>
    <mergeCell ref="N318:N323"/>
    <mergeCell ref="O318:O321"/>
    <mergeCell ref="P318:P321"/>
    <mergeCell ref="M327:M330"/>
    <mergeCell ref="N327:N330"/>
    <mergeCell ref="O327:O330"/>
    <mergeCell ref="P327:P330"/>
    <mergeCell ref="M299:M303"/>
    <mergeCell ref="N299:N303"/>
    <mergeCell ref="O299:O303"/>
    <mergeCell ref="P299:P303"/>
    <mergeCell ref="M311:M314"/>
    <mergeCell ref="N311:N314"/>
    <mergeCell ref="O311:O314"/>
    <mergeCell ref="P311:P314"/>
    <mergeCell ref="M375:M377"/>
    <mergeCell ref="N375:N377"/>
    <mergeCell ref="O375:O377"/>
    <mergeCell ref="P375:P377"/>
    <mergeCell ref="M381:M386"/>
    <mergeCell ref="N381:N386"/>
    <mergeCell ref="O381:O386"/>
    <mergeCell ref="P381:P386"/>
    <mergeCell ref="M334:M336"/>
    <mergeCell ref="N334:N336"/>
    <mergeCell ref="O334:O336"/>
    <mergeCell ref="P334:P336"/>
    <mergeCell ref="M344:M348"/>
    <mergeCell ref="N344:N348"/>
    <mergeCell ref="O344:O348"/>
    <mergeCell ref="P344:P348"/>
    <mergeCell ref="M420:M423"/>
    <mergeCell ref="N420:N423"/>
    <mergeCell ref="O420:O423"/>
    <mergeCell ref="P420:P423"/>
    <mergeCell ref="M433:M437"/>
    <mergeCell ref="N433:N437"/>
    <mergeCell ref="O433:O437"/>
    <mergeCell ref="P433:P437"/>
    <mergeCell ref="M396:M403"/>
    <mergeCell ref="N396:N403"/>
    <mergeCell ref="O396:O403"/>
    <mergeCell ref="P396:P403"/>
    <mergeCell ref="M407:M416"/>
    <mergeCell ref="N407:N416"/>
    <mergeCell ref="O407:O416"/>
    <mergeCell ref="P407:P416"/>
    <mergeCell ref="M441:M444"/>
    <mergeCell ref="N441:N444"/>
    <mergeCell ref="O441:O444"/>
    <mergeCell ref="P441:P444"/>
    <mergeCell ref="C451:C452"/>
    <mergeCell ref="D451:D452"/>
    <mergeCell ref="E451:E452"/>
    <mergeCell ref="F451:F452"/>
    <mergeCell ref="M451:M452"/>
    <mergeCell ref="N451:N452"/>
    <mergeCell ref="O451:O452"/>
    <mergeCell ref="P451:P452"/>
    <mergeCell ref="C464:C465"/>
    <mergeCell ref="D464:D465"/>
    <mergeCell ref="E464:E465"/>
    <mergeCell ref="F464:F465"/>
    <mergeCell ref="M464:M465"/>
    <mergeCell ref="N464:N465"/>
    <mergeCell ref="O464:O465"/>
    <mergeCell ref="P464:P465"/>
    <mergeCell ref="C534:C537"/>
    <mergeCell ref="D534:D537"/>
    <mergeCell ref="E534:E537"/>
    <mergeCell ref="F534:F537"/>
    <mergeCell ref="M534:M537"/>
    <mergeCell ref="N534:N537"/>
    <mergeCell ref="O481:O482"/>
    <mergeCell ref="P481:P482"/>
    <mergeCell ref="C492:C494"/>
    <mergeCell ref="D492:D494"/>
    <mergeCell ref="E492:E494"/>
    <mergeCell ref="F492:F494"/>
    <mergeCell ref="M492:M494"/>
    <mergeCell ref="N492:N494"/>
    <mergeCell ref="O492:O494"/>
    <mergeCell ref="P492:P494"/>
    <mergeCell ref="C481:C482"/>
    <mergeCell ref="D481:D482"/>
    <mergeCell ref="E481:E482"/>
    <mergeCell ref="F481:F482"/>
    <mergeCell ref="M481:M482"/>
    <mergeCell ref="N481:N482"/>
    <mergeCell ref="O534:O537"/>
    <mergeCell ref="P534:P537"/>
    <mergeCell ref="M557:M559"/>
    <mergeCell ref="N557:N559"/>
    <mergeCell ref="O557:O559"/>
    <mergeCell ref="P557:P559"/>
    <mergeCell ref="M498:M500"/>
    <mergeCell ref="N498:N500"/>
    <mergeCell ref="O498:O500"/>
    <mergeCell ref="P498:P500"/>
    <mergeCell ref="N565:N566"/>
    <mergeCell ref="O565:O566"/>
    <mergeCell ref="P565:P566"/>
    <mergeCell ref="M570:M573"/>
    <mergeCell ref="N570:N573"/>
    <mergeCell ref="O570:O573"/>
    <mergeCell ref="P570:P573"/>
    <mergeCell ref="C565:C566"/>
    <mergeCell ref="D565:D566"/>
    <mergeCell ref="E565:E566"/>
    <mergeCell ref="F565:F566"/>
    <mergeCell ref="G565:G566"/>
    <mergeCell ref="M565:M566"/>
    <mergeCell ref="O577:O579"/>
    <mergeCell ref="P577:P579"/>
    <mergeCell ref="G583:G585"/>
    <mergeCell ref="M583:M585"/>
    <mergeCell ref="N583:N585"/>
    <mergeCell ref="O583:O585"/>
    <mergeCell ref="P583:P585"/>
    <mergeCell ref="C577:C579"/>
    <mergeCell ref="D577:D579"/>
    <mergeCell ref="E577:E579"/>
    <mergeCell ref="F577:F579"/>
    <mergeCell ref="M577:M579"/>
    <mergeCell ref="N577:N579"/>
    <mergeCell ref="O589:O590"/>
    <mergeCell ref="P589:P590"/>
    <mergeCell ref="M591:M592"/>
    <mergeCell ref="N591:N592"/>
    <mergeCell ref="O591:O592"/>
    <mergeCell ref="P591:P592"/>
    <mergeCell ref="C584:C585"/>
    <mergeCell ref="D584:D585"/>
    <mergeCell ref="E584:E585"/>
    <mergeCell ref="F584:F585"/>
    <mergeCell ref="M589:M590"/>
    <mergeCell ref="N589:N590"/>
    <mergeCell ref="N597:N598"/>
    <mergeCell ref="O597:O598"/>
    <mergeCell ref="P597:P598"/>
    <mergeCell ref="G602:G603"/>
    <mergeCell ref="M602:M603"/>
    <mergeCell ref="N602:N603"/>
    <mergeCell ref="O602:O603"/>
    <mergeCell ref="P602:P603"/>
    <mergeCell ref="C597:C598"/>
    <mergeCell ref="D597:D598"/>
    <mergeCell ref="E597:E598"/>
    <mergeCell ref="F597:F598"/>
    <mergeCell ref="G597:G598"/>
    <mergeCell ref="M597:M598"/>
    <mergeCell ref="O607:O609"/>
    <mergeCell ref="P607:P609"/>
    <mergeCell ref="M613:M616"/>
    <mergeCell ref="N613:N616"/>
    <mergeCell ref="O613:O616"/>
    <mergeCell ref="P613:P616"/>
    <mergeCell ref="D607:D608"/>
    <mergeCell ref="E607:E608"/>
    <mergeCell ref="F607:F608"/>
    <mergeCell ref="G607:G608"/>
    <mergeCell ref="M607:M609"/>
    <mergeCell ref="N607:N609"/>
    <mergeCell ref="N620:N621"/>
    <mergeCell ref="O620:O621"/>
    <mergeCell ref="P620:P621"/>
    <mergeCell ref="C626:C627"/>
    <mergeCell ref="D626:D627"/>
    <mergeCell ref="E626:E627"/>
    <mergeCell ref="F626:F627"/>
    <mergeCell ref="M626:M627"/>
    <mergeCell ref="N626:N627"/>
    <mergeCell ref="O626:O627"/>
    <mergeCell ref="C620:C621"/>
    <mergeCell ref="D620:D621"/>
    <mergeCell ref="E620:E621"/>
    <mergeCell ref="F620:F621"/>
    <mergeCell ref="G620:G621"/>
    <mergeCell ref="M620:M621"/>
    <mergeCell ref="P626:P627"/>
    <mergeCell ref="C647:C649"/>
    <mergeCell ref="D647:D649"/>
    <mergeCell ref="E647:E649"/>
    <mergeCell ref="F647:F649"/>
    <mergeCell ref="G647:G649"/>
    <mergeCell ref="M647:M649"/>
    <mergeCell ref="N647:N649"/>
    <mergeCell ref="O647:O649"/>
    <mergeCell ref="P647:P649"/>
    <mergeCell ref="O657:O658"/>
    <mergeCell ref="P657:P658"/>
    <mergeCell ref="C663:C664"/>
    <mergeCell ref="D663:D664"/>
    <mergeCell ref="E663:E664"/>
    <mergeCell ref="F663:F664"/>
    <mergeCell ref="G663:G664"/>
    <mergeCell ref="M663:M664"/>
    <mergeCell ref="N663:N664"/>
    <mergeCell ref="O663:O664"/>
    <mergeCell ref="C657:C658"/>
    <mergeCell ref="D657:D658"/>
    <mergeCell ref="E657:E658"/>
    <mergeCell ref="F657:F658"/>
    <mergeCell ref="M657:M658"/>
    <mergeCell ref="N657:N658"/>
    <mergeCell ref="O675:O677"/>
    <mergeCell ref="P675:P677"/>
    <mergeCell ref="A682:C682"/>
    <mergeCell ref="P663:P664"/>
    <mergeCell ref="C668:C669"/>
    <mergeCell ref="D668:D669"/>
    <mergeCell ref="E668:E669"/>
    <mergeCell ref="F668:F669"/>
    <mergeCell ref="G668:G669"/>
    <mergeCell ref="M668:M669"/>
    <mergeCell ref="N668:N669"/>
    <mergeCell ref="O668:O669"/>
    <mergeCell ref="P668:P669"/>
    <mergeCell ref="A683:G683"/>
    <mergeCell ref="C688:C689"/>
    <mergeCell ref="D688:D689"/>
    <mergeCell ref="E688:E689"/>
    <mergeCell ref="F688:F689"/>
    <mergeCell ref="M688:M689"/>
    <mergeCell ref="G675:G677"/>
    <mergeCell ref="M675:M677"/>
    <mergeCell ref="N675:N677"/>
    <mergeCell ref="O688:O689"/>
    <mergeCell ref="P688:P689"/>
    <mergeCell ref="C701:C703"/>
    <mergeCell ref="D701:D703"/>
    <mergeCell ref="E701:E703"/>
    <mergeCell ref="F701:F703"/>
    <mergeCell ref="G701:G703"/>
    <mergeCell ref="M701:M703"/>
    <mergeCell ref="O701:O703"/>
    <mergeCell ref="P701:P703"/>
    <mergeCell ref="B720:B722"/>
    <mergeCell ref="B728:E728"/>
    <mergeCell ref="C729:F729"/>
    <mergeCell ref="B708:B716"/>
    <mergeCell ref="A754:K754"/>
    <mergeCell ref="A755:H755"/>
    <mergeCell ref="M734:M737"/>
    <mergeCell ref="O734:O737"/>
    <mergeCell ref="P734:P737"/>
    <mergeCell ref="C747:C749"/>
    <mergeCell ref="D747:D749"/>
    <mergeCell ref="E747:E749"/>
    <mergeCell ref="F747:F749"/>
    <mergeCell ref="M747:M749"/>
    <mergeCell ref="O747:O749"/>
    <mergeCell ref="P747:P749"/>
    <mergeCell ref="C709:C711"/>
    <mergeCell ref="D709:D711"/>
    <mergeCell ref="E709:E711"/>
    <mergeCell ref="F709:F711"/>
    <mergeCell ref="G709:G711"/>
    <mergeCell ref="M709:M711"/>
    <mergeCell ref="O709:O711"/>
    <mergeCell ref="P709:P71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56"/>
  <sheetViews>
    <sheetView showGridLines="0" view="pageBreakPreview" zoomScale="70" zoomScaleNormal="100" zoomScaleSheetLayoutView="70" workbookViewId="0">
      <pane xSplit="1" ySplit="2" topLeftCell="B3" activePane="bottomRight" state="frozen"/>
      <selection pane="topRight" activeCell="B1" sqref="B1"/>
      <selection pane="bottomLeft" activeCell="A3" sqref="A3"/>
      <selection pane="bottomRight" activeCell="M25" sqref="M25"/>
    </sheetView>
  </sheetViews>
  <sheetFormatPr baseColWidth="10" defaultColWidth="11.42578125" defaultRowHeight="12.75" x14ac:dyDescent="0.2"/>
  <cols>
    <col min="1" max="1" width="13.28515625" style="575" customWidth="1"/>
    <col min="2" max="2" width="29.5703125" style="582" customWidth="1"/>
    <col min="3" max="3" width="21.42578125" style="580" customWidth="1"/>
    <col min="4" max="4" width="15.140625" style="580" customWidth="1"/>
    <col min="5" max="5" width="20.42578125" style="580" customWidth="1"/>
    <col min="6" max="6" width="10.7109375" style="580" customWidth="1"/>
    <col min="7" max="7" width="19.28515625" style="580" customWidth="1"/>
    <col min="8" max="8" width="13" style="580" customWidth="1"/>
    <col min="9" max="9" width="19.5703125" style="580" customWidth="1"/>
    <col min="10" max="10" width="8.5703125" style="580" customWidth="1"/>
    <col min="11" max="11" width="20.42578125" style="580" customWidth="1"/>
    <col min="12" max="12" width="8.85546875" style="580" customWidth="1"/>
    <col min="13" max="13" width="21.85546875" style="580" customWidth="1"/>
    <col min="14" max="14" width="9.7109375" style="575" customWidth="1"/>
    <col min="15" max="15" width="31.85546875" style="575" customWidth="1"/>
    <col min="16" max="16384" width="11.42578125" style="575"/>
  </cols>
  <sheetData>
    <row r="1" spans="1:15" ht="51.75" hidden="1" customHeight="1" x14ac:dyDescent="0.2">
      <c r="A1" s="965" t="s">
        <v>1085</v>
      </c>
      <c r="B1" s="966"/>
      <c r="C1" s="966"/>
      <c r="D1" s="966"/>
      <c r="E1" s="966"/>
      <c r="F1" s="966"/>
      <c r="G1" s="966"/>
      <c r="H1" s="966"/>
      <c r="I1" s="966"/>
      <c r="J1" s="966"/>
      <c r="K1" s="966"/>
      <c r="L1" s="966"/>
      <c r="M1" s="966"/>
      <c r="N1" s="966"/>
      <c r="O1" s="966"/>
    </row>
    <row r="2" spans="1:15" ht="103.5" customHeight="1" x14ac:dyDescent="0.2">
      <c r="A2" s="969" t="s">
        <v>1022</v>
      </c>
      <c r="B2" s="970"/>
      <c r="C2" s="576" t="s">
        <v>1023</v>
      </c>
      <c r="D2" s="576" t="s">
        <v>1024</v>
      </c>
      <c r="E2" s="576" t="s">
        <v>1025</v>
      </c>
      <c r="F2" s="576" t="s">
        <v>1026</v>
      </c>
      <c r="G2" s="576" t="s">
        <v>1027</v>
      </c>
      <c r="H2" s="576" t="s">
        <v>1028</v>
      </c>
      <c r="I2" s="576" t="s">
        <v>1029</v>
      </c>
      <c r="J2" s="576" t="s">
        <v>1030</v>
      </c>
      <c r="K2" s="576" t="s">
        <v>1031</v>
      </c>
      <c r="L2" s="576" t="s">
        <v>1032</v>
      </c>
      <c r="M2" s="576" t="s">
        <v>1033</v>
      </c>
      <c r="N2" s="576" t="s">
        <v>1034</v>
      </c>
      <c r="O2" s="577" t="s">
        <v>1035</v>
      </c>
    </row>
    <row r="3" spans="1:15" ht="15.75" x14ac:dyDescent="0.2">
      <c r="A3" s="819">
        <v>304</v>
      </c>
      <c r="B3" s="820" t="s">
        <v>1036</v>
      </c>
      <c r="C3" s="821">
        <f>'SGTO POAI SEPTIEMBRE'!BZ23</f>
        <v>1071000000</v>
      </c>
      <c r="D3" s="822">
        <v>1</v>
      </c>
      <c r="E3" s="821">
        <f>513846.332*1000</f>
        <v>513846332</v>
      </c>
      <c r="F3" s="822">
        <f>E3/C3</f>
        <v>0.47978182259570495</v>
      </c>
      <c r="G3" s="821">
        <f>'SGTO POAI SEPTIEMBRE'!CA23</f>
        <v>397286000</v>
      </c>
      <c r="H3" s="822">
        <f>G3/C3</f>
        <v>0.37094864612511669</v>
      </c>
      <c r="I3" s="821">
        <f>'SGTO POAI SEPTIEMBRE'!CB23</f>
        <v>288830000</v>
      </c>
      <c r="J3" s="822">
        <f>I3/G3</f>
        <v>0.72700774756724373</v>
      </c>
      <c r="K3" s="821">
        <f>288830*1000</f>
        <v>288830000</v>
      </c>
      <c r="L3" s="822">
        <f>K3/G3</f>
        <v>0.72700774756724373</v>
      </c>
      <c r="M3" s="823">
        <f>C3-E3</f>
        <v>557153668</v>
      </c>
      <c r="N3" s="824">
        <f>M3/C3</f>
        <v>0.5202181774042951</v>
      </c>
      <c r="O3" s="825">
        <f>G3/C3</f>
        <v>0.37094864612511669</v>
      </c>
    </row>
    <row r="4" spans="1:15" ht="15.75" x14ac:dyDescent="0.2">
      <c r="A4" s="819">
        <v>305</v>
      </c>
      <c r="B4" s="820" t="s">
        <v>1037</v>
      </c>
      <c r="C4" s="821">
        <f>'SGTO POAI SEPTIEMBRE'!BZ66</f>
        <v>1617000000</v>
      </c>
      <c r="D4" s="822">
        <v>1</v>
      </c>
      <c r="E4" s="821">
        <f>1023047.469*1000</f>
        <v>1023047469</v>
      </c>
      <c r="F4" s="822">
        <f t="shared" ref="F4:F15" si="0">E4/C4</f>
        <v>0.6326824174397031</v>
      </c>
      <c r="G4" s="821">
        <f>'SGTO POAI SEPTIEMBRE'!CA66</f>
        <v>942840811</v>
      </c>
      <c r="H4" s="822">
        <f t="shared" ref="H4:H15" si="1">G4/C4</f>
        <v>0.58308027891156466</v>
      </c>
      <c r="I4" s="821">
        <f>'SGTO POAI SEPTIEMBRE'!CB66</f>
        <v>584925230</v>
      </c>
      <c r="J4" s="822">
        <f t="shared" ref="J4:J21" si="2">I4/G4</f>
        <v>0.62038599005871842</v>
      </c>
      <c r="K4" s="821">
        <f>584644.23*1000</f>
        <v>584644230</v>
      </c>
      <c r="L4" s="822">
        <f t="shared" ref="L4:L15" si="3">K4/G4</f>
        <v>0.62008795459321708</v>
      </c>
      <c r="M4" s="823">
        <f t="shared" ref="M4:M7" si="4">C4-E4</f>
        <v>593952531</v>
      </c>
      <c r="N4" s="824">
        <f t="shared" ref="N4:N15" si="5">M4/C4</f>
        <v>0.36731758256029684</v>
      </c>
      <c r="O4" s="825">
        <f t="shared" ref="O4:O23" si="6">G4/C4</f>
        <v>0.58308027891156466</v>
      </c>
    </row>
    <row r="5" spans="1:15" ht="15.75" x14ac:dyDescent="0.2">
      <c r="A5" s="819">
        <v>307</v>
      </c>
      <c r="B5" s="820" t="s">
        <v>1038</v>
      </c>
      <c r="C5" s="821">
        <f>'SGTO POAI SEPTIEMBRE'!BZ80</f>
        <v>2574941457</v>
      </c>
      <c r="D5" s="822">
        <v>1</v>
      </c>
      <c r="E5" s="821">
        <f>2267150.607*1000</f>
        <v>2267150607</v>
      </c>
      <c r="F5" s="822">
        <f t="shared" si="0"/>
        <v>0.88046685521207946</v>
      </c>
      <c r="G5" s="821">
        <f>'SGTO POAI SEPTIEMBRE'!CA80</f>
        <v>2259014941</v>
      </c>
      <c r="H5" s="822">
        <f t="shared" si="1"/>
        <v>0.87730730143741675</v>
      </c>
      <c r="I5" s="821">
        <f>'SGTO POAI SEPTIEMBRE'!CB80</f>
        <v>1083078101</v>
      </c>
      <c r="J5" s="822">
        <f t="shared" si="2"/>
        <v>0.47944707285581428</v>
      </c>
      <c r="K5" s="821">
        <f>1083078.101*1000</f>
        <v>1083078101</v>
      </c>
      <c r="L5" s="822">
        <f t="shared" si="3"/>
        <v>0.47944707285581428</v>
      </c>
      <c r="M5" s="823">
        <f t="shared" si="4"/>
        <v>307790850</v>
      </c>
      <c r="N5" s="824">
        <f t="shared" si="5"/>
        <v>0.11953314478792051</v>
      </c>
      <c r="O5" s="825">
        <f t="shared" si="6"/>
        <v>0.87730730143741675</v>
      </c>
    </row>
    <row r="6" spans="1:15" ht="15.75" x14ac:dyDescent="0.2">
      <c r="A6" s="819">
        <v>308</v>
      </c>
      <c r="B6" s="820" t="s">
        <v>1039</v>
      </c>
      <c r="C6" s="823">
        <f>'SGTO POAI SEPTIEMBRE'!BZ125</f>
        <v>28139742723</v>
      </c>
      <c r="D6" s="822">
        <v>1</v>
      </c>
      <c r="E6" s="823">
        <f>20189796.57378*1000</f>
        <v>20189796573.779999</v>
      </c>
      <c r="F6" s="822">
        <f t="shared" si="0"/>
        <v>0.71748333922320773</v>
      </c>
      <c r="G6" s="823">
        <f>'SGTO POAI SEPTIEMBRE'!CA125</f>
        <v>12977906232.91</v>
      </c>
      <c r="H6" s="822">
        <f t="shared" si="1"/>
        <v>0.46119491427697085</v>
      </c>
      <c r="I6" s="821">
        <f>'SGTO POAI SEPTIEMBRE'!CB125</f>
        <v>4992058905.3000002</v>
      </c>
      <c r="J6" s="822">
        <f t="shared" si="2"/>
        <v>0.38465826580260665</v>
      </c>
      <c r="K6" s="821">
        <f>4992058.9053*1000</f>
        <v>4992058905.3000002</v>
      </c>
      <c r="L6" s="822">
        <f t="shared" si="3"/>
        <v>0.38465826580260665</v>
      </c>
      <c r="M6" s="823">
        <f t="shared" si="4"/>
        <v>7949946149.2200012</v>
      </c>
      <c r="N6" s="824">
        <f t="shared" si="5"/>
        <v>0.28251666077679233</v>
      </c>
      <c r="O6" s="825">
        <f>G6/C6</f>
        <v>0.46119491427697085</v>
      </c>
    </row>
    <row r="7" spans="1:15" ht="15.75" x14ac:dyDescent="0.2">
      <c r="A7" s="819">
        <v>309</v>
      </c>
      <c r="B7" s="820" t="s">
        <v>1040</v>
      </c>
      <c r="C7" s="823">
        <f>'SGTO POAI SEPTIEMBRE'!BZ204</f>
        <v>9334516954.3800011</v>
      </c>
      <c r="D7" s="822">
        <v>1</v>
      </c>
      <c r="E7" s="823">
        <f>3412485.878*1000</f>
        <v>3412485878</v>
      </c>
      <c r="F7" s="822">
        <f t="shared" si="0"/>
        <v>0.36557712570212558</v>
      </c>
      <c r="G7" s="823">
        <f>'SGTO POAI SEPTIEMBRE'!CA204</f>
        <v>2642841284</v>
      </c>
      <c r="H7" s="822">
        <f t="shared" si="1"/>
        <v>0.28312566112592569</v>
      </c>
      <c r="I7" s="821">
        <f>'SGTO POAI SEPTIEMBRE'!CB204</f>
        <v>1815284807</v>
      </c>
      <c r="J7" s="822">
        <f t="shared" si="2"/>
        <v>0.68686864322496333</v>
      </c>
      <c r="K7" s="821">
        <f>1812784.807*1000</f>
        <v>1812784807</v>
      </c>
      <c r="L7" s="822">
        <f t="shared" si="3"/>
        <v>0.68592269160269403</v>
      </c>
      <c r="M7" s="823">
        <f t="shared" si="4"/>
        <v>5922031076.3800011</v>
      </c>
      <c r="N7" s="824">
        <f t="shared" si="5"/>
        <v>0.63442287429787447</v>
      </c>
      <c r="O7" s="825">
        <f t="shared" si="6"/>
        <v>0.28312566112592569</v>
      </c>
    </row>
    <row r="8" spans="1:15" ht="15.75" x14ac:dyDescent="0.2">
      <c r="A8" s="819">
        <v>310</v>
      </c>
      <c r="B8" s="820" t="s">
        <v>1041</v>
      </c>
      <c r="C8" s="821">
        <f>'SGTO POAI SEPTIEMBRE'!BZ236</f>
        <v>5562765176</v>
      </c>
      <c r="D8" s="822">
        <v>1</v>
      </c>
      <c r="E8" s="821">
        <f>3660532.074*1000</f>
        <v>3660532074</v>
      </c>
      <c r="F8" s="822">
        <f t="shared" si="0"/>
        <v>0.65804181161430353</v>
      </c>
      <c r="G8" s="821">
        <f>'SGTO POAI SEPTIEMBRE'!CA236</f>
        <v>2804301860</v>
      </c>
      <c r="H8" s="822">
        <f t="shared" si="1"/>
        <v>0.50412012214696444</v>
      </c>
      <c r="I8" s="821">
        <f>'SGTO POAI SEPTIEMBRE'!CB236</f>
        <v>1260753677.3800001</v>
      </c>
      <c r="J8" s="822">
        <f t="shared" si="2"/>
        <v>0.44957844779948192</v>
      </c>
      <c r="K8" s="821">
        <f>1260753.67738*1000</f>
        <v>1260753677.3800001</v>
      </c>
      <c r="L8" s="822">
        <f t="shared" si="3"/>
        <v>0.44957844779948192</v>
      </c>
      <c r="M8" s="823">
        <f>C8-E8</f>
        <v>1902233102</v>
      </c>
      <c r="N8" s="824">
        <f t="shared" si="5"/>
        <v>0.34195818838569647</v>
      </c>
      <c r="O8" s="825">
        <f t="shared" si="6"/>
        <v>0.50412012214696444</v>
      </c>
    </row>
    <row r="9" spans="1:15" ht="15.75" x14ac:dyDescent="0.2">
      <c r="A9" s="819">
        <v>311</v>
      </c>
      <c r="B9" s="820" t="s">
        <v>1042</v>
      </c>
      <c r="C9" s="821">
        <f>'SGTO POAI SEPTIEMBRE'!BZ278</f>
        <v>2381713698</v>
      </c>
      <c r="D9" s="822">
        <v>1</v>
      </c>
      <c r="E9" s="821">
        <f>1790981*1000</f>
        <v>1790981000</v>
      </c>
      <c r="F9" s="822">
        <f t="shared" si="0"/>
        <v>0.75197157471275544</v>
      </c>
      <c r="G9" s="821">
        <f>'SGTO POAI SEPTIEMBRE'!CA278</f>
        <v>1290191000</v>
      </c>
      <c r="H9" s="822">
        <f t="shared" si="1"/>
        <v>0.5417070074725665</v>
      </c>
      <c r="I9" s="821">
        <f>'SGTO POAI SEPTIEMBRE'!CB278</f>
        <v>831812371</v>
      </c>
      <c r="J9" s="822">
        <f t="shared" si="2"/>
        <v>0.64472033288094555</v>
      </c>
      <c r="K9" s="821">
        <f>831812.371*1000</f>
        <v>831812371</v>
      </c>
      <c r="L9" s="822">
        <f t="shared" si="3"/>
        <v>0.64472033288094555</v>
      </c>
      <c r="M9" s="823">
        <f>C9-E9</f>
        <v>590732698</v>
      </c>
      <c r="N9" s="824">
        <f t="shared" si="5"/>
        <v>0.24802842528724459</v>
      </c>
      <c r="O9" s="825">
        <f t="shared" si="6"/>
        <v>0.5417070074725665</v>
      </c>
    </row>
    <row r="10" spans="1:15" ht="15.75" x14ac:dyDescent="0.2">
      <c r="A10" s="819">
        <v>312</v>
      </c>
      <c r="B10" s="820" t="s">
        <v>1043</v>
      </c>
      <c r="C10" s="821">
        <f>'SGTO POAI SEPTIEMBRE'!BZ352</f>
        <v>2927762444</v>
      </c>
      <c r="D10" s="822">
        <v>1</v>
      </c>
      <c r="E10" s="821">
        <f>1656056.506*1000</f>
        <v>1656056506</v>
      </c>
      <c r="F10" s="822">
        <f t="shared" si="0"/>
        <v>0.56563896069977737</v>
      </c>
      <c r="G10" s="821">
        <f>'SGTO POAI SEPTIEMBRE'!CA352</f>
        <v>1626117810</v>
      </c>
      <c r="H10" s="822">
        <f t="shared" si="1"/>
        <v>0.55541316657452144</v>
      </c>
      <c r="I10" s="821">
        <f>'SGTO POAI SEPTIEMBRE'!CB352</f>
        <v>1101787991</v>
      </c>
      <c r="J10" s="822">
        <f t="shared" si="2"/>
        <v>0.67755729887737959</v>
      </c>
      <c r="K10" s="821">
        <f>1101787.991*1000</f>
        <v>1101787991</v>
      </c>
      <c r="L10" s="822">
        <f t="shared" si="3"/>
        <v>0.67755729887737959</v>
      </c>
      <c r="M10" s="823">
        <f>C10-E10</f>
        <v>1271705938</v>
      </c>
      <c r="N10" s="824">
        <f t="shared" si="5"/>
        <v>0.43436103930022268</v>
      </c>
      <c r="O10" s="825">
        <f t="shared" si="6"/>
        <v>0.55541316657452144</v>
      </c>
    </row>
    <row r="11" spans="1:15" s="578" customFormat="1" ht="15.75" x14ac:dyDescent="0.2">
      <c r="A11" s="826">
        <v>313</v>
      </c>
      <c r="B11" s="820" t="s">
        <v>1044</v>
      </c>
      <c r="C11" s="827">
        <f>'SGTO POAI SEPTIEMBRE'!BZ369</f>
        <v>1504000000</v>
      </c>
      <c r="D11" s="822">
        <v>1</v>
      </c>
      <c r="E11" s="828">
        <f>1256119.464*1000</f>
        <v>1256119464</v>
      </c>
      <c r="F11" s="822">
        <f t="shared" si="0"/>
        <v>0.83518581382978718</v>
      </c>
      <c r="G11" s="827">
        <f>'SGTO POAI SEPTIEMBRE'!CA369</f>
        <v>1256119464</v>
      </c>
      <c r="H11" s="822">
        <f t="shared" si="1"/>
        <v>0.83518581382978718</v>
      </c>
      <c r="I11" s="827">
        <f>'SGTO POAI SEPTIEMBRE'!CB369</f>
        <v>576840132</v>
      </c>
      <c r="J11" s="822">
        <f t="shared" si="2"/>
        <v>0.45922394209473055</v>
      </c>
      <c r="K11" s="827">
        <f>576750.132*1000</f>
        <v>576750132</v>
      </c>
      <c r="L11" s="822">
        <f t="shared" si="3"/>
        <v>0.45915229285866715</v>
      </c>
      <c r="M11" s="829">
        <f t="shared" ref="M11:M13" si="7">C11-E11</f>
        <v>247880536</v>
      </c>
      <c r="N11" s="824">
        <f t="shared" si="5"/>
        <v>0.16481418617021276</v>
      </c>
      <c r="O11" s="825">
        <f t="shared" si="6"/>
        <v>0.83518581382978718</v>
      </c>
    </row>
    <row r="12" spans="1:15" s="578" customFormat="1" ht="15.75" x14ac:dyDescent="0.2">
      <c r="A12" s="826">
        <v>314</v>
      </c>
      <c r="B12" s="820" t="s">
        <v>1045</v>
      </c>
      <c r="C12" s="830">
        <f>'SGTO POAI SEPTIEMBRE'!BZ475</f>
        <v>191833025356</v>
      </c>
      <c r="D12" s="822">
        <v>1</v>
      </c>
      <c r="E12" s="830">
        <f>113367863.64624*1000</f>
        <v>113367863646.23999</v>
      </c>
      <c r="F12" s="822">
        <f t="shared" si="0"/>
        <v>0.59097156725675426</v>
      </c>
      <c r="G12" s="830">
        <f>'SGTO POAI SEPTIEMBRE'!CA475</f>
        <v>109755354769.23999</v>
      </c>
      <c r="H12" s="822">
        <f>G12/C12</f>
        <v>0.57214003983703088</v>
      </c>
      <c r="I12" s="830">
        <f>'SGTO POAI SEPTIEMBRE'!CB475</f>
        <v>101433474533.23999</v>
      </c>
      <c r="J12" s="822">
        <f t="shared" si="2"/>
        <v>0.92417791137847716</v>
      </c>
      <c r="K12" s="830">
        <f>101433474.53324*1000</f>
        <v>101433474533.24001</v>
      </c>
      <c r="L12" s="822">
        <f t="shared" si="3"/>
        <v>0.92417791137847727</v>
      </c>
      <c r="M12" s="830">
        <f t="shared" si="7"/>
        <v>78465161709.76001</v>
      </c>
      <c r="N12" s="824">
        <f t="shared" si="5"/>
        <v>0.4090284327432458</v>
      </c>
      <c r="O12" s="825">
        <f t="shared" si="6"/>
        <v>0.57214003983703088</v>
      </c>
    </row>
    <row r="13" spans="1:15" ht="15.75" x14ac:dyDescent="0.2">
      <c r="A13" s="819">
        <v>316</v>
      </c>
      <c r="B13" s="820" t="s">
        <v>1046</v>
      </c>
      <c r="C13" s="827">
        <f>'SGTO POAI SEPTIEMBRE'!BZ541</f>
        <v>6696430678</v>
      </c>
      <c r="D13" s="822">
        <v>1</v>
      </c>
      <c r="E13" s="827">
        <f>4088826.765*1000</f>
        <v>4088826765</v>
      </c>
      <c r="F13" s="822">
        <f t="shared" si="0"/>
        <v>0.61059793815728647</v>
      </c>
      <c r="G13" s="827">
        <f>'SGTO POAI SEPTIEMBRE'!CA541</f>
        <v>2612472557</v>
      </c>
      <c r="H13" s="822">
        <f t="shared" si="1"/>
        <v>0.39012911245133031</v>
      </c>
      <c r="I13" s="827">
        <f>'SGTO POAI SEPTIEMBRE'!CB541</f>
        <v>1900356192</v>
      </c>
      <c r="J13" s="822">
        <f t="shared" si="2"/>
        <v>0.72741670985522244</v>
      </c>
      <c r="K13" s="827">
        <f>1899596.192*1000</f>
        <v>1899596192</v>
      </c>
      <c r="L13" s="822">
        <f t="shared" si="3"/>
        <v>0.72712579770842733</v>
      </c>
      <c r="M13" s="823">
        <f t="shared" si="7"/>
        <v>2607603913</v>
      </c>
      <c r="N13" s="824">
        <f t="shared" si="5"/>
        <v>0.38940206184271353</v>
      </c>
      <c r="O13" s="825">
        <f t="shared" si="6"/>
        <v>0.39012911245133031</v>
      </c>
    </row>
    <row r="14" spans="1:15" s="757" customFormat="1" ht="15.75" x14ac:dyDescent="0.25">
      <c r="A14" s="831">
        <v>317</v>
      </c>
      <c r="B14" s="832" t="s">
        <v>1047</v>
      </c>
      <c r="C14" s="833">
        <f>'SGTO POAI SEPTIEMBRE'!BZ551</f>
        <v>72000000</v>
      </c>
      <c r="D14" s="822">
        <v>1</v>
      </c>
      <c r="E14" s="833">
        <f>68400*1000</f>
        <v>68400000</v>
      </c>
      <c r="F14" s="822">
        <f t="shared" si="0"/>
        <v>0.95</v>
      </c>
      <c r="G14" s="833">
        <f>'SGTO POAI SEPTIEMBRE'!CA551</f>
        <v>68400000</v>
      </c>
      <c r="H14" s="822">
        <f t="shared" si="1"/>
        <v>0.95</v>
      </c>
      <c r="I14" s="833">
        <f>'SGTO POAI SEPTIEMBRE'!CB551</f>
        <v>68400000</v>
      </c>
      <c r="J14" s="822">
        <f t="shared" si="2"/>
        <v>1</v>
      </c>
      <c r="K14" s="833">
        <f>68400*1000</f>
        <v>68400000</v>
      </c>
      <c r="L14" s="822">
        <f t="shared" si="3"/>
        <v>1</v>
      </c>
      <c r="M14" s="833">
        <f>C14-E14</f>
        <v>3600000</v>
      </c>
      <c r="N14" s="834">
        <f t="shared" si="5"/>
        <v>0.05</v>
      </c>
      <c r="O14" s="835">
        <f t="shared" si="6"/>
        <v>0.95</v>
      </c>
    </row>
    <row r="15" spans="1:15" ht="15.75" x14ac:dyDescent="0.2">
      <c r="A15" s="819">
        <v>318</v>
      </c>
      <c r="B15" s="820" t="s">
        <v>1048</v>
      </c>
      <c r="C15" s="821">
        <f>'SGTO POAI SEPTIEMBRE'!BZ681</f>
        <v>53236633921</v>
      </c>
      <c r="D15" s="822">
        <v>1</v>
      </c>
      <c r="E15" s="821">
        <f>35425443.711*1000</f>
        <v>35425443711</v>
      </c>
      <c r="F15" s="822">
        <f t="shared" si="0"/>
        <v>0.66543357650239965</v>
      </c>
      <c r="G15" s="821">
        <f>'SGTO POAI SEPTIEMBRE'!CA681</f>
        <v>25904833580</v>
      </c>
      <c r="H15" s="822">
        <f t="shared" si="1"/>
        <v>0.48659788705727025</v>
      </c>
      <c r="I15" s="821">
        <f>'SGTO POAI SEPTIEMBRE'!CB681</f>
        <v>14537534889</v>
      </c>
      <c r="J15" s="822">
        <f t="shared" si="2"/>
        <v>0.56119005142823231</v>
      </c>
      <c r="K15" s="821">
        <f>14537534.889*1000</f>
        <v>14537534889</v>
      </c>
      <c r="L15" s="822">
        <f t="shared" si="3"/>
        <v>0.56119005142823231</v>
      </c>
      <c r="M15" s="823">
        <f t="shared" ref="M15" si="8">C15-E15</f>
        <v>17811190210</v>
      </c>
      <c r="N15" s="824">
        <f t="shared" si="5"/>
        <v>0.3345664234976003</v>
      </c>
      <c r="O15" s="835">
        <f t="shared" si="6"/>
        <v>0.48659788705727025</v>
      </c>
    </row>
    <row r="16" spans="1:15" ht="15.75" x14ac:dyDescent="0.2">
      <c r="A16" s="836" t="s">
        <v>1049</v>
      </c>
      <c r="B16" s="837"/>
      <c r="C16" s="838">
        <f>SUM(C3:C15)</f>
        <v>306951532407.38</v>
      </c>
      <c r="D16" s="839">
        <v>1</v>
      </c>
      <c r="E16" s="838">
        <f>SUM(E3:E15)</f>
        <v>188720550026.01999</v>
      </c>
      <c r="F16" s="839">
        <f>E16/C16</f>
        <v>0.61482198360734619</v>
      </c>
      <c r="G16" s="838">
        <f t="shared" ref="G16:M16" si="9">SUM(G3:G15)</f>
        <v>164537680309.14999</v>
      </c>
      <c r="H16" s="839">
        <f>G16/C16</f>
        <v>0.53603798299589145</v>
      </c>
      <c r="I16" s="838">
        <f t="shared" si="9"/>
        <v>130475136828.91998</v>
      </c>
      <c r="J16" s="839">
        <f t="shared" si="2"/>
        <v>0.79298028624063577</v>
      </c>
      <c r="K16" s="838">
        <f t="shared" si="9"/>
        <v>130471505828.92001</v>
      </c>
      <c r="L16" s="839">
        <f>K16/G16</f>
        <v>0.79295821834717117</v>
      </c>
      <c r="M16" s="838">
        <f t="shared" si="9"/>
        <v>118230982381.36002</v>
      </c>
      <c r="N16" s="839">
        <f>M16/C16</f>
        <v>0.38517801639265381</v>
      </c>
      <c r="O16" s="835">
        <f t="shared" si="6"/>
        <v>0.53603798299589145</v>
      </c>
    </row>
    <row r="17" spans="1:15" ht="2.25" customHeight="1" x14ac:dyDescent="0.2">
      <c r="A17" s="840"/>
      <c r="B17" s="841"/>
      <c r="C17" s="842"/>
      <c r="D17" s="842"/>
      <c r="E17" s="842"/>
      <c r="F17" s="842"/>
      <c r="G17" s="842"/>
      <c r="H17" s="842"/>
      <c r="I17" s="842"/>
      <c r="J17" s="842"/>
      <c r="K17" s="842"/>
      <c r="L17" s="842"/>
      <c r="M17" s="842"/>
      <c r="N17" s="840"/>
      <c r="O17" s="843"/>
    </row>
    <row r="18" spans="1:15" ht="15.75" x14ac:dyDescent="0.2">
      <c r="A18" s="844">
        <v>319</v>
      </c>
      <c r="B18" s="845" t="s">
        <v>1050</v>
      </c>
      <c r="C18" s="821">
        <f>'SGTO POAI SEPTIEMBRE'!BZ725</f>
        <v>3435176818</v>
      </c>
      <c r="D18" s="822">
        <v>1</v>
      </c>
      <c r="E18" s="821">
        <f>2379096.788*1000</f>
        <v>2379096788</v>
      </c>
      <c r="F18" s="822">
        <f t="shared" ref="F18:F20" si="10">E18/C18</f>
        <v>0.69256894595170737</v>
      </c>
      <c r="G18" s="821">
        <f>'SGTO POAI SEPTIEMBRE'!CA725</f>
        <v>2297279889</v>
      </c>
      <c r="H18" s="822">
        <f t="shared" ref="H18:H20" si="11">G18/C18</f>
        <v>0.66875156963172078</v>
      </c>
      <c r="I18" s="821">
        <f>'SGTO POAI SEPTIEMBRE'!CB725</f>
        <v>1430437459</v>
      </c>
      <c r="J18" s="822">
        <v>0</v>
      </c>
      <c r="K18" s="846">
        <f>1430437459</f>
        <v>1430437459</v>
      </c>
      <c r="L18" s="822">
        <v>0</v>
      </c>
      <c r="M18" s="823">
        <f t="shared" ref="M18:M20" si="12">C18-E18</f>
        <v>1056080030</v>
      </c>
      <c r="N18" s="824">
        <f t="shared" ref="N18:N20" si="13">M18/C18</f>
        <v>0.30743105404829268</v>
      </c>
      <c r="O18" s="835">
        <f t="shared" si="6"/>
        <v>0.66875156963172078</v>
      </c>
    </row>
    <row r="19" spans="1:15" ht="15.75" x14ac:dyDescent="0.2">
      <c r="A19" s="844">
        <v>320</v>
      </c>
      <c r="B19" s="845" t="s">
        <v>1051</v>
      </c>
      <c r="C19" s="821">
        <f>'SGTO POAI SEPTIEMBRE'!BZ741</f>
        <v>2484892368</v>
      </c>
      <c r="D19" s="822">
        <v>1</v>
      </c>
      <c r="E19" s="821">
        <f>2036962.3944*1000</f>
        <v>2036962394.4000001</v>
      </c>
      <c r="F19" s="822">
        <f t="shared" si="10"/>
        <v>0.81973868189690546</v>
      </c>
      <c r="G19" s="821">
        <f>'SGTO POAI SEPTIEMBRE'!CA741</f>
        <v>2036962394.3999999</v>
      </c>
      <c r="H19" s="822">
        <f t="shared" si="11"/>
        <v>0.81973868189690535</v>
      </c>
      <c r="I19" s="821">
        <f>'SGTO POAI SEPTIEMBRE'!CB741</f>
        <v>734584701.66000009</v>
      </c>
      <c r="J19" s="822">
        <v>0</v>
      </c>
      <c r="K19" s="846">
        <f>734584701.66</f>
        <v>734584701.65999997</v>
      </c>
      <c r="L19" s="822">
        <v>0</v>
      </c>
      <c r="M19" s="823">
        <f t="shared" si="12"/>
        <v>447929973.5999999</v>
      </c>
      <c r="N19" s="824">
        <f t="shared" si="13"/>
        <v>0.18026131810309456</v>
      </c>
      <c r="O19" s="835">
        <f t="shared" si="6"/>
        <v>0.81973868189690535</v>
      </c>
    </row>
    <row r="20" spans="1:15" ht="15.75" x14ac:dyDescent="0.2">
      <c r="A20" s="844">
        <v>321</v>
      </c>
      <c r="B20" s="845" t="s">
        <v>1052</v>
      </c>
      <c r="C20" s="821">
        <f>'SGTO POAI SEPTIEMBRE'!BZ753</f>
        <v>115000000</v>
      </c>
      <c r="D20" s="822">
        <v>1</v>
      </c>
      <c r="E20" s="821">
        <f>85446.665*1000</f>
        <v>85446665</v>
      </c>
      <c r="F20" s="822">
        <f t="shared" si="10"/>
        <v>0.74301447826086953</v>
      </c>
      <c r="G20" s="821">
        <f>'SGTO POAI SEPTIEMBRE'!CA753</f>
        <v>85446665</v>
      </c>
      <c r="H20" s="822">
        <f t="shared" si="11"/>
        <v>0.74301447826086953</v>
      </c>
      <c r="I20" s="821">
        <f>'SGTO POAI SEPTIEMBRE'!CB753</f>
        <v>63273981</v>
      </c>
      <c r="J20" s="822">
        <v>0</v>
      </c>
      <c r="K20" s="846">
        <f>'SGTO POAI SEPTIEMBRE'!CB753</f>
        <v>63273981</v>
      </c>
      <c r="L20" s="822">
        <v>0</v>
      </c>
      <c r="M20" s="823">
        <f t="shared" si="12"/>
        <v>29553335</v>
      </c>
      <c r="N20" s="824">
        <f t="shared" si="13"/>
        <v>0.25698552173913042</v>
      </c>
      <c r="O20" s="835">
        <f t="shared" si="6"/>
        <v>0.74301447826086953</v>
      </c>
    </row>
    <row r="21" spans="1:15" ht="15" customHeight="1" x14ac:dyDescent="0.2">
      <c r="A21" s="847" t="s">
        <v>1049</v>
      </c>
      <c r="B21" s="848"/>
      <c r="C21" s="849">
        <f>SUM(C18:C20)</f>
        <v>6035069186</v>
      </c>
      <c r="D21" s="839">
        <v>1</v>
      </c>
      <c r="E21" s="849">
        <f t="shared" ref="E21:M21" si="14">SUM(E18:E20)</f>
        <v>4501505847.3999996</v>
      </c>
      <c r="F21" s="839">
        <f>E21/C21</f>
        <v>0.74589134087186248</v>
      </c>
      <c r="G21" s="849">
        <f t="shared" si="14"/>
        <v>4419688948.3999996</v>
      </c>
      <c r="H21" s="839">
        <f>G21/C21</f>
        <v>0.73233442934716997</v>
      </c>
      <c r="I21" s="849">
        <f t="shared" si="14"/>
        <v>2228296141.6599998</v>
      </c>
      <c r="J21" s="839">
        <f t="shared" si="2"/>
        <v>0.50417487919974091</v>
      </c>
      <c r="K21" s="849">
        <f t="shared" si="14"/>
        <v>2228296141.6599998</v>
      </c>
      <c r="L21" s="839">
        <f>K21/G21</f>
        <v>0.50417487919974091</v>
      </c>
      <c r="M21" s="849">
        <f t="shared" si="14"/>
        <v>1533563338.5999999</v>
      </c>
      <c r="N21" s="839">
        <f>M21/C21</f>
        <v>0.25410865912813746</v>
      </c>
      <c r="O21" s="835">
        <f t="shared" si="6"/>
        <v>0.73233442934716997</v>
      </c>
    </row>
    <row r="22" spans="1:15" ht="6.75" customHeight="1" x14ac:dyDescent="0.2">
      <c r="A22" s="840"/>
      <c r="B22" s="850"/>
      <c r="C22" s="843"/>
      <c r="D22" s="851"/>
      <c r="E22" s="843"/>
      <c r="F22" s="851"/>
      <c r="G22" s="843"/>
      <c r="H22" s="843"/>
      <c r="I22" s="843"/>
      <c r="J22" s="843"/>
      <c r="K22" s="843"/>
      <c r="L22" s="843"/>
      <c r="M22" s="843"/>
      <c r="N22" s="840"/>
      <c r="O22" s="840"/>
    </row>
    <row r="23" spans="1:15" ht="15" customHeight="1" x14ac:dyDescent="0.2">
      <c r="A23" s="852" t="s">
        <v>882</v>
      </c>
      <c r="B23" s="853"/>
      <c r="C23" s="854">
        <f>C21+C16</f>
        <v>312986601593.38</v>
      </c>
      <c r="D23" s="839">
        <v>1</v>
      </c>
      <c r="E23" s="854">
        <f>E21+E16</f>
        <v>193222055873.41998</v>
      </c>
      <c r="F23" s="839">
        <f>E23/C23</f>
        <v>0.61734928872273753</v>
      </c>
      <c r="G23" s="854">
        <f>G21+G16</f>
        <v>168957369257.54999</v>
      </c>
      <c r="H23" s="839">
        <f>G23/C23</f>
        <v>0.53982300966688923</v>
      </c>
      <c r="I23" s="854">
        <f>I21+I16</f>
        <v>132703432970.57999</v>
      </c>
      <c r="J23" s="839">
        <f t="shared" ref="J23" si="15">I23/G23</f>
        <v>0.78542553990819808</v>
      </c>
      <c r="K23" s="854">
        <f>K21+K16</f>
        <v>132699801970.58002</v>
      </c>
      <c r="L23" s="839">
        <f>K23/G23</f>
        <v>0.78540404928002405</v>
      </c>
      <c r="M23" s="854">
        <f>M21+M16</f>
        <v>119764545719.96002</v>
      </c>
      <c r="N23" s="839">
        <f>M23/C23</f>
        <v>0.38265071127726247</v>
      </c>
      <c r="O23" s="835">
        <f t="shared" si="6"/>
        <v>0.53982300966688923</v>
      </c>
    </row>
    <row r="24" spans="1:15" ht="15" x14ac:dyDescent="0.25">
      <c r="C24" s="584"/>
      <c r="E24"/>
      <c r="G24" s="585"/>
      <c r="I24" s="758"/>
      <c r="K24" s="584"/>
      <c r="M24" s="758"/>
    </row>
    <row r="25" spans="1:15" x14ac:dyDescent="0.2">
      <c r="M25" s="580" t="s">
        <v>69</v>
      </c>
    </row>
    <row r="26" spans="1:15" x14ac:dyDescent="0.2">
      <c r="A26" s="971" t="s">
        <v>1022</v>
      </c>
      <c r="B26" s="971"/>
      <c r="C26" s="971"/>
      <c r="D26" s="971"/>
      <c r="E26" s="971"/>
    </row>
    <row r="27" spans="1:15" x14ac:dyDescent="0.2">
      <c r="A27" s="586">
        <v>304</v>
      </c>
      <c r="B27" s="964" t="s">
        <v>1036</v>
      </c>
      <c r="C27" s="964"/>
      <c r="D27" s="964"/>
      <c r="E27" s="964"/>
    </row>
    <row r="28" spans="1:15" x14ac:dyDescent="0.2">
      <c r="A28" s="586">
        <v>305</v>
      </c>
      <c r="B28" s="964" t="s">
        <v>1037</v>
      </c>
      <c r="C28" s="964"/>
      <c r="D28" s="964"/>
      <c r="E28" s="964"/>
    </row>
    <row r="29" spans="1:15" x14ac:dyDescent="0.2">
      <c r="A29" s="586">
        <v>307</v>
      </c>
      <c r="B29" s="964" t="s">
        <v>1038</v>
      </c>
      <c r="C29" s="964"/>
      <c r="D29" s="964"/>
      <c r="E29" s="964"/>
    </row>
    <row r="30" spans="1:15" x14ac:dyDescent="0.2">
      <c r="A30" s="586">
        <v>308</v>
      </c>
      <c r="B30" s="968" t="s">
        <v>1039</v>
      </c>
      <c r="C30" s="968"/>
      <c r="D30" s="968"/>
      <c r="E30" s="968"/>
    </row>
    <row r="31" spans="1:15" x14ac:dyDescent="0.2">
      <c r="A31" s="586">
        <v>309</v>
      </c>
      <c r="B31" s="968" t="s">
        <v>1040</v>
      </c>
      <c r="C31" s="968"/>
      <c r="D31" s="968"/>
      <c r="E31" s="968"/>
    </row>
    <row r="32" spans="1:15" x14ac:dyDescent="0.2">
      <c r="A32" s="586">
        <v>310</v>
      </c>
      <c r="B32" s="964" t="s">
        <v>1041</v>
      </c>
      <c r="C32" s="964"/>
      <c r="D32" s="964"/>
      <c r="E32" s="964"/>
    </row>
    <row r="33" spans="1:5" x14ac:dyDescent="0.2">
      <c r="A33" s="586">
        <v>311</v>
      </c>
      <c r="B33" s="964" t="s">
        <v>1042</v>
      </c>
      <c r="C33" s="964"/>
      <c r="D33" s="964"/>
      <c r="E33" s="964"/>
    </row>
    <row r="34" spans="1:5" x14ac:dyDescent="0.2">
      <c r="A34" s="586">
        <v>312</v>
      </c>
      <c r="B34" s="964" t="s">
        <v>1043</v>
      </c>
      <c r="C34" s="964"/>
      <c r="D34" s="964"/>
      <c r="E34" s="964"/>
    </row>
    <row r="35" spans="1:5" x14ac:dyDescent="0.2">
      <c r="A35" s="587">
        <v>313</v>
      </c>
      <c r="B35" s="967" t="s">
        <v>1044</v>
      </c>
      <c r="C35" s="967"/>
      <c r="D35" s="967"/>
      <c r="E35" s="967"/>
    </row>
    <row r="36" spans="1:5" x14ac:dyDescent="0.2">
      <c r="A36" s="587">
        <v>314</v>
      </c>
      <c r="B36" s="967" t="s">
        <v>1045</v>
      </c>
      <c r="C36" s="967"/>
      <c r="D36" s="967"/>
      <c r="E36" s="967"/>
    </row>
    <row r="37" spans="1:5" x14ac:dyDescent="0.2">
      <c r="A37" s="586">
        <v>316</v>
      </c>
      <c r="B37" s="964" t="s">
        <v>1046</v>
      </c>
      <c r="C37" s="964"/>
      <c r="D37" s="964"/>
      <c r="E37" s="964"/>
    </row>
    <row r="38" spans="1:5" x14ac:dyDescent="0.2">
      <c r="A38" s="586">
        <v>317</v>
      </c>
      <c r="B38" s="968" t="s">
        <v>1047</v>
      </c>
      <c r="C38" s="968"/>
      <c r="D38" s="968"/>
      <c r="E38" s="968"/>
    </row>
    <row r="39" spans="1:5" x14ac:dyDescent="0.2">
      <c r="A39" s="586">
        <v>318</v>
      </c>
      <c r="B39" s="964" t="s">
        <v>1048</v>
      </c>
      <c r="C39" s="964"/>
      <c r="D39" s="964"/>
      <c r="E39" s="964"/>
    </row>
    <row r="40" spans="1:5" x14ac:dyDescent="0.2">
      <c r="A40" s="581">
        <v>319</v>
      </c>
      <c r="B40" s="964" t="s">
        <v>1050</v>
      </c>
      <c r="C40" s="964"/>
      <c r="D40" s="964"/>
      <c r="E40" s="964"/>
    </row>
    <row r="41" spans="1:5" x14ac:dyDescent="0.2">
      <c r="A41" s="581">
        <v>320</v>
      </c>
      <c r="B41" s="964" t="s">
        <v>1051</v>
      </c>
      <c r="C41" s="964"/>
      <c r="D41" s="964"/>
      <c r="E41" s="964"/>
    </row>
    <row r="42" spans="1:5" x14ac:dyDescent="0.2">
      <c r="A42" s="581">
        <v>321</v>
      </c>
      <c r="B42" s="964" t="s">
        <v>1052</v>
      </c>
      <c r="C42" s="964"/>
      <c r="D42" s="964"/>
      <c r="E42" s="964"/>
    </row>
    <row r="51" spans="3:5" x14ac:dyDescent="0.2">
      <c r="C51" s="576" t="s">
        <v>1099</v>
      </c>
      <c r="D51" s="583">
        <f>312986601593.38/1000</f>
        <v>312986601.59338003</v>
      </c>
      <c r="E51" s="579">
        <v>1</v>
      </c>
    </row>
    <row r="52" spans="3:5" x14ac:dyDescent="0.2">
      <c r="C52" s="576" t="s">
        <v>1100</v>
      </c>
      <c r="D52" s="583">
        <f>193222055873.42/1000</f>
        <v>193222055.87342</v>
      </c>
      <c r="E52" s="579">
        <v>0.61734928872273753</v>
      </c>
    </row>
    <row r="53" spans="3:5" x14ac:dyDescent="0.2">
      <c r="C53" s="576" t="s">
        <v>1095</v>
      </c>
      <c r="D53" s="580">
        <f>168957369257.55/1000</f>
        <v>168957369.25755</v>
      </c>
      <c r="E53" s="579">
        <v>0.53982300966688923</v>
      </c>
    </row>
    <row r="54" spans="3:5" x14ac:dyDescent="0.2">
      <c r="C54" s="576" t="s">
        <v>1096</v>
      </c>
      <c r="D54" s="580">
        <f>132703432970.58/1000</f>
        <v>132703432.97058</v>
      </c>
      <c r="E54" s="579">
        <v>0.78542553990819808</v>
      </c>
    </row>
    <row r="55" spans="3:5" x14ac:dyDescent="0.2">
      <c r="C55" s="576" t="s">
        <v>1097</v>
      </c>
      <c r="D55" s="580">
        <f>132699801970.58/1000</f>
        <v>132699801.97058</v>
      </c>
      <c r="E55" s="579">
        <v>0.78542553990819808</v>
      </c>
    </row>
    <row r="56" spans="3:5" x14ac:dyDescent="0.2">
      <c r="C56" s="576" t="s">
        <v>1098</v>
      </c>
      <c r="D56" s="580">
        <f>119764545719.96/1000</f>
        <v>119764545.71996</v>
      </c>
      <c r="E56" s="579">
        <v>0.38</v>
      </c>
    </row>
  </sheetData>
  <sheetProtection password="CBEB" sheet="1" objects="1" scenarios="1"/>
  <mergeCells count="19">
    <mergeCell ref="B35:E35"/>
    <mergeCell ref="A2:B2"/>
    <mergeCell ref="A26:E26"/>
    <mergeCell ref="B27:E27"/>
    <mergeCell ref="B28:E28"/>
    <mergeCell ref="B29:E29"/>
    <mergeCell ref="B42:E42"/>
    <mergeCell ref="A1:O1"/>
    <mergeCell ref="B36:E36"/>
    <mergeCell ref="B37:E37"/>
    <mergeCell ref="B38:E38"/>
    <mergeCell ref="B39:E39"/>
    <mergeCell ref="B40:E40"/>
    <mergeCell ref="B41:E41"/>
    <mergeCell ref="B30:E30"/>
    <mergeCell ref="B31:E31"/>
    <mergeCell ref="B32:E32"/>
    <mergeCell ref="B33:E33"/>
    <mergeCell ref="B34:E34"/>
  </mergeCells>
  <conditionalFormatting sqref="O3:O5 O7:O16">
    <cfRule type="cellIs" dxfId="32" priority="23" operator="between">
      <formula>0.799</formula>
      <formula>1</formula>
    </cfRule>
    <cfRule type="cellIs" dxfId="31" priority="24" operator="between">
      <formula>0.695</formula>
      <formula>0.794</formula>
    </cfRule>
    <cfRule type="cellIs" dxfId="30" priority="25" operator="between">
      <formula>0.5955</formula>
      <formula>0.69</formula>
    </cfRule>
    <cfRule type="cellIs" dxfId="29" priority="26" operator="between">
      <formula>0.395</formula>
      <formula>0.5932</formula>
    </cfRule>
    <cfRule type="cellIs" dxfId="28" priority="27" operator="between">
      <formula>0</formula>
      <formula>0.39</formula>
    </cfRule>
    <cfRule type="cellIs" dxfId="27" priority="28" operator="between">
      <formula>1</formula>
      <formula>1</formula>
    </cfRule>
    <cfRule type="cellIs" dxfId="26" priority="29" operator="between">
      <formula>0.8</formula>
      <formula>1</formula>
    </cfRule>
    <cfRule type="cellIs" dxfId="25" priority="30" operator="between">
      <formula>50</formula>
      <formula>0.79</formula>
    </cfRule>
    <cfRule type="cellIs" dxfId="24" priority="31" operator="between">
      <formula>0.8</formula>
      <formula>1</formula>
    </cfRule>
    <cfRule type="cellIs" dxfId="23" priority="32" operator="between">
      <formula>0.5</formula>
      <formula>0.79</formula>
    </cfRule>
    <cfRule type="cellIs" dxfId="22" priority="33" operator="between">
      <formula>0</formula>
      <formula>0.49</formula>
    </cfRule>
  </conditionalFormatting>
  <conditionalFormatting sqref="O18:O21 O23">
    <cfRule type="cellIs" dxfId="21" priority="12" operator="between">
      <formula>0.8</formula>
      <formula>1</formula>
    </cfRule>
    <cfRule type="cellIs" dxfId="20" priority="13" operator="between">
      <formula>0.7</formula>
      <formula>0.79</formula>
    </cfRule>
    <cfRule type="cellIs" dxfId="19" priority="14" operator="between">
      <formula>0.5955</formula>
      <formula>0.69</formula>
    </cfRule>
    <cfRule type="cellIs" dxfId="18" priority="15" operator="between">
      <formula>0.4</formula>
      <formula>0.5932</formula>
    </cfRule>
    <cfRule type="cellIs" dxfId="17" priority="16" operator="between">
      <formula>0</formula>
      <formula>0.39</formula>
    </cfRule>
    <cfRule type="cellIs" dxfId="16" priority="17" operator="between">
      <formula>1</formula>
      <formula>1</formula>
    </cfRule>
    <cfRule type="cellIs" dxfId="15" priority="18" operator="between">
      <formula>0.8</formula>
      <formula>1</formula>
    </cfRule>
    <cfRule type="cellIs" dxfId="14" priority="19" operator="between">
      <formula>50</formula>
      <formula>0.79</formula>
    </cfRule>
    <cfRule type="cellIs" dxfId="13" priority="20" operator="between">
      <formula>0.8</formula>
      <formula>1</formula>
    </cfRule>
    <cfRule type="cellIs" dxfId="12" priority="21" operator="between">
      <formula>0.5</formula>
      <formula>0.79</formula>
    </cfRule>
    <cfRule type="cellIs" dxfId="11" priority="22" operator="between">
      <formula>0</formula>
      <formula>0.49</formula>
    </cfRule>
  </conditionalFormatting>
  <conditionalFormatting sqref="O6">
    <cfRule type="cellIs" dxfId="10" priority="1" operator="between">
      <formula>0.799</formula>
      <formula>1</formula>
    </cfRule>
    <cfRule type="cellIs" dxfId="9" priority="2" operator="between">
      <formula>0.695</formula>
      <formula>0.794</formula>
    </cfRule>
    <cfRule type="cellIs" dxfId="8" priority="3" operator="between">
      <formula>0.5955</formula>
      <formula>0.69</formula>
    </cfRule>
    <cfRule type="cellIs" dxfId="7" priority="4" operator="between">
      <formula>0.395</formula>
      <formula>0.5932</formula>
    </cfRule>
    <cfRule type="cellIs" dxfId="6" priority="5" operator="between">
      <formula>0</formula>
      <formula>0.39</formula>
    </cfRule>
    <cfRule type="cellIs" dxfId="5" priority="6" operator="between">
      <formula>1</formula>
      <formula>1</formula>
    </cfRule>
    <cfRule type="cellIs" dxfId="4" priority="7" operator="between">
      <formula>0.8</formula>
      <formula>1</formula>
    </cfRule>
    <cfRule type="cellIs" dxfId="3" priority="8" operator="between">
      <formula>50</formula>
      <formula>0.79</formula>
    </cfRule>
    <cfRule type="cellIs" dxfId="2" priority="9" operator="between">
      <formula>0.8</formula>
      <formula>1</formula>
    </cfRule>
    <cfRule type="cellIs" dxfId="1" priority="10" operator="between">
      <formula>0.5</formula>
      <formula>0.79</formula>
    </cfRule>
    <cfRule type="cellIs" dxfId="0" priority="11" operator="between">
      <formula>0</formula>
      <formula>0.49</formula>
    </cfRule>
  </conditionalFormatting>
  <pageMargins left="0.7" right="0.7" top="0.75" bottom="0.75" header="0.3" footer="0.3"/>
  <pageSetup scale="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145"/>
  <sheetViews>
    <sheetView showGridLines="0" workbookViewId="0">
      <selection activeCell="A8" sqref="A8"/>
    </sheetView>
  </sheetViews>
  <sheetFormatPr baseColWidth="10" defaultColWidth="11.42578125" defaultRowHeight="15" x14ac:dyDescent="0.25"/>
  <cols>
    <col min="1" max="1" width="8.5703125" style="635" customWidth="1"/>
    <col min="2" max="2" width="18.42578125" style="635" customWidth="1"/>
    <col min="3" max="3" width="56.85546875" style="283" customWidth="1"/>
    <col min="4" max="4" width="19.5703125" style="660" customWidth="1"/>
    <col min="5" max="16384" width="11.42578125" style="636"/>
  </cols>
  <sheetData>
    <row r="1" spans="1:4" ht="18" x14ac:dyDescent="0.25">
      <c r="B1" s="975" t="s">
        <v>1053</v>
      </c>
      <c r="C1" s="975"/>
      <c r="D1" s="975"/>
    </row>
    <row r="2" spans="1:4" ht="18" x14ac:dyDescent="0.25">
      <c r="B2" s="975" t="s">
        <v>1054</v>
      </c>
      <c r="C2" s="975"/>
      <c r="D2" s="975"/>
    </row>
    <row r="3" spans="1:4" s="637" customFormat="1" ht="23.25" customHeight="1" x14ac:dyDescent="0.25">
      <c r="B3" s="975" t="s">
        <v>1055</v>
      </c>
      <c r="C3" s="975"/>
      <c r="D3" s="975"/>
    </row>
    <row r="4" spans="1:4" s="637" customFormat="1" ht="23.25" customHeight="1" x14ac:dyDescent="0.25">
      <c r="B4" s="316"/>
      <c r="C4" s="283"/>
      <c r="D4" s="638"/>
    </row>
    <row r="5" spans="1:4" ht="30" x14ac:dyDescent="0.25">
      <c r="A5" s="639" t="s">
        <v>1056</v>
      </c>
      <c r="B5" s="639" t="s">
        <v>1057</v>
      </c>
      <c r="C5" s="639" t="s">
        <v>1058</v>
      </c>
      <c r="D5" s="640" t="s">
        <v>1059</v>
      </c>
    </row>
    <row r="6" spans="1:4" ht="30" customHeight="1" x14ac:dyDescent="0.25">
      <c r="A6" s="641"/>
      <c r="B6" s="972" t="s">
        <v>1060</v>
      </c>
      <c r="C6" s="973"/>
      <c r="D6" s="759">
        <f>SUM(D7:D11)</f>
        <v>1071000000</v>
      </c>
    </row>
    <row r="7" spans="1:4" s="373" customFormat="1" ht="28.5" x14ac:dyDescent="0.25">
      <c r="A7" s="649">
        <v>1</v>
      </c>
      <c r="B7" s="643" t="s">
        <v>45</v>
      </c>
      <c r="C7" s="644" t="s">
        <v>46</v>
      </c>
      <c r="D7" s="645">
        <f>+'SGTO POAI SEPTIEMBRE'!BZ11</f>
        <v>110000000</v>
      </c>
    </row>
    <row r="8" spans="1:4" s="373" customFormat="1" ht="42.75" x14ac:dyDescent="0.25">
      <c r="A8" s="649">
        <f>A7+1</f>
        <v>2</v>
      </c>
      <c r="B8" s="643" t="s">
        <v>50</v>
      </c>
      <c r="C8" s="644" t="s">
        <v>51</v>
      </c>
      <c r="D8" s="645">
        <f>+'SGTO POAI SEPTIEMBRE'!BZ12</f>
        <v>85000000</v>
      </c>
    </row>
    <row r="9" spans="1:4" s="373" customFormat="1" ht="58.5" customHeight="1" x14ac:dyDescent="0.25">
      <c r="A9" s="649">
        <f t="shared" ref="A9:A11" si="0">A8+1</f>
        <v>3</v>
      </c>
      <c r="B9" s="643" t="s">
        <v>55</v>
      </c>
      <c r="C9" s="644" t="s">
        <v>56</v>
      </c>
      <c r="D9" s="645">
        <f>+'SGTO POAI SEPTIEMBRE'!BZ13</f>
        <v>293000000</v>
      </c>
    </row>
    <row r="10" spans="1:4" s="373" customFormat="1" ht="42.75" x14ac:dyDescent="0.25">
      <c r="A10" s="649">
        <f t="shared" si="0"/>
        <v>4</v>
      </c>
      <c r="B10" s="643" t="s">
        <v>58</v>
      </c>
      <c r="C10" s="644" t="s">
        <v>59</v>
      </c>
      <c r="D10" s="645">
        <f>+'SGTO POAI SEPTIEMBRE'!BZ14</f>
        <v>255000000</v>
      </c>
    </row>
    <row r="11" spans="1:4" s="373" customFormat="1" ht="49.5" customHeight="1" x14ac:dyDescent="0.25">
      <c r="A11" s="649">
        <f t="shared" si="0"/>
        <v>5</v>
      </c>
      <c r="B11" s="656" t="s">
        <v>61</v>
      </c>
      <c r="C11" s="661" t="s">
        <v>62</v>
      </c>
      <c r="D11" s="664">
        <f>+SUM('SGTO POAI SEPTIEMBRE'!BZ15:BZ19)</f>
        <v>328000000</v>
      </c>
    </row>
    <row r="12" spans="1:4" s="373" customFormat="1" ht="27.75" customHeight="1" x14ac:dyDescent="0.25">
      <c r="A12" s="649"/>
      <c r="B12" s="974" t="s">
        <v>1061</v>
      </c>
      <c r="C12" s="974"/>
      <c r="D12" s="760">
        <f>SUM(D13:D21)</f>
        <v>1617000000</v>
      </c>
    </row>
    <row r="13" spans="1:4" s="373" customFormat="1" ht="57" x14ac:dyDescent="0.25">
      <c r="A13" s="649">
        <f>A11+1</f>
        <v>6</v>
      </c>
      <c r="B13" s="643" t="s">
        <v>75</v>
      </c>
      <c r="C13" s="644" t="s">
        <v>76</v>
      </c>
      <c r="D13" s="645">
        <f>+'SGTO POAI SEPTIEMBRE'!BZ29</f>
        <v>18000000</v>
      </c>
    </row>
    <row r="14" spans="1:4" s="373" customFormat="1" ht="28.5" x14ac:dyDescent="0.25">
      <c r="A14" s="649">
        <f>A13+1</f>
        <v>7</v>
      </c>
      <c r="B14" s="642" t="s">
        <v>85</v>
      </c>
      <c r="C14" s="646" t="s">
        <v>86</v>
      </c>
      <c r="D14" s="647">
        <f>+'SGTO POAI SEPTIEMBRE'!BZ39</f>
        <v>120000000</v>
      </c>
    </row>
    <row r="15" spans="1:4" s="373" customFormat="1" ht="42.75" x14ac:dyDescent="0.25">
      <c r="A15" s="649">
        <f t="shared" ref="A15:A21" si="1">A14+1</f>
        <v>8</v>
      </c>
      <c r="B15" s="642" t="s">
        <v>89</v>
      </c>
      <c r="C15" s="662" t="s">
        <v>90</v>
      </c>
      <c r="D15" s="647">
        <f>+SUM('SGTO POAI SEPTIEMBRE'!BZ45:BZ49)</f>
        <v>312000000</v>
      </c>
    </row>
    <row r="16" spans="1:4" s="373" customFormat="1" ht="28.5" x14ac:dyDescent="0.25">
      <c r="A16" s="649">
        <f t="shared" si="1"/>
        <v>9</v>
      </c>
      <c r="B16" s="642" t="s">
        <v>96</v>
      </c>
      <c r="C16" s="646" t="s">
        <v>97</v>
      </c>
      <c r="D16" s="647">
        <f>+'SGTO POAI SEPTIEMBRE'!BZ50</f>
        <v>108000000</v>
      </c>
    </row>
    <row r="17" spans="1:4" s="373" customFormat="1" ht="42.75" x14ac:dyDescent="0.25">
      <c r="A17" s="649">
        <f t="shared" si="1"/>
        <v>10</v>
      </c>
      <c r="B17" s="642" t="s">
        <v>99</v>
      </c>
      <c r="C17" s="646" t="s">
        <v>100</v>
      </c>
      <c r="D17" s="647">
        <f>+'SGTO POAI SEPTIEMBRE'!BZ51</f>
        <v>150000000</v>
      </c>
    </row>
    <row r="18" spans="1:4" s="373" customFormat="1" ht="42.75" x14ac:dyDescent="0.25">
      <c r="A18" s="649">
        <f t="shared" si="1"/>
        <v>11</v>
      </c>
      <c r="B18" s="642" t="s">
        <v>103</v>
      </c>
      <c r="C18" s="646" t="s">
        <v>104</v>
      </c>
      <c r="D18" s="647">
        <f>+'SGTO POAI SEPTIEMBRE'!BZ52</f>
        <v>591500000</v>
      </c>
    </row>
    <row r="19" spans="1:4" s="373" customFormat="1" ht="28.5" x14ac:dyDescent="0.25">
      <c r="A19" s="649">
        <f t="shared" si="1"/>
        <v>12</v>
      </c>
      <c r="B19" s="642" t="s">
        <v>106</v>
      </c>
      <c r="C19" s="646" t="s">
        <v>107</v>
      </c>
      <c r="D19" s="647">
        <f>+'SGTO POAI SEPTIEMBRE'!BZ53</f>
        <v>38500000</v>
      </c>
    </row>
    <row r="20" spans="1:4" s="373" customFormat="1" ht="42.75" x14ac:dyDescent="0.25">
      <c r="A20" s="649">
        <f t="shared" si="1"/>
        <v>13</v>
      </c>
      <c r="B20" s="642" t="s">
        <v>108</v>
      </c>
      <c r="C20" s="646" t="s">
        <v>109</v>
      </c>
      <c r="D20" s="647">
        <f>+SUM('SGTO POAI SEPTIEMBRE'!BZ54:BZ62)</f>
        <v>250000000</v>
      </c>
    </row>
    <row r="21" spans="1:4" s="373" customFormat="1" ht="42.75" x14ac:dyDescent="0.25">
      <c r="A21" s="649">
        <f t="shared" si="1"/>
        <v>14</v>
      </c>
      <c r="B21" s="642" t="s">
        <v>79</v>
      </c>
      <c r="C21" s="646" t="s">
        <v>80</v>
      </c>
      <c r="D21" s="647">
        <v>29000000</v>
      </c>
    </row>
    <row r="22" spans="1:4" s="373" customFormat="1" ht="31.5" customHeight="1" x14ac:dyDescent="0.25">
      <c r="A22" s="649"/>
      <c r="B22" s="972" t="s">
        <v>1062</v>
      </c>
      <c r="C22" s="973"/>
      <c r="D22" s="761">
        <f>SUM(D23:D24)</f>
        <v>2574941457</v>
      </c>
    </row>
    <row r="23" spans="1:4" s="373" customFormat="1" ht="42.75" x14ac:dyDescent="0.25">
      <c r="A23" s="649">
        <f>A21+1</f>
        <v>15</v>
      </c>
      <c r="B23" s="642" t="s">
        <v>120</v>
      </c>
      <c r="C23" s="646" t="s">
        <v>121</v>
      </c>
      <c r="D23" s="647">
        <f>+SUM('SGTO POAI SEPTIEMBRE'!BZ72:BZ74)</f>
        <v>2144441457</v>
      </c>
    </row>
    <row r="24" spans="1:4" s="373" customFormat="1" ht="42.75" x14ac:dyDescent="0.25">
      <c r="A24" s="649">
        <f>A23+1</f>
        <v>16</v>
      </c>
      <c r="B24" s="642" t="s">
        <v>125</v>
      </c>
      <c r="C24" s="646" t="s">
        <v>126</v>
      </c>
      <c r="D24" s="647">
        <f>+SUM('SGTO POAI SEPTIEMBRE'!BZ75:BZ76)</f>
        <v>430500000</v>
      </c>
    </row>
    <row r="25" spans="1:4" s="373" customFormat="1" ht="33.75" customHeight="1" x14ac:dyDescent="0.25">
      <c r="A25" s="649"/>
      <c r="B25" s="972" t="s">
        <v>1063</v>
      </c>
      <c r="C25" s="973"/>
      <c r="D25" s="761">
        <f>SUM(D26:D35)</f>
        <v>28139742723</v>
      </c>
    </row>
    <row r="26" spans="1:4" s="373" customFormat="1" ht="42.75" x14ac:dyDescent="0.25">
      <c r="A26" s="649">
        <f>A24+1</f>
        <v>17</v>
      </c>
      <c r="B26" s="642" t="s">
        <v>135</v>
      </c>
      <c r="C26" s="646" t="s">
        <v>136</v>
      </c>
      <c r="D26" s="647">
        <f>+SUM('SGTO POAI SEPTIEMBRE'!BZ86:BZ88)</f>
        <v>6803780055</v>
      </c>
    </row>
    <row r="27" spans="1:4" s="373" customFormat="1" ht="28.5" x14ac:dyDescent="0.25">
      <c r="A27" s="649">
        <f>A26+1</f>
        <v>18</v>
      </c>
      <c r="B27" s="642" t="s">
        <v>143</v>
      </c>
      <c r="C27" s="663" t="s">
        <v>144</v>
      </c>
      <c r="D27" s="647">
        <f>+SUM('SGTO POAI SEPTIEMBRE'!BZ92:BZ99)</f>
        <v>15775990780</v>
      </c>
    </row>
    <row r="28" spans="1:4" s="373" customFormat="1" ht="28.5" x14ac:dyDescent="0.25">
      <c r="A28" s="649">
        <f t="shared" ref="A28:A35" si="2">A27+1</f>
        <v>19</v>
      </c>
      <c r="B28" s="648" t="s">
        <v>166</v>
      </c>
      <c r="C28" s="646" t="s">
        <v>167</v>
      </c>
      <c r="D28" s="647">
        <f>+'SGTO POAI SEPTIEMBRE'!BZ108</f>
        <v>1267157549</v>
      </c>
    </row>
    <row r="29" spans="1:4" s="373" customFormat="1" ht="42.75" x14ac:dyDescent="0.25">
      <c r="A29" s="649">
        <f t="shared" si="2"/>
        <v>20</v>
      </c>
      <c r="B29" s="648" t="s">
        <v>168</v>
      </c>
      <c r="C29" s="646" t="s">
        <v>169</v>
      </c>
      <c r="D29" s="647">
        <f>+'SGTO POAI SEPTIEMBRE'!BZ109</f>
        <v>827033704</v>
      </c>
    </row>
    <row r="30" spans="1:4" s="373" customFormat="1" ht="42.75" x14ac:dyDescent="0.25">
      <c r="A30" s="649">
        <f t="shared" si="2"/>
        <v>21</v>
      </c>
      <c r="B30" s="648" t="s">
        <v>172</v>
      </c>
      <c r="C30" s="646" t="s">
        <v>173</v>
      </c>
      <c r="D30" s="647">
        <f>+'SGTO POAI SEPTIEMBRE'!BZ110</f>
        <v>80000000</v>
      </c>
    </row>
    <row r="31" spans="1:4" s="373" customFormat="1" ht="42.75" x14ac:dyDescent="0.25">
      <c r="A31" s="649">
        <f t="shared" si="2"/>
        <v>22</v>
      </c>
      <c r="B31" s="648" t="s">
        <v>175</v>
      </c>
      <c r="C31" s="646" t="s">
        <v>176</v>
      </c>
      <c r="D31" s="647">
        <f>+'SGTO POAI SEPTIEMBRE'!BZ111</f>
        <v>312000000</v>
      </c>
    </row>
    <row r="32" spans="1:4" s="373" customFormat="1" ht="42.75" x14ac:dyDescent="0.25">
      <c r="A32" s="649">
        <f t="shared" si="2"/>
        <v>23</v>
      </c>
      <c r="B32" s="648" t="s">
        <v>178</v>
      </c>
      <c r="C32" s="646" t="s">
        <v>179</v>
      </c>
      <c r="D32" s="647">
        <f>+'SGTO POAI SEPTIEMBRE'!BZ112</f>
        <v>1050000000</v>
      </c>
    </row>
    <row r="33" spans="1:4" s="373" customFormat="1" ht="42.75" x14ac:dyDescent="0.25">
      <c r="A33" s="649">
        <f t="shared" si="2"/>
        <v>24</v>
      </c>
      <c r="B33" s="648" t="s">
        <v>181</v>
      </c>
      <c r="C33" s="646" t="s">
        <v>182</v>
      </c>
      <c r="D33" s="647">
        <f>+'SGTO POAI SEPTIEMBRE'!BZ113</f>
        <v>300000000</v>
      </c>
    </row>
    <row r="34" spans="1:4" ht="60" x14ac:dyDescent="0.25">
      <c r="A34" s="649">
        <f t="shared" si="2"/>
        <v>25</v>
      </c>
      <c r="B34" s="650" t="s">
        <v>187</v>
      </c>
      <c r="C34" s="56" t="s">
        <v>188</v>
      </c>
      <c r="D34" s="651">
        <f>+'SGTO POAI SEPTIEMBRE'!BZ121</f>
        <v>500000000</v>
      </c>
    </row>
    <row r="35" spans="1:4" s="653" customFormat="1" ht="28.5" x14ac:dyDescent="0.25">
      <c r="A35" s="649">
        <f t="shared" si="2"/>
        <v>26</v>
      </c>
      <c r="B35" s="650" t="s">
        <v>1064</v>
      </c>
      <c r="C35" s="652" t="s">
        <v>1065</v>
      </c>
      <c r="D35" s="645">
        <f>+'SGTO POAI SEPTIEMBRE'!BZ100</f>
        <v>1223780635</v>
      </c>
    </row>
    <row r="36" spans="1:4" s="373" customFormat="1" ht="27" customHeight="1" x14ac:dyDescent="0.25">
      <c r="A36" s="649"/>
      <c r="B36" s="972" t="s">
        <v>1066</v>
      </c>
      <c r="C36" s="973"/>
      <c r="D36" s="761">
        <f>SUM(D37:D46)</f>
        <v>9334516954.3800011</v>
      </c>
    </row>
    <row r="37" spans="1:4" s="373" customFormat="1" ht="28.5" customHeight="1" x14ac:dyDescent="0.25">
      <c r="A37" s="649">
        <f>A35+1</f>
        <v>27</v>
      </c>
      <c r="B37" s="648" t="s">
        <v>197</v>
      </c>
      <c r="C37" s="646" t="s">
        <v>198</v>
      </c>
      <c r="D37" s="647">
        <f>+SUM('SGTO POAI SEPTIEMBRE'!BZ131:BZ135)</f>
        <v>5906394524.3800001</v>
      </c>
    </row>
    <row r="38" spans="1:4" s="373" customFormat="1" ht="28.5" customHeight="1" x14ac:dyDescent="0.25">
      <c r="A38" s="649">
        <f>A37+1</f>
        <v>28</v>
      </c>
      <c r="B38" s="642" t="s">
        <v>208</v>
      </c>
      <c r="C38" s="663" t="s">
        <v>209</v>
      </c>
      <c r="D38" s="647">
        <f>+SUM('SGTO POAI SEPTIEMBRE'!BZ139:BZ142)</f>
        <v>1398561488</v>
      </c>
    </row>
    <row r="39" spans="1:4" s="373" customFormat="1" ht="28.5" customHeight="1" x14ac:dyDescent="0.25">
      <c r="A39" s="649">
        <f t="shared" ref="A39:A46" si="3">A38+1</f>
        <v>29</v>
      </c>
      <c r="B39" s="642" t="s">
        <v>220</v>
      </c>
      <c r="C39" s="646" t="s">
        <v>221</v>
      </c>
      <c r="D39" s="647">
        <f>+SUM('SGTO POAI SEPTIEMBRE'!BZ148:BZ152)</f>
        <v>499000000</v>
      </c>
    </row>
    <row r="40" spans="1:4" s="373" customFormat="1" ht="42.75" customHeight="1" x14ac:dyDescent="0.25">
      <c r="A40" s="649">
        <f t="shared" si="3"/>
        <v>30</v>
      </c>
      <c r="B40" s="642" t="s">
        <v>228</v>
      </c>
      <c r="C40" s="646" t="s">
        <v>229</v>
      </c>
      <c r="D40" s="647">
        <f>+SUM('SGTO POAI SEPTIEMBRE'!BZ156:BZ158)</f>
        <v>52000000</v>
      </c>
    </row>
    <row r="41" spans="1:4" s="373" customFormat="1" ht="28.5" x14ac:dyDescent="0.25">
      <c r="A41" s="649">
        <f t="shared" si="3"/>
        <v>31</v>
      </c>
      <c r="B41" s="648" t="s">
        <v>234</v>
      </c>
      <c r="C41" s="646" t="s">
        <v>235</v>
      </c>
      <c r="D41" s="647">
        <f>+SUM('SGTO POAI SEPTIEMBRE'!BZ162:BZ163)</f>
        <v>63000000</v>
      </c>
    </row>
    <row r="42" spans="1:4" s="373" customFormat="1" ht="28.5" customHeight="1" x14ac:dyDescent="0.25">
      <c r="A42" s="649">
        <f t="shared" si="3"/>
        <v>32</v>
      </c>
      <c r="B42" s="648" t="s">
        <v>241</v>
      </c>
      <c r="C42" s="646" t="s">
        <v>242</v>
      </c>
      <c r="D42" s="647">
        <f>+SUM('SGTO POAI SEPTIEMBRE'!BZ169:BZ173)</f>
        <v>620081242</v>
      </c>
    </row>
    <row r="43" spans="1:4" s="373" customFormat="1" ht="33" customHeight="1" x14ac:dyDescent="0.25">
      <c r="A43" s="649">
        <f t="shared" si="3"/>
        <v>33</v>
      </c>
      <c r="B43" s="648" t="s">
        <v>249</v>
      </c>
      <c r="C43" s="646" t="s">
        <v>250</v>
      </c>
      <c r="D43" s="647">
        <f>+SUM('SGTO POAI SEPTIEMBRE'!BZ177:BZ178)</f>
        <v>112479700</v>
      </c>
    </row>
    <row r="44" spans="1:4" s="373" customFormat="1" ht="36" customHeight="1" x14ac:dyDescent="0.25">
      <c r="A44" s="649">
        <f t="shared" si="3"/>
        <v>34</v>
      </c>
      <c r="B44" s="648" t="s">
        <v>258</v>
      </c>
      <c r="C44" s="646" t="s">
        <v>259</v>
      </c>
      <c r="D44" s="647">
        <f>+SUM('SGTO POAI SEPTIEMBRE'!BZ192:BZ196)</f>
        <v>463000000</v>
      </c>
    </row>
    <row r="45" spans="1:4" s="373" customFormat="1" ht="48" customHeight="1" x14ac:dyDescent="0.25">
      <c r="A45" s="649">
        <f t="shared" si="3"/>
        <v>35</v>
      </c>
      <c r="B45" s="648" t="s">
        <v>267</v>
      </c>
      <c r="C45" s="646" t="s">
        <v>268</v>
      </c>
      <c r="D45" s="654">
        <f>+'SGTO POAI SEPTIEMBRE'!BZ200</f>
        <v>170000000</v>
      </c>
    </row>
    <row r="46" spans="1:4" s="373" customFormat="1" ht="28.5" x14ac:dyDescent="0.25">
      <c r="A46" s="649">
        <f t="shared" si="3"/>
        <v>36</v>
      </c>
      <c r="B46" s="642" t="s">
        <v>254</v>
      </c>
      <c r="C46" s="646" t="s">
        <v>255</v>
      </c>
      <c r="D46" s="655">
        <f>+'SGTO POAI SEPTIEMBRE'!BZ186</f>
        <v>50000000</v>
      </c>
    </row>
    <row r="47" spans="1:4" s="373" customFormat="1" ht="29.25" customHeight="1" x14ac:dyDescent="0.25">
      <c r="A47" s="649"/>
      <c r="B47" s="762" t="s">
        <v>1067</v>
      </c>
      <c r="C47" s="763"/>
      <c r="D47" s="764">
        <f>SUM(D48:D53)</f>
        <v>5562765176</v>
      </c>
    </row>
    <row r="48" spans="1:4" s="373" customFormat="1" ht="44.25" customHeight="1" x14ac:dyDescent="0.25">
      <c r="A48" s="649">
        <f>A46+1</f>
        <v>37</v>
      </c>
      <c r="B48" s="642" t="s">
        <v>279</v>
      </c>
      <c r="C48" s="646" t="s">
        <v>280</v>
      </c>
      <c r="D48" s="647">
        <f>+'SGTO POAI SEPTIEMBRE'!BZ210</f>
        <v>1060557735</v>
      </c>
    </row>
    <row r="49" spans="1:4" s="373" customFormat="1" ht="39" customHeight="1" x14ac:dyDescent="0.25">
      <c r="A49" s="649">
        <f>A48+1</f>
        <v>38</v>
      </c>
      <c r="B49" s="656" t="s">
        <v>284</v>
      </c>
      <c r="C49" s="657" t="s">
        <v>285</v>
      </c>
      <c r="D49" s="664">
        <f>+SUM('SGTO POAI SEPTIEMBRE'!BZ211:BZ213)</f>
        <v>3183175347</v>
      </c>
    </row>
    <row r="50" spans="1:4" s="373" customFormat="1" ht="38.25" customHeight="1" x14ac:dyDescent="0.25">
      <c r="A50" s="649">
        <f t="shared" ref="A50:A53" si="4">A49+1</f>
        <v>39</v>
      </c>
      <c r="B50" s="642" t="s">
        <v>294</v>
      </c>
      <c r="C50" s="646" t="s">
        <v>295</v>
      </c>
      <c r="D50" s="647">
        <f>+'SGTO POAI SEPTIEMBRE'!BZ217</f>
        <v>80000000</v>
      </c>
    </row>
    <row r="51" spans="1:4" s="373" customFormat="1" ht="48.75" customHeight="1" x14ac:dyDescent="0.25">
      <c r="A51" s="649">
        <f t="shared" si="4"/>
        <v>40</v>
      </c>
      <c r="B51" s="642" t="s">
        <v>302</v>
      </c>
      <c r="C51" s="646" t="s">
        <v>303</v>
      </c>
      <c r="D51" s="647">
        <f>+'SGTO POAI SEPTIEMBRE'!BZ221</f>
        <v>170030733</v>
      </c>
    </row>
    <row r="52" spans="1:4" s="373" customFormat="1" ht="40.5" customHeight="1" x14ac:dyDescent="0.25">
      <c r="A52" s="649">
        <f t="shared" si="4"/>
        <v>41</v>
      </c>
      <c r="B52" s="642" t="s">
        <v>311</v>
      </c>
      <c r="C52" s="646" t="s">
        <v>312</v>
      </c>
      <c r="D52" s="647">
        <f>+'SGTO POAI SEPTIEMBRE'!BZ227</f>
        <v>519001361</v>
      </c>
    </row>
    <row r="53" spans="1:4" s="373" customFormat="1" ht="32.25" customHeight="1" x14ac:dyDescent="0.25">
      <c r="A53" s="649">
        <f t="shared" si="4"/>
        <v>42</v>
      </c>
      <c r="B53" s="642" t="s">
        <v>319</v>
      </c>
      <c r="C53" s="646" t="s">
        <v>1068</v>
      </c>
      <c r="D53" s="647">
        <f>+SUM('SGTO POAI SEPTIEMBRE'!BZ231:BZ232)</f>
        <v>550000000</v>
      </c>
    </row>
    <row r="54" spans="1:4" s="373" customFormat="1" ht="33.75" customHeight="1" x14ac:dyDescent="0.25">
      <c r="A54" s="649"/>
      <c r="B54" s="762" t="s">
        <v>1069</v>
      </c>
      <c r="C54" s="763"/>
      <c r="D54" s="761">
        <f>SUM(D55:D61)</f>
        <v>2381713698</v>
      </c>
    </row>
    <row r="55" spans="1:4" s="373" customFormat="1" ht="28.5" x14ac:dyDescent="0.25">
      <c r="A55" s="649">
        <f>A53+1</f>
        <v>43</v>
      </c>
      <c r="B55" s="642" t="s">
        <v>328</v>
      </c>
      <c r="C55" s="646" t="s">
        <v>329</v>
      </c>
      <c r="D55" s="647">
        <f>+SUM('SGTO POAI SEPTIEMBRE'!BZ242:BZ243)</f>
        <v>110000000</v>
      </c>
    </row>
    <row r="56" spans="1:4" s="373" customFormat="1" ht="42.75" x14ac:dyDescent="0.25">
      <c r="A56" s="649">
        <f>A55+1</f>
        <v>44</v>
      </c>
      <c r="B56" s="642" t="s">
        <v>335</v>
      </c>
      <c r="C56" s="646" t="s">
        <v>336</v>
      </c>
      <c r="D56" s="647">
        <f>+SUM('SGTO POAI SEPTIEMBRE'!BZ244:BZ246)</f>
        <v>183000000</v>
      </c>
    </row>
    <row r="57" spans="1:4" s="373" customFormat="1" ht="33.75" customHeight="1" x14ac:dyDescent="0.25">
      <c r="A57" s="649">
        <f t="shared" ref="A57:A61" si="5">A56+1</f>
        <v>45</v>
      </c>
      <c r="B57" s="642" t="s">
        <v>341</v>
      </c>
      <c r="C57" s="646" t="s">
        <v>342</v>
      </c>
      <c r="D57" s="647">
        <f>+SUM('SGTO POAI SEPTIEMBRE'!BZ250:BZ253)</f>
        <v>357520000</v>
      </c>
    </row>
    <row r="58" spans="1:4" s="373" customFormat="1" ht="31.5" customHeight="1" x14ac:dyDescent="0.25">
      <c r="A58" s="649">
        <f t="shared" si="5"/>
        <v>46</v>
      </c>
      <c r="B58" s="642" t="s">
        <v>354</v>
      </c>
      <c r="C58" s="646" t="s">
        <v>355</v>
      </c>
      <c r="D58" s="647">
        <f>+SUM('SGTO POAI SEPTIEMBRE'!BZ257:BZ259)</f>
        <v>335840000</v>
      </c>
    </row>
    <row r="59" spans="1:4" s="373" customFormat="1" ht="44.25" customHeight="1" x14ac:dyDescent="0.25">
      <c r="A59" s="649">
        <f t="shared" si="5"/>
        <v>47</v>
      </c>
      <c r="B59" s="656" t="s">
        <v>366</v>
      </c>
      <c r="C59" s="657" t="s">
        <v>367</v>
      </c>
      <c r="D59" s="664">
        <f>+SUM('SGTO POAI SEPTIEMBRE'!BZ265:BZ266)</f>
        <v>150000000</v>
      </c>
    </row>
    <row r="60" spans="1:4" s="373" customFormat="1" ht="28.5" x14ac:dyDescent="0.25">
      <c r="A60" s="649">
        <f t="shared" si="5"/>
        <v>48</v>
      </c>
      <c r="B60" s="642" t="s">
        <v>371</v>
      </c>
      <c r="C60" s="646" t="s">
        <v>372</v>
      </c>
      <c r="D60" s="647">
        <f>+'SGTO POAI SEPTIEMBRE'!BZ270</f>
        <v>256640000</v>
      </c>
    </row>
    <row r="61" spans="1:4" s="373" customFormat="1" ht="28.5" x14ac:dyDescent="0.25">
      <c r="A61" s="649">
        <f t="shared" si="5"/>
        <v>49</v>
      </c>
      <c r="B61" s="642" t="s">
        <v>375</v>
      </c>
      <c r="C61" s="646" t="s">
        <v>376</v>
      </c>
      <c r="D61" s="647">
        <f>+'SGTO POAI SEPTIEMBRE'!BZ274</f>
        <v>988713698</v>
      </c>
    </row>
    <row r="62" spans="1:4" s="373" customFormat="1" ht="32.25" customHeight="1" x14ac:dyDescent="0.25">
      <c r="A62" s="649"/>
      <c r="B62" s="762" t="s">
        <v>1070</v>
      </c>
      <c r="C62" s="763"/>
      <c r="D62" s="761">
        <f>SUM(D63:D73)</f>
        <v>2927762444</v>
      </c>
    </row>
    <row r="63" spans="1:4" s="373" customFormat="1" ht="28.5" customHeight="1" x14ac:dyDescent="0.25">
      <c r="A63" s="649">
        <f>A61+1</f>
        <v>50</v>
      </c>
      <c r="B63" s="642" t="s">
        <v>382</v>
      </c>
      <c r="C63" s="646" t="s">
        <v>383</v>
      </c>
      <c r="D63" s="647">
        <f>+SUM('SGTO POAI SEPTIEMBRE'!BZ284:BZ289)</f>
        <v>85000000</v>
      </c>
    </row>
    <row r="64" spans="1:4" s="373" customFormat="1" ht="34.5" customHeight="1" x14ac:dyDescent="0.25">
      <c r="A64" s="649">
        <f>A63+1</f>
        <v>51</v>
      </c>
      <c r="B64" s="642" t="s">
        <v>395</v>
      </c>
      <c r="C64" s="646" t="s">
        <v>396</v>
      </c>
      <c r="D64" s="647">
        <f>+SUM('SGTO POAI SEPTIEMBRE'!BZ293:BZ294)</f>
        <v>200000000</v>
      </c>
    </row>
    <row r="65" spans="1:4" s="373" customFormat="1" ht="28.5" x14ac:dyDescent="0.25">
      <c r="A65" s="649">
        <f t="shared" ref="A65:A73" si="6">A64+1</f>
        <v>52</v>
      </c>
      <c r="B65" s="642" t="s">
        <v>404</v>
      </c>
      <c r="C65" s="646" t="s">
        <v>405</v>
      </c>
      <c r="D65" s="647">
        <f>+'SGTO POAI SEPTIEMBRE'!BZ298</f>
        <v>1122162444</v>
      </c>
    </row>
    <row r="66" spans="1:4" s="373" customFormat="1" ht="28.5" x14ac:dyDescent="0.25">
      <c r="A66" s="649">
        <f t="shared" si="6"/>
        <v>53</v>
      </c>
      <c r="B66" s="656" t="s">
        <v>407</v>
      </c>
      <c r="C66" s="646" t="s">
        <v>408</v>
      </c>
      <c r="D66" s="647">
        <f>+SUM('SGTO POAI SEPTIEMBRE'!BZ299:BZ303)</f>
        <v>208600000</v>
      </c>
    </row>
    <row r="67" spans="1:4" s="373" customFormat="1" ht="28.5" x14ac:dyDescent="0.25">
      <c r="A67" s="649">
        <f t="shared" si="6"/>
        <v>54</v>
      </c>
      <c r="B67" s="656" t="s">
        <v>420</v>
      </c>
      <c r="C67" s="671" t="s">
        <v>421</v>
      </c>
      <c r="D67" s="664">
        <f>+SUM('SGTO POAI SEPTIEMBRE'!BZ311:BZ314)</f>
        <v>330000000</v>
      </c>
    </row>
    <row r="68" spans="1:4" s="373" customFormat="1" ht="28.5" customHeight="1" x14ac:dyDescent="0.25">
      <c r="A68" s="649">
        <f t="shared" si="6"/>
        <v>55</v>
      </c>
      <c r="B68" s="642" t="s">
        <v>440</v>
      </c>
      <c r="C68" s="646" t="s">
        <v>441</v>
      </c>
      <c r="D68" s="647">
        <f>+SUM('SGTO POAI SEPTIEMBRE'!BZ327:BZ330)</f>
        <v>380000000</v>
      </c>
    </row>
    <row r="69" spans="1:4" s="373" customFormat="1" ht="42.75" x14ac:dyDescent="0.25">
      <c r="A69" s="649">
        <f t="shared" si="6"/>
        <v>56</v>
      </c>
      <c r="B69" s="642" t="s">
        <v>449</v>
      </c>
      <c r="C69" s="646" t="s">
        <v>450</v>
      </c>
      <c r="D69" s="647">
        <f>+SUM('SGTO POAI SEPTIEMBRE'!BZ334:BZ336)</f>
        <v>125000000</v>
      </c>
    </row>
    <row r="70" spans="1:4" s="373" customFormat="1" ht="42.75" customHeight="1" x14ac:dyDescent="0.25">
      <c r="A70" s="649">
        <f t="shared" si="6"/>
        <v>57</v>
      </c>
      <c r="B70" s="642" t="s">
        <v>460</v>
      </c>
      <c r="C70" s="646" t="s">
        <v>461</v>
      </c>
      <c r="D70" s="647">
        <f>+SUM('SGTO POAI SEPTIEMBRE'!BZ344:BZ348)</f>
        <v>200000000</v>
      </c>
    </row>
    <row r="71" spans="1:4" s="373" customFormat="1" ht="42.75" x14ac:dyDescent="0.25">
      <c r="A71" s="649">
        <f t="shared" si="6"/>
        <v>58</v>
      </c>
      <c r="B71" s="642" t="s">
        <v>435</v>
      </c>
      <c r="C71" s="646" t="s">
        <v>436</v>
      </c>
      <c r="D71" s="647">
        <f>+'SGTO POAI SEPTIEMBRE'!BZ323</f>
        <v>64000000</v>
      </c>
    </row>
    <row r="72" spans="1:4" s="373" customFormat="1" ht="34.5" customHeight="1" x14ac:dyDescent="0.25">
      <c r="A72" s="649">
        <f t="shared" si="6"/>
        <v>59</v>
      </c>
      <c r="B72" s="642" t="s">
        <v>427</v>
      </c>
      <c r="C72" s="646" t="s">
        <v>1071</v>
      </c>
      <c r="D72" s="647">
        <f>+SUM('SGTO POAI SEPTIEMBRE'!BZ318:BZ321)</f>
        <v>199000000</v>
      </c>
    </row>
    <row r="73" spans="1:4" s="373" customFormat="1" ht="28.5" x14ac:dyDescent="0.25">
      <c r="A73" s="649">
        <f t="shared" si="6"/>
        <v>60</v>
      </c>
      <c r="B73" s="658" t="s">
        <v>432</v>
      </c>
      <c r="C73" s="646" t="s">
        <v>433</v>
      </c>
      <c r="D73" s="647">
        <f>+'SGTO POAI SEPTIEMBRE'!BZ322</f>
        <v>14000000</v>
      </c>
    </row>
    <row r="74" spans="1:4" s="373" customFormat="1" ht="21.75" customHeight="1" x14ac:dyDescent="0.25">
      <c r="A74" s="649"/>
      <c r="B74" s="765" t="s">
        <v>1044</v>
      </c>
      <c r="C74" s="766"/>
      <c r="D74" s="761">
        <f>SUM(D75:D77)</f>
        <v>1504000000</v>
      </c>
    </row>
    <row r="75" spans="1:4" s="373" customFormat="1" ht="42.75" x14ac:dyDescent="0.25">
      <c r="A75" s="649">
        <f>A73+1</f>
        <v>61</v>
      </c>
      <c r="B75" s="642" t="s">
        <v>478</v>
      </c>
      <c r="C75" s="646" t="s">
        <v>479</v>
      </c>
      <c r="D75" s="647">
        <f>+'SGTO POAI SEPTIEMBRE'!BZ365</f>
        <v>817000000</v>
      </c>
    </row>
    <row r="76" spans="1:4" s="373" customFormat="1" ht="42.75" x14ac:dyDescent="0.25">
      <c r="A76" s="649">
        <f>A75+1</f>
        <v>62</v>
      </c>
      <c r="B76" s="642" t="s">
        <v>471</v>
      </c>
      <c r="C76" s="646" t="s">
        <v>472</v>
      </c>
      <c r="D76" s="647">
        <f>+'SGTO POAI SEPTIEMBRE'!BZ358</f>
        <v>627000000</v>
      </c>
    </row>
    <row r="77" spans="1:4" s="373" customFormat="1" ht="28.5" x14ac:dyDescent="0.25">
      <c r="A77" s="649">
        <f>A76+1</f>
        <v>63</v>
      </c>
      <c r="B77" s="642" t="s">
        <v>475</v>
      </c>
      <c r="C77" s="646" t="s">
        <v>476</v>
      </c>
      <c r="D77" s="647">
        <f>+'SGTO POAI SEPTIEMBRE'!BZ359</f>
        <v>60000000</v>
      </c>
    </row>
    <row r="78" spans="1:4" s="373" customFormat="1" ht="21" customHeight="1" x14ac:dyDescent="0.25">
      <c r="A78" s="649"/>
      <c r="B78" s="762" t="s">
        <v>1072</v>
      </c>
      <c r="C78" s="763"/>
      <c r="D78" s="761">
        <f>SUM(D79:D93)</f>
        <v>191833025356</v>
      </c>
    </row>
    <row r="79" spans="1:4" s="373" customFormat="1" ht="44.25" customHeight="1" x14ac:dyDescent="0.25">
      <c r="A79" s="649">
        <f>A77+1</f>
        <v>64</v>
      </c>
      <c r="B79" s="642" t="s">
        <v>486</v>
      </c>
      <c r="C79" s="646" t="s">
        <v>487</v>
      </c>
      <c r="D79" s="647">
        <f>+SUM('SGTO POAI SEPTIEMBRE'!BZ375:BZ377)</f>
        <v>16396567383</v>
      </c>
    </row>
    <row r="80" spans="1:4" s="373" customFormat="1" ht="42.75" x14ac:dyDescent="0.25">
      <c r="A80" s="649">
        <f>A79+1</f>
        <v>65</v>
      </c>
      <c r="B80" s="642" t="s">
        <v>496</v>
      </c>
      <c r="C80" s="646" t="s">
        <v>497</v>
      </c>
      <c r="D80" s="647">
        <f>+SUM('SGTO POAI SEPTIEMBRE'!BZ381:BZ386)</f>
        <v>1432631487</v>
      </c>
    </row>
    <row r="81" spans="1:4" s="373" customFormat="1" ht="28.5" x14ac:dyDescent="0.25">
      <c r="A81" s="649">
        <f t="shared" ref="A81:A93" si="7">A80+1</f>
        <v>66</v>
      </c>
      <c r="B81" s="642" t="s">
        <v>512</v>
      </c>
      <c r="C81" s="646" t="s">
        <v>513</v>
      </c>
      <c r="D81" s="647">
        <f>+'SGTO POAI SEPTIEMBRE'!BZ390</f>
        <v>151388467265</v>
      </c>
    </row>
    <row r="82" spans="1:4" s="373" customFormat="1" ht="58.5" customHeight="1" x14ac:dyDescent="0.25">
      <c r="A82" s="649">
        <f t="shared" si="7"/>
        <v>67</v>
      </c>
      <c r="B82" s="642" t="s">
        <v>517</v>
      </c>
      <c r="C82" s="646" t="s">
        <v>1073</v>
      </c>
      <c r="D82" s="647">
        <f>+SUM('SGTO POAI SEPTIEMBRE'!BZ396:BZ403)</f>
        <v>248165345</v>
      </c>
    </row>
    <row r="83" spans="1:4" s="373" customFormat="1" ht="57" x14ac:dyDescent="0.25">
      <c r="A83" s="649">
        <f t="shared" si="7"/>
        <v>68</v>
      </c>
      <c r="B83" s="642" t="s">
        <v>529</v>
      </c>
      <c r="C83" s="646" t="s">
        <v>530</v>
      </c>
      <c r="D83" s="647">
        <f>+SUM('SGTO POAI SEPTIEMBRE'!BZ407:BZ416)</f>
        <v>333496502</v>
      </c>
    </row>
    <row r="84" spans="1:4" s="373" customFormat="1" ht="42.75" customHeight="1" x14ac:dyDescent="0.25">
      <c r="A84" s="649">
        <f t="shared" si="7"/>
        <v>69</v>
      </c>
      <c r="B84" s="642" t="s">
        <v>543</v>
      </c>
      <c r="C84" s="646" t="s">
        <v>544</v>
      </c>
      <c r="D84" s="647">
        <f>+SUM('SGTO POAI SEPTIEMBRE'!BZ420:BZ423)</f>
        <v>393870022</v>
      </c>
    </row>
    <row r="85" spans="1:4" s="373" customFormat="1" ht="42.75" x14ac:dyDescent="0.25">
      <c r="A85" s="649">
        <f t="shared" si="7"/>
        <v>70</v>
      </c>
      <c r="B85" s="642" t="s">
        <v>552</v>
      </c>
      <c r="C85" s="646" t="s">
        <v>553</v>
      </c>
      <c r="D85" s="647">
        <f>+'SGTO POAI SEPTIEMBRE'!BZ427</f>
        <v>10000000</v>
      </c>
    </row>
    <row r="86" spans="1:4" s="373" customFormat="1" ht="57" x14ac:dyDescent="0.25">
      <c r="A86" s="649">
        <f t="shared" si="7"/>
        <v>71</v>
      </c>
      <c r="B86" s="642" t="s">
        <v>557</v>
      </c>
      <c r="C86" s="646" t="s">
        <v>558</v>
      </c>
      <c r="D86" s="647">
        <f>+SUM('SGTO POAI SEPTIEMBRE'!BZ433:BZ437)</f>
        <v>44075000</v>
      </c>
    </row>
    <row r="87" spans="1:4" s="373" customFormat="1" ht="42.75" x14ac:dyDescent="0.25">
      <c r="A87" s="649">
        <f t="shared" si="7"/>
        <v>72</v>
      </c>
      <c r="B87" s="642" t="s">
        <v>566</v>
      </c>
      <c r="C87" s="646" t="s">
        <v>567</v>
      </c>
      <c r="D87" s="647">
        <f>+SUM('SGTO POAI SEPTIEMBRE'!BZ441:BZ444)</f>
        <v>396000000</v>
      </c>
    </row>
    <row r="88" spans="1:4" s="373" customFormat="1" ht="28.5" x14ac:dyDescent="0.25">
      <c r="A88" s="649">
        <f t="shared" si="7"/>
        <v>73</v>
      </c>
      <c r="B88" s="642" t="s">
        <v>585</v>
      </c>
      <c r="C88" s="646" t="s">
        <v>586</v>
      </c>
      <c r="D88" s="647">
        <f>+SUM('SGTO POAI SEPTIEMBRE'!BZ451:BZ452)</f>
        <v>57000000</v>
      </c>
    </row>
    <row r="89" spans="1:4" s="373" customFormat="1" ht="28.5" x14ac:dyDescent="0.25">
      <c r="A89" s="649">
        <f t="shared" si="7"/>
        <v>74</v>
      </c>
      <c r="B89" s="642" t="s">
        <v>594</v>
      </c>
      <c r="C89" s="646" t="s">
        <v>595</v>
      </c>
      <c r="D89" s="647">
        <f>+'SGTO POAI SEPTIEMBRE'!BZ456</f>
        <v>758000000</v>
      </c>
    </row>
    <row r="90" spans="1:4" s="373" customFormat="1" ht="38.25" customHeight="1" x14ac:dyDescent="0.25">
      <c r="A90" s="649">
        <f t="shared" si="7"/>
        <v>75</v>
      </c>
      <c r="B90" s="642" t="s">
        <v>599</v>
      </c>
      <c r="C90" s="646" t="s">
        <v>600</v>
      </c>
      <c r="D90" s="647">
        <f>+'SGTO POAI SEPTIEMBRE'!BZ460</f>
        <v>19227000000</v>
      </c>
    </row>
    <row r="91" spans="1:4" s="373" customFormat="1" ht="42.75" customHeight="1" x14ac:dyDescent="0.25">
      <c r="A91" s="649">
        <f t="shared" si="7"/>
        <v>76</v>
      </c>
      <c r="B91" s="642" t="s">
        <v>603</v>
      </c>
      <c r="C91" s="646" t="s">
        <v>604</v>
      </c>
      <c r="D91" s="647">
        <f>+SUM('SGTO POAI SEPTIEMBRE'!BZ464:BZ465)</f>
        <v>29000000</v>
      </c>
    </row>
    <row r="92" spans="1:4" s="373" customFormat="1" ht="28.5" x14ac:dyDescent="0.25">
      <c r="A92" s="649">
        <f t="shared" si="7"/>
        <v>77</v>
      </c>
      <c r="B92" s="642" t="s">
        <v>613</v>
      </c>
      <c r="C92" s="646" t="s">
        <v>614</v>
      </c>
      <c r="D92" s="647">
        <f>+'SGTO POAI SEPTIEMBRE'!BZ471</f>
        <v>29000000</v>
      </c>
    </row>
    <row r="93" spans="1:4" s="653" customFormat="1" ht="42.75" x14ac:dyDescent="0.25">
      <c r="A93" s="649">
        <f t="shared" si="7"/>
        <v>78</v>
      </c>
      <c r="B93" s="650" t="s">
        <v>577</v>
      </c>
      <c r="C93" s="652" t="s">
        <v>578</v>
      </c>
      <c r="D93" s="645">
        <f>+'SGTO POAI SEPTIEMBRE'!BZ445</f>
        <v>1089752352</v>
      </c>
    </row>
    <row r="94" spans="1:4" s="373" customFormat="1" ht="24" customHeight="1" x14ac:dyDescent="0.25">
      <c r="A94" s="649"/>
      <c r="B94" s="762" t="s">
        <v>1074</v>
      </c>
      <c r="C94" s="763"/>
      <c r="D94" s="761">
        <f>SUM(D95:D107)</f>
        <v>6696430678</v>
      </c>
    </row>
    <row r="95" spans="1:4" s="373" customFormat="1" ht="42.75" x14ac:dyDescent="0.25">
      <c r="A95" s="649">
        <f>A93+1</f>
        <v>79</v>
      </c>
      <c r="B95" s="642" t="s">
        <v>622</v>
      </c>
      <c r="C95" s="646" t="s">
        <v>623</v>
      </c>
      <c r="D95" s="647">
        <f>+SUM('SGTO POAI SEPTIEMBRE'!BZ481:BZ482)</f>
        <v>60000000</v>
      </c>
    </row>
    <row r="96" spans="1:4" s="373" customFormat="1" ht="28.5" x14ac:dyDescent="0.25">
      <c r="A96" s="649">
        <f>A95+1</f>
        <v>80</v>
      </c>
      <c r="B96" s="642" t="s">
        <v>631</v>
      </c>
      <c r="C96" s="646" t="s">
        <v>632</v>
      </c>
      <c r="D96" s="647">
        <f>+'SGTO POAI SEPTIEMBRE'!BZ488</f>
        <v>180000000</v>
      </c>
    </row>
    <row r="97" spans="1:4" s="373" customFormat="1" ht="28.5" customHeight="1" x14ac:dyDescent="0.25">
      <c r="A97" s="649">
        <f t="shared" ref="A97:A107" si="8">A96+1</f>
        <v>81</v>
      </c>
      <c r="B97" s="642" t="s">
        <v>639</v>
      </c>
      <c r="C97" s="646" t="s">
        <v>640</v>
      </c>
      <c r="D97" s="647">
        <f>+SUM('SGTO POAI SEPTIEMBRE'!BZ492:BZ494)</f>
        <v>520000000</v>
      </c>
    </row>
    <row r="98" spans="1:4" s="373" customFormat="1" ht="28.5" customHeight="1" x14ac:dyDescent="0.25">
      <c r="A98" s="649">
        <f t="shared" si="8"/>
        <v>82</v>
      </c>
      <c r="B98" s="642" t="s">
        <v>648</v>
      </c>
      <c r="C98" s="646" t="s">
        <v>649</v>
      </c>
      <c r="D98" s="647">
        <f>+SUM('SGTO POAI SEPTIEMBRE'!BZ498:BZ500)</f>
        <v>101000000</v>
      </c>
    </row>
    <row r="99" spans="1:4" s="373" customFormat="1" ht="42.75" x14ac:dyDescent="0.25">
      <c r="A99" s="649">
        <f t="shared" si="8"/>
        <v>83</v>
      </c>
      <c r="B99" s="642" t="s">
        <v>659</v>
      </c>
      <c r="C99" s="646" t="s">
        <v>660</v>
      </c>
      <c r="D99" s="647">
        <f>+'SGTO POAI SEPTIEMBRE'!BZ504</f>
        <v>190000000</v>
      </c>
    </row>
    <row r="100" spans="1:4" s="373" customFormat="1" ht="42.75" x14ac:dyDescent="0.25">
      <c r="A100" s="649">
        <f t="shared" si="8"/>
        <v>84</v>
      </c>
      <c r="B100" s="642" t="s">
        <v>664</v>
      </c>
      <c r="C100" s="646" t="s">
        <v>1075</v>
      </c>
      <c r="D100" s="647">
        <f>+'SGTO POAI SEPTIEMBRE'!BZ510</f>
        <v>1185000000</v>
      </c>
    </row>
    <row r="101" spans="1:4" s="373" customFormat="1" ht="42.75" x14ac:dyDescent="0.25">
      <c r="A101" s="649">
        <f t="shared" si="8"/>
        <v>85</v>
      </c>
      <c r="B101" s="642" t="s">
        <v>667</v>
      </c>
      <c r="C101" s="646" t="s">
        <v>668</v>
      </c>
      <c r="D101" s="647">
        <f>+'SGTO POAI SEPTIEMBRE'!BZ511</f>
        <v>80000000</v>
      </c>
    </row>
    <row r="102" spans="1:4" s="373" customFormat="1" ht="42.75" x14ac:dyDescent="0.25">
      <c r="A102" s="649">
        <f t="shared" si="8"/>
        <v>86</v>
      </c>
      <c r="B102" s="642" t="s">
        <v>671</v>
      </c>
      <c r="C102" s="646" t="s">
        <v>672</v>
      </c>
      <c r="D102" s="647">
        <f>+'SGTO POAI SEPTIEMBRE'!BZ515</f>
        <v>30000000</v>
      </c>
    </row>
    <row r="103" spans="1:4" s="373" customFormat="1" ht="37.5" customHeight="1" x14ac:dyDescent="0.25">
      <c r="A103" s="649">
        <f t="shared" si="8"/>
        <v>87</v>
      </c>
      <c r="B103" s="642" t="s">
        <v>674</v>
      </c>
      <c r="C103" s="646" t="s">
        <v>675</v>
      </c>
      <c r="D103" s="647">
        <f>+'SGTO POAI SEPTIEMBRE'!BZ516</f>
        <v>70000000</v>
      </c>
    </row>
    <row r="104" spans="1:4" s="373" customFormat="1" ht="41.25" customHeight="1" x14ac:dyDescent="0.25">
      <c r="A104" s="649">
        <f t="shared" si="8"/>
        <v>88</v>
      </c>
      <c r="B104" s="642" t="s">
        <v>679</v>
      </c>
      <c r="C104" s="646" t="s">
        <v>680</v>
      </c>
      <c r="D104" s="647">
        <f>+'SGTO POAI SEPTIEMBRE'!BZ520</f>
        <v>90000000</v>
      </c>
    </row>
    <row r="105" spans="1:4" s="373" customFormat="1" ht="28.5" x14ac:dyDescent="0.25">
      <c r="A105" s="649">
        <f t="shared" si="8"/>
        <v>89</v>
      </c>
      <c r="B105" s="642" t="s">
        <v>687</v>
      </c>
      <c r="C105" s="646" t="s">
        <v>688</v>
      </c>
      <c r="D105" s="647">
        <f>+'SGTO POAI SEPTIEMBRE'!BZ524</f>
        <v>56400000</v>
      </c>
    </row>
    <row r="106" spans="1:4" s="373" customFormat="1" ht="28.5" x14ac:dyDescent="0.25">
      <c r="A106" s="649">
        <f t="shared" si="8"/>
        <v>90</v>
      </c>
      <c r="B106" s="642" t="s">
        <v>693</v>
      </c>
      <c r="C106" s="646" t="s">
        <v>694</v>
      </c>
      <c r="D106" s="647">
        <f>+'SGTO POAI SEPTIEMBRE'!BZ528</f>
        <v>102820000</v>
      </c>
    </row>
    <row r="107" spans="1:4" s="373" customFormat="1" ht="32.25" customHeight="1" x14ac:dyDescent="0.25">
      <c r="A107" s="649">
        <f t="shared" si="8"/>
        <v>91</v>
      </c>
      <c r="B107" s="642" t="s">
        <v>701</v>
      </c>
      <c r="C107" s="646" t="s">
        <v>702</v>
      </c>
      <c r="D107" s="647">
        <f>+SUM('SGTO POAI SEPTIEMBRE'!BZ534:BZ537)</f>
        <v>4031210678</v>
      </c>
    </row>
    <row r="108" spans="1:4" s="373" customFormat="1" ht="22.5" customHeight="1" x14ac:dyDescent="0.25">
      <c r="A108" s="649"/>
      <c r="B108" s="762" t="s">
        <v>1076</v>
      </c>
      <c r="C108" s="763"/>
      <c r="D108" s="761">
        <f>+D109</f>
        <v>72000000</v>
      </c>
    </row>
    <row r="109" spans="1:4" s="373" customFormat="1" ht="42.75" x14ac:dyDescent="0.25">
      <c r="A109" s="649">
        <f>A107+1</f>
        <v>92</v>
      </c>
      <c r="B109" s="642" t="s">
        <v>709</v>
      </c>
      <c r="C109" s="646" t="s">
        <v>710</v>
      </c>
      <c r="D109" s="647">
        <f>+'SGTO POAI SEPTIEMBRE'!BZ547</f>
        <v>72000000</v>
      </c>
    </row>
    <row r="110" spans="1:4" s="373" customFormat="1" ht="22.5" customHeight="1" x14ac:dyDescent="0.25">
      <c r="A110" s="649"/>
      <c r="B110" s="762" t="s">
        <v>1077</v>
      </c>
      <c r="C110" s="763"/>
      <c r="D110" s="761">
        <f>SUM(D111:D133)</f>
        <v>53236633921</v>
      </c>
    </row>
    <row r="111" spans="1:4" s="373" customFormat="1" ht="28.5" x14ac:dyDescent="0.25">
      <c r="A111" s="649">
        <f>A109+1</f>
        <v>93</v>
      </c>
      <c r="B111" s="642" t="s">
        <v>715</v>
      </c>
      <c r="C111" s="646" t="s">
        <v>1078</v>
      </c>
      <c r="D111" s="647">
        <f>+SUM('SGTO POAI SEPTIEMBRE'!BZ557:BZ559)</f>
        <v>182282000</v>
      </c>
    </row>
    <row r="112" spans="1:4" s="373" customFormat="1" ht="21.75" customHeight="1" x14ac:dyDescent="0.25">
      <c r="A112" s="649">
        <f>A111+1</f>
        <v>94</v>
      </c>
      <c r="B112" s="642" t="s">
        <v>723</v>
      </c>
      <c r="C112" s="646" t="s">
        <v>724</v>
      </c>
      <c r="D112" s="647">
        <f>+SUM('SGTO POAI SEPTIEMBRE'!BZ565:BZ566)</f>
        <v>145000000</v>
      </c>
    </row>
    <row r="113" spans="1:4" s="373" customFormat="1" ht="42.75" customHeight="1" x14ac:dyDescent="0.25">
      <c r="A113" s="649">
        <f t="shared" ref="A113:A133" si="9">A112+1</f>
        <v>95</v>
      </c>
      <c r="B113" s="642" t="s">
        <v>730</v>
      </c>
      <c r="C113" s="646" t="s">
        <v>731</v>
      </c>
      <c r="D113" s="647">
        <f>+SUM('SGTO POAI SEPTIEMBRE'!BZ570:BZ573)</f>
        <v>165000000</v>
      </c>
    </row>
    <row r="114" spans="1:4" s="373" customFormat="1" ht="28.5" x14ac:dyDescent="0.25">
      <c r="A114" s="649">
        <f t="shared" si="9"/>
        <v>96</v>
      </c>
      <c r="B114" s="642" t="s">
        <v>739</v>
      </c>
      <c r="C114" s="646" t="s">
        <v>740</v>
      </c>
      <c r="D114" s="647">
        <f>+SUM('SGTO POAI SEPTIEMBRE'!BZ577:BZ579)</f>
        <v>148649900</v>
      </c>
    </row>
    <row r="115" spans="1:4" s="373" customFormat="1" ht="42.75" x14ac:dyDescent="0.25">
      <c r="A115" s="649">
        <f t="shared" si="9"/>
        <v>97</v>
      </c>
      <c r="B115" s="642" t="s">
        <v>746</v>
      </c>
      <c r="C115" s="646" t="s">
        <v>747</v>
      </c>
      <c r="D115" s="647">
        <f>+SUM('SGTO POAI SEPTIEMBRE'!BZ583:BZ585)</f>
        <v>165000000</v>
      </c>
    </row>
    <row r="116" spans="1:4" s="373" customFormat="1" ht="42.75" x14ac:dyDescent="0.25">
      <c r="A116" s="649">
        <f t="shared" si="9"/>
        <v>98</v>
      </c>
      <c r="B116" s="642" t="s">
        <v>757</v>
      </c>
      <c r="C116" s="646" t="s">
        <v>758</v>
      </c>
      <c r="D116" s="647">
        <f>+SUM('SGTO POAI SEPTIEMBRE'!BZ589:BZ590)</f>
        <v>142000000</v>
      </c>
    </row>
    <row r="117" spans="1:4" s="373" customFormat="1" ht="42.75" x14ac:dyDescent="0.25">
      <c r="A117" s="649">
        <f t="shared" si="9"/>
        <v>99</v>
      </c>
      <c r="B117" s="642" t="s">
        <v>765</v>
      </c>
      <c r="C117" s="646" t="s">
        <v>766</v>
      </c>
      <c r="D117" s="647">
        <f>+SUM('SGTO POAI SEPTIEMBRE'!BZ591:BZ592)</f>
        <v>723209934</v>
      </c>
    </row>
    <row r="118" spans="1:4" s="373" customFormat="1" ht="43.5" customHeight="1" x14ac:dyDescent="0.25">
      <c r="A118" s="649">
        <f t="shared" si="9"/>
        <v>100</v>
      </c>
      <c r="B118" s="642" t="s">
        <v>772</v>
      </c>
      <c r="C118" s="646" t="s">
        <v>773</v>
      </c>
      <c r="D118" s="647">
        <f>+SUM('SGTO POAI SEPTIEMBRE'!BZ593)</f>
        <v>230374138</v>
      </c>
    </row>
    <row r="119" spans="1:4" s="373" customFormat="1" ht="42.75" x14ac:dyDescent="0.25">
      <c r="A119" s="649">
        <f t="shared" si="9"/>
        <v>101</v>
      </c>
      <c r="B119" s="642" t="s">
        <v>777</v>
      </c>
      <c r="C119" s="646" t="s">
        <v>778</v>
      </c>
      <c r="D119" s="647">
        <f>+SUM('SGTO POAI SEPTIEMBRE'!BZ597:BZ598)</f>
        <v>20000000</v>
      </c>
    </row>
    <row r="120" spans="1:4" s="373" customFormat="1" ht="28.5" x14ac:dyDescent="0.25">
      <c r="A120" s="649">
        <f t="shared" si="9"/>
        <v>102</v>
      </c>
      <c r="B120" s="642" t="s">
        <v>785</v>
      </c>
      <c r="C120" s="646" t="s">
        <v>786</v>
      </c>
      <c r="D120" s="647">
        <f>+SUM('SGTO POAI SEPTIEMBRE'!BZ602:BZ603)</f>
        <v>63000000</v>
      </c>
    </row>
    <row r="121" spans="1:4" s="373" customFormat="1" ht="28.5" x14ac:dyDescent="0.25">
      <c r="A121" s="649">
        <f t="shared" si="9"/>
        <v>103</v>
      </c>
      <c r="B121" s="642" t="s">
        <v>792</v>
      </c>
      <c r="C121" s="646" t="s">
        <v>793</v>
      </c>
      <c r="D121" s="647">
        <f>+SUM('SGTO POAI SEPTIEMBRE'!BZ607:BZ609)</f>
        <v>1518324003</v>
      </c>
    </row>
    <row r="122" spans="1:4" s="373" customFormat="1" ht="28.5" x14ac:dyDescent="0.25">
      <c r="A122" s="649">
        <f t="shared" si="9"/>
        <v>104</v>
      </c>
      <c r="B122" s="642" t="s">
        <v>799</v>
      </c>
      <c r="C122" s="646" t="s">
        <v>800</v>
      </c>
      <c r="D122" s="647">
        <f>+SUM('SGTO POAI SEPTIEMBRE'!BZ613:BZ616)</f>
        <v>273927352</v>
      </c>
    </row>
    <row r="123" spans="1:4" s="373" customFormat="1" ht="42.75" customHeight="1" x14ac:dyDescent="0.25">
      <c r="A123" s="649">
        <f t="shared" si="9"/>
        <v>105</v>
      </c>
      <c r="B123" s="642" t="s">
        <v>816</v>
      </c>
      <c r="C123" s="646" t="s">
        <v>817</v>
      </c>
      <c r="D123" s="647">
        <f>+SUM('SGTO POAI SEPTIEMBRE'!BZ620:BZ621)</f>
        <v>1284098541</v>
      </c>
    </row>
    <row r="124" spans="1:4" s="373" customFormat="1" ht="38.25" customHeight="1" x14ac:dyDescent="0.25">
      <c r="A124" s="649">
        <f t="shared" si="9"/>
        <v>106</v>
      </c>
      <c r="B124" s="642" t="s">
        <v>823</v>
      </c>
      <c r="C124" s="646" t="s">
        <v>824</v>
      </c>
      <c r="D124" s="647">
        <f>+'SGTO POAI SEPTIEMBRE'!BZ625</f>
        <v>1010853359</v>
      </c>
    </row>
    <row r="125" spans="1:4" s="373" customFormat="1" ht="28.5" x14ac:dyDescent="0.25">
      <c r="A125" s="649">
        <f t="shared" si="9"/>
        <v>107</v>
      </c>
      <c r="B125" s="642" t="s">
        <v>829</v>
      </c>
      <c r="C125" s="646" t="s">
        <v>830</v>
      </c>
      <c r="D125" s="647">
        <f>+SUM('SGTO POAI SEPTIEMBRE'!BZ626:BZ627)</f>
        <v>459626843</v>
      </c>
    </row>
    <row r="126" spans="1:4" s="373" customFormat="1" ht="42.75" x14ac:dyDescent="0.25">
      <c r="A126" s="649">
        <f t="shared" si="9"/>
        <v>108</v>
      </c>
      <c r="B126" s="642" t="s">
        <v>836</v>
      </c>
      <c r="C126" s="646" t="s">
        <v>837</v>
      </c>
      <c r="D126" s="647">
        <f>+'SGTO POAI SEPTIEMBRE'!BZ633+'SGTO POAI SEPTIEMBRE'!BZ637+'SGTO POAI SEPTIEMBRE'!BZ641</f>
        <v>22191813118</v>
      </c>
    </row>
    <row r="127" spans="1:4" s="373" customFormat="1" ht="42.75" x14ac:dyDescent="0.25">
      <c r="A127" s="649">
        <f t="shared" si="9"/>
        <v>109</v>
      </c>
      <c r="B127" s="642" t="s">
        <v>845</v>
      </c>
      <c r="C127" s="646" t="s">
        <v>846</v>
      </c>
      <c r="D127" s="647">
        <f>+SUM('SGTO POAI SEPTIEMBRE'!BZ647:BZ649)</f>
        <v>23424840038</v>
      </c>
    </row>
    <row r="128" spans="1:4" s="373" customFormat="1" ht="35.25" customHeight="1" x14ac:dyDescent="0.25">
      <c r="A128" s="649">
        <f t="shared" si="9"/>
        <v>110</v>
      </c>
      <c r="B128" s="642" t="s">
        <v>852</v>
      </c>
      <c r="C128" s="646" t="s">
        <v>853</v>
      </c>
      <c r="D128" s="647">
        <f>+'SGTO POAI SEPTIEMBRE'!BZ653</f>
        <v>44149920</v>
      </c>
    </row>
    <row r="129" spans="1:4" s="373" customFormat="1" ht="21" customHeight="1" x14ac:dyDescent="0.25">
      <c r="A129" s="649">
        <f t="shared" si="9"/>
        <v>111</v>
      </c>
      <c r="B129" s="642" t="s">
        <v>857</v>
      </c>
      <c r="C129" s="646" t="s">
        <v>858</v>
      </c>
      <c r="D129" s="647">
        <f>+'SGTO POAI SEPTIEMBRE'!BZ657+'SGTO POAI SEPTIEMBRE'!BZ658</f>
        <v>138195556</v>
      </c>
    </row>
    <row r="130" spans="1:4" s="373" customFormat="1" ht="28.5" x14ac:dyDescent="0.25">
      <c r="A130" s="649">
        <f t="shared" si="9"/>
        <v>112</v>
      </c>
      <c r="B130" s="642" t="s">
        <v>861</v>
      </c>
      <c r="C130" s="646" t="s">
        <v>862</v>
      </c>
      <c r="D130" s="647">
        <f>+'SGTO POAI SEPTIEMBRE'!BZ659</f>
        <v>465004444</v>
      </c>
    </row>
    <row r="131" spans="1:4" s="373" customFormat="1" ht="42.75" x14ac:dyDescent="0.25">
      <c r="A131" s="649">
        <f t="shared" si="9"/>
        <v>113</v>
      </c>
      <c r="B131" s="642" t="s">
        <v>865</v>
      </c>
      <c r="C131" s="646" t="s">
        <v>866</v>
      </c>
      <c r="D131" s="647">
        <f>+'SGTO POAI SEPTIEMBRE'!BZ663+'SGTO POAI SEPTIEMBRE'!BZ664</f>
        <v>35436120</v>
      </c>
    </row>
    <row r="132" spans="1:4" s="373" customFormat="1" ht="28.5" x14ac:dyDescent="0.25">
      <c r="A132" s="649">
        <f t="shared" si="9"/>
        <v>114</v>
      </c>
      <c r="B132" s="642" t="s">
        <v>870</v>
      </c>
      <c r="C132" s="646" t="s">
        <v>871</v>
      </c>
      <c r="D132" s="647">
        <f>+'SGTO POAI SEPTIEMBRE'!BZ668+'SGTO POAI SEPTIEMBRE'!BZ669</f>
        <v>248452415</v>
      </c>
    </row>
    <row r="133" spans="1:4" s="373" customFormat="1" ht="28.5" x14ac:dyDescent="0.25">
      <c r="A133" s="649">
        <f t="shared" si="9"/>
        <v>115</v>
      </c>
      <c r="B133" s="642" t="s">
        <v>877</v>
      </c>
      <c r="C133" s="646" t="s">
        <v>878</v>
      </c>
      <c r="D133" s="647">
        <f>+'SGTO POAI SEPTIEMBRE'!BZ675+'SGTO POAI SEPTIEMBRE'!BZ676+'SGTO POAI SEPTIEMBRE'!BZ677</f>
        <v>157396240</v>
      </c>
    </row>
    <row r="134" spans="1:4" s="373" customFormat="1" ht="22.5" customHeight="1" x14ac:dyDescent="0.25">
      <c r="A134" s="649"/>
      <c r="B134" s="765" t="s">
        <v>1050</v>
      </c>
      <c r="C134" s="766"/>
      <c r="D134" s="761">
        <f>SUM(D135:D140)</f>
        <v>3435176818</v>
      </c>
    </row>
    <row r="135" spans="1:4" s="373" customFormat="1" ht="14.25" x14ac:dyDescent="0.25">
      <c r="A135" s="649">
        <f>A133+1</f>
        <v>116</v>
      </c>
      <c r="B135" s="642" t="s">
        <v>889</v>
      </c>
      <c r="C135" s="659" t="s">
        <v>890</v>
      </c>
      <c r="D135" s="647">
        <f>+'SGTO POAI SEPTIEMBRE'!BZ688+'SGTO POAI SEPTIEMBRE'!BZ689+'SGTO POAI SEPTIEMBRE'!BZ693</f>
        <v>1512374677</v>
      </c>
    </row>
    <row r="136" spans="1:4" s="373" customFormat="1" ht="28.5" x14ac:dyDescent="0.25">
      <c r="A136" s="649">
        <f>A135+1</f>
        <v>117</v>
      </c>
      <c r="B136" s="642" t="s">
        <v>896</v>
      </c>
      <c r="C136" s="659" t="s">
        <v>897</v>
      </c>
      <c r="D136" s="655">
        <f>+'SGTO POAI SEPTIEMBRE'!BZ697</f>
        <v>420107384</v>
      </c>
    </row>
    <row r="137" spans="1:4" s="373" customFormat="1" ht="28.5" x14ac:dyDescent="0.25">
      <c r="A137" s="649">
        <f t="shared" ref="A137:A140" si="10">A136+1</f>
        <v>118</v>
      </c>
      <c r="B137" s="642" t="s">
        <v>900</v>
      </c>
      <c r="C137" s="659" t="s">
        <v>901</v>
      </c>
      <c r="D137" s="647">
        <f>+SUM('SGTO POAI SEPTIEMBRE'!BZ701:BZ703)</f>
        <v>855994512</v>
      </c>
    </row>
    <row r="138" spans="1:4" s="373" customFormat="1" ht="28.5" customHeight="1" x14ac:dyDescent="0.25">
      <c r="A138" s="649">
        <f t="shared" si="10"/>
        <v>119</v>
      </c>
      <c r="B138" s="642" t="s">
        <v>907</v>
      </c>
      <c r="C138" s="659" t="s">
        <v>1079</v>
      </c>
      <c r="D138" s="647">
        <f>+SUM('SGTO POAI SEPTIEMBRE'!BZ709:BZ711)</f>
        <v>238952283</v>
      </c>
    </row>
    <row r="139" spans="1:4" s="373" customFormat="1" ht="28.5" x14ac:dyDescent="0.25">
      <c r="A139" s="649">
        <f t="shared" si="10"/>
        <v>120</v>
      </c>
      <c r="B139" s="642" t="s">
        <v>913</v>
      </c>
      <c r="C139" s="659" t="s">
        <v>1080</v>
      </c>
      <c r="D139" s="655">
        <f>+'SGTO POAI SEPTIEMBRE'!BZ715</f>
        <v>163247962</v>
      </c>
    </row>
    <row r="140" spans="1:4" s="373" customFormat="1" ht="28.5" x14ac:dyDescent="0.25">
      <c r="A140" s="649">
        <f t="shared" si="10"/>
        <v>121</v>
      </c>
      <c r="B140" s="642" t="s">
        <v>918</v>
      </c>
      <c r="C140" s="659" t="s">
        <v>919</v>
      </c>
      <c r="D140" s="655">
        <f>+'SGTO POAI SEPTIEMBRE'!BZ721</f>
        <v>244500000</v>
      </c>
    </row>
    <row r="141" spans="1:4" s="373" customFormat="1" ht="25.5" customHeight="1" x14ac:dyDescent="0.25">
      <c r="A141" s="649"/>
      <c r="B141" s="762" t="s">
        <v>1081</v>
      </c>
      <c r="C141" s="767"/>
      <c r="D141" s="764">
        <f>+D142</f>
        <v>2484892368</v>
      </c>
    </row>
    <row r="142" spans="1:4" s="373" customFormat="1" ht="42.75" customHeight="1" x14ac:dyDescent="0.25">
      <c r="A142" s="649">
        <f>A140+1</f>
        <v>122</v>
      </c>
      <c r="B142" s="642" t="s">
        <v>923</v>
      </c>
      <c r="C142" s="659" t="s">
        <v>924</v>
      </c>
      <c r="D142" s="647">
        <f>+'SGTO POAI SEPTIEMBRE'!BZ741</f>
        <v>2484892368</v>
      </c>
    </row>
    <row r="143" spans="1:4" s="373" customFormat="1" ht="24.75" customHeight="1" x14ac:dyDescent="0.25">
      <c r="A143" s="649"/>
      <c r="B143" s="765" t="s">
        <v>1082</v>
      </c>
      <c r="C143" s="768"/>
      <c r="D143" s="761">
        <f>+D144</f>
        <v>115000000</v>
      </c>
    </row>
    <row r="144" spans="1:4" s="373" customFormat="1" ht="28.5" x14ac:dyDescent="0.25">
      <c r="A144" s="649">
        <f>A142+1</f>
        <v>123</v>
      </c>
      <c r="B144" s="642" t="s">
        <v>931</v>
      </c>
      <c r="C144" s="659" t="s">
        <v>932</v>
      </c>
      <c r="D144" s="647">
        <f>+'SGTO POAI SEPTIEMBRE'!BZ753</f>
        <v>115000000</v>
      </c>
    </row>
    <row r="145" spans="1:4" s="670" customFormat="1" ht="12.75" x14ac:dyDescent="0.25">
      <c r="A145" s="669"/>
      <c r="B145" s="867" t="s">
        <v>1083</v>
      </c>
      <c r="C145" s="868"/>
      <c r="D145" s="869">
        <f>+D6+D12+D22+D25+D36+D47+D54+D62+D74+D78+D94+D108+D110+D134+D141+D143</f>
        <v>312986601593.38</v>
      </c>
    </row>
  </sheetData>
  <sheetProtection password="CBEB" sheet="1" objects="1" scenarios="1"/>
  <mergeCells count="8">
    <mergeCell ref="B36:C36"/>
    <mergeCell ref="B25:C25"/>
    <mergeCell ref="B22:C22"/>
    <mergeCell ref="B12:C12"/>
    <mergeCell ref="B1:D1"/>
    <mergeCell ref="B2:D2"/>
    <mergeCell ref="B3:D3"/>
    <mergeCell ref="B6:C6"/>
  </mergeCells>
  <dataValidations disablePrompts="1" count="1">
    <dataValidation type="whole" allowBlank="1" showInputMessage="1" showErrorMessage="1" errorTitle="VALOR NUMERICO" error="Registre un valor númerico" sqref="D109:D133 D135 D75:D92 D137:D138 D144 D142 D4:D11 D13:D24 D55:D73 D94:D107 D26:D34 D36:D53 D146:D1048576">
      <formula1>0</formula1>
      <formula2>1000000000000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SGTO POAI SEPTIEMBRE</vt:lpstr>
      <vt:lpstr>EJE SECRETARIAS</vt:lpstr>
      <vt:lpstr>LISTA PROYECTOS</vt:lpstr>
      <vt:lpstr>'EJE SECRETARIAS'!Área_de_impresión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AUXPLANEACION13</dc:creator>
  <cp:keywords/>
  <dc:description/>
  <cp:lastModifiedBy>AUXPLANEACION03</cp:lastModifiedBy>
  <cp:revision/>
  <dcterms:created xsi:type="dcterms:W3CDTF">2018-02-06T12:38:27Z</dcterms:created>
  <dcterms:modified xsi:type="dcterms:W3CDTF">2018-11-14T21:26:25Z</dcterms:modified>
  <cp:category/>
  <cp:contentStatus/>
</cp:coreProperties>
</file>