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GOBERNACION QUINDIO 2017\SEGUIMIENTO PLAN DE DESARROLLO\SGTO PDD II TRIMESTRE DE 2017\PROGRAMACION INSTRUMENTOS II TRIMESTRE 2017\"/>
    </mc:Choice>
  </mc:AlternateContent>
  <bookViews>
    <workbookView xWindow="0" yWindow="0" windowWidth="24000" windowHeight="9135" tabRatio="571"/>
  </bookViews>
  <sheets>
    <sheet name="SEGUIM. ENERO-JUNIO-2017 " sheetId="7" r:id="rId1"/>
  </sheets>
  <definedNames>
    <definedName name="_1._Apoyo_con_equipos_para_la_seguridad_vial_Licenciamiento_de_software_para_comunicaciones">#REF!</definedName>
    <definedName name="CODIGO_DIVIPOLA">#REF!</definedName>
    <definedName name="DboREGISTRO_LEY_617">#REF!</definedName>
  </definedNames>
  <calcPr calcId="152511"/>
  <fileRecoveryPr autoRecover="0"/>
</workbook>
</file>

<file path=xl/calcChain.xml><?xml version="1.0" encoding="utf-8"?>
<calcChain xmlns="http://schemas.openxmlformats.org/spreadsheetml/2006/main">
  <c r="AN723" i="7" l="1"/>
  <c r="AP614" i="7" l="1"/>
  <c r="AF417" i="7" l="1"/>
  <c r="AF418" i="7" s="1"/>
  <c r="AE417" i="7"/>
  <c r="AK461" i="7"/>
  <c r="AK462" i="7" s="1"/>
  <c r="AL461" i="7"/>
  <c r="AL462" i="7" s="1"/>
  <c r="AM461" i="7"/>
  <c r="AM462" i="7" s="1"/>
  <c r="AN461" i="7"/>
  <c r="AN462" i="7" s="1"/>
  <c r="AO461" i="7"/>
  <c r="AO462" i="7" s="1"/>
  <c r="AI461" i="7"/>
  <c r="AI462" i="7" s="1"/>
  <c r="AJ461" i="7"/>
  <c r="AJ462" i="7" s="1"/>
  <c r="AG461" i="7"/>
  <c r="AG462" i="7" s="1"/>
  <c r="AH461" i="7"/>
  <c r="AH462" i="7" s="1"/>
  <c r="AF461" i="7"/>
  <c r="AF462" i="7" s="1"/>
  <c r="AF450" i="7"/>
  <c r="AG450" i="7"/>
  <c r="AH450" i="7"/>
  <c r="AI450" i="7"/>
  <c r="AE455" i="7"/>
  <c r="AE461" i="7"/>
  <c r="AE462" i="7" s="1"/>
  <c r="AF632" i="7"/>
  <c r="AM632" i="7"/>
  <c r="AC617" i="7"/>
  <c r="AC611" i="7"/>
  <c r="AC631" i="7"/>
  <c r="AE667" i="7"/>
  <c r="AE668" i="7" s="1"/>
  <c r="AF667" i="7"/>
  <c r="AF668" i="7" s="1"/>
  <c r="AG667" i="7"/>
  <c r="AG668" i="7" s="1"/>
  <c r="AH667" i="7"/>
  <c r="AH668" i="7" s="1"/>
  <c r="AI667" i="7"/>
  <c r="AI668" i="7" s="1"/>
  <c r="AJ667" i="7"/>
  <c r="AJ668" i="7" s="1"/>
  <c r="AK667" i="7"/>
  <c r="AK668" i="7" s="1"/>
  <c r="AL667" i="7"/>
  <c r="AL668" i="7" s="1"/>
  <c r="AM667" i="7"/>
  <c r="AM668" i="7" s="1"/>
  <c r="AN667" i="7"/>
  <c r="AN668" i="7" s="1"/>
  <c r="AO667" i="7"/>
  <c r="AO668" i="7" s="1"/>
  <c r="AD667" i="7"/>
  <c r="AD668" i="7" s="1"/>
  <c r="Q599" i="7"/>
  <c r="R599" i="7"/>
  <c r="S599" i="7"/>
  <c r="T599" i="7"/>
  <c r="U599" i="7"/>
  <c r="V599" i="7"/>
  <c r="W599" i="7"/>
  <c r="X599" i="7"/>
  <c r="Y599" i="7"/>
  <c r="Z599" i="7"/>
  <c r="AA599" i="7"/>
  <c r="AC599" i="7"/>
  <c r="AD599" i="7"/>
  <c r="AE599" i="7"/>
  <c r="AF599" i="7"/>
  <c r="AG599" i="7"/>
  <c r="AH599" i="7"/>
  <c r="AI599" i="7"/>
  <c r="AJ599" i="7"/>
  <c r="AK599" i="7"/>
  <c r="AL599" i="7"/>
  <c r="AM599" i="7"/>
  <c r="AN599" i="7"/>
  <c r="AO599" i="7"/>
  <c r="P599" i="7"/>
  <c r="U667" i="7"/>
  <c r="U668" i="7" s="1"/>
  <c r="S667" i="7"/>
  <c r="S668" i="7" s="1"/>
  <c r="T667" i="7"/>
  <c r="T668" i="7" s="1"/>
  <c r="Q667" i="7"/>
  <c r="Q668" i="7" s="1"/>
  <c r="AO741" i="7"/>
  <c r="AO742" i="7" s="1"/>
  <c r="AO743" i="7" s="1"/>
  <c r="AO744" i="7" s="1"/>
  <c r="AM712" i="7"/>
  <c r="AM713" i="7" s="1"/>
  <c r="AM706" i="7"/>
  <c r="AN706" i="7"/>
  <c r="AM702" i="7"/>
  <c r="AN702" i="7"/>
  <c r="AM684" i="7"/>
  <c r="AN684" i="7"/>
  <c r="AM688" i="7"/>
  <c r="AN688" i="7"/>
  <c r="AM606" i="7"/>
  <c r="AN606" i="7"/>
  <c r="AO606" i="7"/>
  <c r="W639" i="7"/>
  <c r="X639" i="7"/>
  <c r="Y639" i="7"/>
  <c r="Z639" i="7"/>
  <c r="AA639" i="7"/>
  <c r="AB639" i="7"/>
  <c r="AC639" i="7"/>
  <c r="AD639" i="7"/>
  <c r="AE639" i="7"/>
  <c r="AF639" i="7"/>
  <c r="AG639" i="7"/>
  <c r="AH639" i="7"/>
  <c r="AI639" i="7"/>
  <c r="AJ639" i="7"/>
  <c r="AK639" i="7"/>
  <c r="AL639" i="7"/>
  <c r="AM639" i="7"/>
  <c r="AN639" i="7"/>
  <c r="AO639" i="7"/>
  <c r="AA667" i="7"/>
  <c r="AA668" i="7" s="1"/>
  <c r="AB667" i="7"/>
  <c r="AB668" i="7" s="1"/>
  <c r="AC667" i="7"/>
  <c r="AC668" i="7" s="1"/>
  <c r="W667" i="7"/>
  <c r="W668" i="7" s="1"/>
  <c r="K336" i="7"/>
  <c r="AN707" i="7" l="1"/>
  <c r="AM707" i="7"/>
  <c r="W406" i="7"/>
  <c r="AA649" i="7" l="1"/>
  <c r="AF730" i="7" l="1"/>
  <c r="AM730" i="7"/>
  <c r="AL347" i="7" l="1"/>
  <c r="AP347" i="7" s="1"/>
  <c r="AP493" i="7"/>
  <c r="AP494" i="7" s="1"/>
  <c r="AL348" i="7"/>
  <c r="AA678" i="7"/>
  <c r="AA680" i="7" s="1"/>
  <c r="V404" i="7"/>
  <c r="V403" i="7"/>
  <c r="U86" i="7"/>
  <c r="U88" i="7"/>
  <c r="AL86" i="7"/>
  <c r="AL88" i="7"/>
  <c r="AL19" i="7"/>
  <c r="AP19" i="7" s="1"/>
  <c r="AL18" i="7"/>
  <c r="AP18" i="7" s="1"/>
  <c r="AN738" i="7"/>
  <c r="AN741" i="7" s="1"/>
  <c r="AN742" i="7" s="1"/>
  <c r="AN743" i="7" s="1"/>
  <c r="AN744" i="7" s="1"/>
  <c r="AN728" i="7"/>
  <c r="AN727" i="7"/>
  <c r="AN726" i="7"/>
  <c r="AN725" i="7"/>
  <c r="AN721" i="7"/>
  <c r="AN722" i="7" s="1"/>
  <c r="R727" i="7"/>
  <c r="R726" i="7"/>
  <c r="R725" i="7"/>
  <c r="AN711" i="7"/>
  <c r="AL693" i="7"/>
  <c r="AL692" i="7"/>
  <c r="AL687" i="7"/>
  <c r="V401" i="7"/>
  <c r="AP401" i="7" s="1"/>
  <c r="AL741" i="7"/>
  <c r="AL742" i="7" s="1"/>
  <c r="AL743" i="7" s="1"/>
  <c r="AL744" i="7" s="1"/>
  <c r="AK741" i="7"/>
  <c r="AK742" i="7" s="1"/>
  <c r="AK743" i="7" s="1"/>
  <c r="AK744" i="7" s="1"/>
  <c r="AJ741" i="7"/>
  <c r="AJ742" i="7" s="1"/>
  <c r="AJ743" i="7" s="1"/>
  <c r="AJ744" i="7" s="1"/>
  <c r="AI741" i="7"/>
  <c r="AI742" i="7" s="1"/>
  <c r="AI743" i="7" s="1"/>
  <c r="AI744" i="7" s="1"/>
  <c r="AH741" i="7"/>
  <c r="AH742" i="7" s="1"/>
  <c r="AH743" i="7" s="1"/>
  <c r="AH744" i="7" s="1"/>
  <c r="AG741" i="7"/>
  <c r="AG742" i="7" s="1"/>
  <c r="AG743" i="7" s="1"/>
  <c r="AG744" i="7" s="1"/>
  <c r="AE741" i="7"/>
  <c r="AE742" i="7" s="1"/>
  <c r="AE743" i="7" s="1"/>
  <c r="AE744" i="7" s="1"/>
  <c r="AD741" i="7"/>
  <c r="AD742" i="7" s="1"/>
  <c r="AD743" i="7" s="1"/>
  <c r="AD744" i="7" s="1"/>
  <c r="AC741" i="7"/>
  <c r="AC742" i="7" s="1"/>
  <c r="AC743" i="7" s="1"/>
  <c r="AC744" i="7" s="1"/>
  <c r="AB741" i="7"/>
  <c r="AB742" i="7" s="1"/>
  <c r="AB743" i="7" s="1"/>
  <c r="AB744" i="7" s="1"/>
  <c r="Z741" i="7"/>
  <c r="Z742" i="7" s="1"/>
  <c r="Z743" i="7" s="1"/>
  <c r="Z744" i="7" s="1"/>
  <c r="V741" i="7"/>
  <c r="V742" i="7" s="1"/>
  <c r="V743" i="7" s="1"/>
  <c r="V744" i="7" s="1"/>
  <c r="U741" i="7"/>
  <c r="U742" i="7" s="1"/>
  <c r="U743" i="7" s="1"/>
  <c r="U744" i="7" s="1"/>
  <c r="T741" i="7"/>
  <c r="T742" i="7" s="1"/>
  <c r="T743" i="7" s="1"/>
  <c r="T744" i="7" s="1"/>
  <c r="S741" i="7"/>
  <c r="S742" i="7" s="1"/>
  <c r="S743" i="7" s="1"/>
  <c r="S744" i="7" s="1"/>
  <c r="R741" i="7"/>
  <c r="R742" i="7" s="1"/>
  <c r="R743" i="7" s="1"/>
  <c r="R744" i="7" s="1"/>
  <c r="Q741" i="7"/>
  <c r="Q742" i="7" s="1"/>
  <c r="Q743" i="7" s="1"/>
  <c r="Q744" i="7" s="1"/>
  <c r="P741" i="7"/>
  <c r="P742" i="7" s="1"/>
  <c r="P743" i="7" s="1"/>
  <c r="P744" i="7" s="1"/>
  <c r="AP740" i="7"/>
  <c r="AP739" i="7"/>
  <c r="AO729" i="7"/>
  <c r="AO730" i="7" s="1"/>
  <c r="AO731" i="7" s="1"/>
  <c r="AO732" i="7" s="1"/>
  <c r="AL729" i="7"/>
  <c r="AL730" i="7" s="1"/>
  <c r="AL731" i="7" s="1"/>
  <c r="AL732" i="7" s="1"/>
  <c r="AK729" i="7"/>
  <c r="AK730" i="7" s="1"/>
  <c r="AK731" i="7" s="1"/>
  <c r="AK732" i="7" s="1"/>
  <c r="AJ729" i="7"/>
  <c r="AJ730" i="7" s="1"/>
  <c r="AJ731" i="7" s="1"/>
  <c r="AJ732" i="7" s="1"/>
  <c r="AI729" i="7"/>
  <c r="AI730" i="7" s="1"/>
  <c r="AI731" i="7" s="1"/>
  <c r="AI732" i="7" s="1"/>
  <c r="AH729" i="7"/>
  <c r="AH730" i="7" s="1"/>
  <c r="AH731" i="7" s="1"/>
  <c r="AH732" i="7" s="1"/>
  <c r="AG729" i="7"/>
  <c r="AG730" i="7" s="1"/>
  <c r="AG731" i="7" s="1"/>
  <c r="AG732" i="7" s="1"/>
  <c r="AE729" i="7"/>
  <c r="AE730" i="7" s="1"/>
  <c r="AE731" i="7" s="1"/>
  <c r="AE732" i="7" s="1"/>
  <c r="AD729" i="7"/>
  <c r="AD730" i="7" s="1"/>
  <c r="AD731" i="7" s="1"/>
  <c r="AD732" i="7" s="1"/>
  <c r="AC729" i="7"/>
  <c r="AC730" i="7" s="1"/>
  <c r="AC731" i="7" s="1"/>
  <c r="AC732" i="7" s="1"/>
  <c r="AB729" i="7"/>
  <c r="AB730" i="7" s="1"/>
  <c r="AB731" i="7" s="1"/>
  <c r="AB732" i="7" s="1"/>
  <c r="AA729" i="7"/>
  <c r="AA730" i="7" s="1"/>
  <c r="Z729" i="7"/>
  <c r="Z730" i="7" s="1"/>
  <c r="Z731" i="7" s="1"/>
  <c r="Z732" i="7" s="1"/>
  <c r="Y729" i="7"/>
  <c r="Y730" i="7" s="1"/>
  <c r="X729" i="7"/>
  <c r="X730" i="7" s="1"/>
  <c r="W729" i="7"/>
  <c r="W730" i="7" s="1"/>
  <c r="V729" i="7"/>
  <c r="V730" i="7" s="1"/>
  <c r="V731" i="7" s="1"/>
  <c r="V732" i="7" s="1"/>
  <c r="U729" i="7"/>
  <c r="U730" i="7" s="1"/>
  <c r="U731" i="7" s="1"/>
  <c r="U732" i="7" s="1"/>
  <c r="T729" i="7"/>
  <c r="T730" i="7" s="1"/>
  <c r="T731" i="7" s="1"/>
  <c r="T732" i="7" s="1"/>
  <c r="S729" i="7"/>
  <c r="S730" i="7" s="1"/>
  <c r="S731" i="7" s="1"/>
  <c r="S732" i="7" s="1"/>
  <c r="Q729" i="7"/>
  <c r="Q730" i="7" s="1"/>
  <c r="Q731" i="7" s="1"/>
  <c r="Q732" i="7" s="1"/>
  <c r="P729" i="7"/>
  <c r="P730" i="7" s="1"/>
  <c r="P731" i="7" s="1"/>
  <c r="P732" i="7" s="1"/>
  <c r="AO724" i="7"/>
  <c r="AL724" i="7"/>
  <c r="AK724" i="7"/>
  <c r="AJ724" i="7"/>
  <c r="AI724" i="7"/>
  <c r="AH724" i="7"/>
  <c r="AG724" i="7"/>
  <c r="AE724" i="7"/>
  <c r="AD724" i="7"/>
  <c r="AC724" i="7"/>
  <c r="AB724" i="7"/>
  <c r="AA724" i="7"/>
  <c r="Z724" i="7"/>
  <c r="Y724" i="7"/>
  <c r="X724" i="7"/>
  <c r="W724" i="7"/>
  <c r="V724" i="7"/>
  <c r="U724" i="7"/>
  <c r="T724" i="7"/>
  <c r="S724" i="7"/>
  <c r="R724" i="7"/>
  <c r="Q724" i="7"/>
  <c r="P724" i="7"/>
  <c r="AA713" i="7"/>
  <c r="AO712" i="7"/>
  <c r="AO713" i="7" s="1"/>
  <c r="AL712" i="7"/>
  <c r="AL713" i="7" s="1"/>
  <c r="AK712" i="7"/>
  <c r="AK713" i="7" s="1"/>
  <c r="AJ712" i="7"/>
  <c r="AJ713" i="7" s="1"/>
  <c r="AI712" i="7"/>
  <c r="AI713" i="7" s="1"/>
  <c r="AH712" i="7"/>
  <c r="AH713" i="7" s="1"/>
  <c r="AG712" i="7"/>
  <c r="AG713" i="7" s="1"/>
  <c r="AE712" i="7"/>
  <c r="AE713" i="7" s="1"/>
  <c r="AD712" i="7"/>
  <c r="AD713" i="7" s="1"/>
  <c r="AC712" i="7"/>
  <c r="AC713" i="7" s="1"/>
  <c r="AB712" i="7"/>
  <c r="AB713" i="7" s="1"/>
  <c r="Z712" i="7"/>
  <c r="Z713" i="7" s="1"/>
  <c r="V712" i="7"/>
  <c r="V713" i="7" s="1"/>
  <c r="U712" i="7"/>
  <c r="U713" i="7" s="1"/>
  <c r="T712" i="7"/>
  <c r="T713" i="7" s="1"/>
  <c r="S712" i="7"/>
  <c r="S713" i="7" s="1"/>
  <c r="R712" i="7"/>
  <c r="R713" i="7" s="1"/>
  <c r="Q712" i="7"/>
  <c r="Q713" i="7" s="1"/>
  <c r="P712" i="7"/>
  <c r="P713" i="7" s="1"/>
  <c r="AO706" i="7"/>
  <c r="AL706" i="7"/>
  <c r="AK706" i="7"/>
  <c r="AJ706" i="7"/>
  <c r="AI706" i="7"/>
  <c r="AH706" i="7"/>
  <c r="AG706" i="7"/>
  <c r="AE706" i="7"/>
  <c r="AD706" i="7"/>
  <c r="AC706" i="7"/>
  <c r="AB706" i="7"/>
  <c r="AA706" i="7"/>
  <c r="Z706" i="7"/>
  <c r="V706" i="7"/>
  <c r="U706" i="7"/>
  <c r="T706" i="7"/>
  <c r="S706" i="7"/>
  <c r="R706" i="7"/>
  <c r="Q706" i="7"/>
  <c r="P706" i="7"/>
  <c r="AP705" i="7"/>
  <c r="AP706" i="7" s="1"/>
  <c r="AO702" i="7"/>
  <c r="AK702" i="7"/>
  <c r="AJ702" i="7"/>
  <c r="AI702" i="7"/>
  <c r="AH702" i="7"/>
  <c r="AG702" i="7"/>
  <c r="AE702" i="7"/>
  <c r="AD702" i="7"/>
  <c r="AC702" i="7"/>
  <c r="AB702" i="7"/>
  <c r="AA702" i="7"/>
  <c r="Z702" i="7"/>
  <c r="V702" i="7"/>
  <c r="U702" i="7"/>
  <c r="T702" i="7"/>
  <c r="S702" i="7"/>
  <c r="R702" i="7"/>
  <c r="Q702" i="7"/>
  <c r="P702" i="7"/>
  <c r="AL701" i="7"/>
  <c r="AP701" i="7" s="1"/>
  <c r="AP700" i="7"/>
  <c r="AL699" i="7"/>
  <c r="AP699" i="7" s="1"/>
  <c r="AO694" i="7"/>
  <c r="AN694" i="7"/>
  <c r="AK694" i="7"/>
  <c r="AJ694" i="7"/>
  <c r="AI694" i="7"/>
  <c r="AH694" i="7"/>
  <c r="AG694" i="7"/>
  <c r="AE694" i="7"/>
  <c r="AD694" i="7"/>
  <c r="AC694" i="7"/>
  <c r="AB694" i="7"/>
  <c r="AA694" i="7"/>
  <c r="Z694" i="7"/>
  <c r="V694" i="7"/>
  <c r="U694" i="7"/>
  <c r="T694" i="7"/>
  <c r="S694" i="7"/>
  <c r="R694" i="7"/>
  <c r="Q694" i="7"/>
  <c r="P694" i="7"/>
  <c r="AM692" i="7"/>
  <c r="AM694" i="7" s="1"/>
  <c r="AM695" i="7" s="1"/>
  <c r="AM714" i="7" s="1"/>
  <c r="AM715" i="7" s="1"/>
  <c r="AP691" i="7"/>
  <c r="AO688" i="7"/>
  <c r="AK688" i="7"/>
  <c r="AJ688" i="7"/>
  <c r="AI688" i="7"/>
  <c r="AH688" i="7"/>
  <c r="AG688" i="7"/>
  <c r="AE688" i="7"/>
  <c r="AD688" i="7"/>
  <c r="AC688" i="7"/>
  <c r="AB688" i="7"/>
  <c r="AA688" i="7"/>
  <c r="Z688" i="7"/>
  <c r="V688" i="7"/>
  <c r="U688" i="7"/>
  <c r="T688" i="7"/>
  <c r="S688" i="7"/>
  <c r="R688" i="7"/>
  <c r="Q688" i="7"/>
  <c r="P688" i="7"/>
  <c r="AO684" i="7"/>
  <c r="AL684" i="7"/>
  <c r="AK684" i="7"/>
  <c r="AJ684" i="7"/>
  <c r="AI684" i="7"/>
  <c r="AH684" i="7"/>
  <c r="AG684" i="7"/>
  <c r="AE684" i="7"/>
  <c r="AD684" i="7"/>
  <c r="AC684" i="7"/>
  <c r="AB684" i="7"/>
  <c r="AA684" i="7"/>
  <c r="Z684" i="7"/>
  <c r="V684" i="7"/>
  <c r="U684" i="7"/>
  <c r="T684" i="7"/>
  <c r="S684" i="7"/>
  <c r="R684" i="7"/>
  <c r="Q684" i="7"/>
  <c r="P684" i="7"/>
  <c r="AP683" i="7"/>
  <c r="AP684" i="7" s="1"/>
  <c r="AO680" i="7"/>
  <c r="AN680" i="7"/>
  <c r="AK680" i="7"/>
  <c r="AJ680" i="7"/>
  <c r="AC680" i="7"/>
  <c r="AB680" i="7"/>
  <c r="Z680" i="7"/>
  <c r="V680" i="7"/>
  <c r="U680" i="7"/>
  <c r="T680" i="7"/>
  <c r="S680" i="7"/>
  <c r="R680" i="7"/>
  <c r="Q680" i="7"/>
  <c r="P680" i="7"/>
  <c r="O680" i="7"/>
  <c r="AL679" i="7"/>
  <c r="AP679" i="7" s="1"/>
  <c r="Z667" i="7"/>
  <c r="Z668" i="7" s="1"/>
  <c r="Y667" i="7"/>
  <c r="Y668" i="7" s="1"/>
  <c r="X667" i="7"/>
  <c r="X668" i="7" s="1"/>
  <c r="V667" i="7"/>
  <c r="V668" i="7" s="1"/>
  <c r="R667" i="7"/>
  <c r="R668" i="7" s="1"/>
  <c r="P667" i="7"/>
  <c r="P668" i="7" s="1"/>
  <c r="AP666" i="7"/>
  <c r="AP665" i="7"/>
  <c r="AP664" i="7"/>
  <c r="AO659" i="7"/>
  <c r="AN659" i="7"/>
  <c r="AM659" i="7"/>
  <c r="AM660" i="7" s="1"/>
  <c r="AL659" i="7"/>
  <c r="AK659" i="7"/>
  <c r="AJ659" i="7"/>
  <c r="AI659" i="7"/>
  <c r="AH659" i="7"/>
  <c r="AG659" i="7"/>
  <c r="AF659" i="7"/>
  <c r="AF660" i="7" s="1"/>
  <c r="AF669" i="7" s="1"/>
  <c r="AF670" i="7" s="1"/>
  <c r="AE659" i="7"/>
  <c r="AD659" i="7"/>
  <c r="AC659" i="7"/>
  <c r="AB659" i="7"/>
  <c r="AA659" i="7"/>
  <c r="AA660" i="7" s="1"/>
  <c r="AA669" i="7" s="1"/>
  <c r="AA670" i="7" s="1"/>
  <c r="Z659" i="7"/>
  <c r="Y659" i="7"/>
  <c r="Y660" i="7" s="1"/>
  <c r="X659" i="7"/>
  <c r="X660" i="7" s="1"/>
  <c r="W659" i="7"/>
  <c r="V659" i="7"/>
  <c r="U659" i="7"/>
  <c r="T659" i="7"/>
  <c r="S659" i="7"/>
  <c r="R659" i="7"/>
  <c r="Q659" i="7"/>
  <c r="P659" i="7"/>
  <c r="AP658" i="7"/>
  <c r="AP657" i="7"/>
  <c r="AO654" i="7"/>
  <c r="AN654" i="7"/>
  <c r="AL654" i="7"/>
  <c r="AK654" i="7"/>
  <c r="AJ654" i="7"/>
  <c r="AI654" i="7"/>
  <c r="AH654" i="7"/>
  <c r="AG654" i="7"/>
  <c r="AE654" i="7"/>
  <c r="AD654" i="7"/>
  <c r="AC654" i="7"/>
  <c r="AB654" i="7"/>
  <c r="Z654" i="7"/>
  <c r="W654" i="7"/>
  <c r="V654" i="7"/>
  <c r="U654" i="7"/>
  <c r="T654" i="7"/>
  <c r="S654" i="7"/>
  <c r="R654" i="7"/>
  <c r="Q654" i="7"/>
  <c r="P654" i="7"/>
  <c r="AP653" i="7"/>
  <c r="AP652" i="7"/>
  <c r="AO649" i="7"/>
  <c r="AN649" i="7"/>
  <c r="AK649" i="7"/>
  <c r="AJ649" i="7"/>
  <c r="AI649" i="7"/>
  <c r="AH649" i="7"/>
  <c r="AG649" i="7"/>
  <c r="AE649" i="7"/>
  <c r="AD649" i="7"/>
  <c r="AC649" i="7"/>
  <c r="AB649" i="7"/>
  <c r="Z649" i="7"/>
  <c r="W649" i="7"/>
  <c r="V649" i="7"/>
  <c r="U649" i="7"/>
  <c r="T649" i="7"/>
  <c r="S649" i="7"/>
  <c r="R649" i="7"/>
  <c r="Q649" i="7"/>
  <c r="P649" i="7"/>
  <c r="AL648" i="7"/>
  <c r="AP648" i="7" s="1"/>
  <c r="AP647" i="7"/>
  <c r="AP646" i="7"/>
  <c r="AO643" i="7"/>
  <c r="AN643" i="7"/>
  <c r="AL643" i="7"/>
  <c r="AK643" i="7"/>
  <c r="AJ643" i="7"/>
  <c r="AI643" i="7"/>
  <c r="AH643" i="7"/>
  <c r="AG643" i="7"/>
  <c r="AE643" i="7"/>
  <c r="AD643" i="7"/>
  <c r="AC643" i="7"/>
  <c r="AB643" i="7"/>
  <c r="Z643" i="7"/>
  <c r="W643" i="7"/>
  <c r="V643" i="7"/>
  <c r="U643" i="7"/>
  <c r="T643" i="7"/>
  <c r="S643" i="7"/>
  <c r="R643" i="7"/>
  <c r="Q643" i="7"/>
  <c r="P643" i="7"/>
  <c r="AP642" i="7"/>
  <c r="AP643" i="7" s="1"/>
  <c r="U639" i="7"/>
  <c r="T639" i="7"/>
  <c r="S639" i="7"/>
  <c r="R639" i="7"/>
  <c r="Q639" i="7"/>
  <c r="P639" i="7"/>
  <c r="AP638" i="7"/>
  <c r="V639" i="7"/>
  <c r="AP636" i="7"/>
  <c r="AO631" i="7"/>
  <c r="AN631" i="7"/>
  <c r="AL631" i="7"/>
  <c r="AK631" i="7"/>
  <c r="AJ631" i="7"/>
  <c r="AI631" i="7"/>
  <c r="AH631" i="7"/>
  <c r="AG631" i="7"/>
  <c r="AE631" i="7"/>
  <c r="AD631" i="7"/>
  <c r="AB631" i="7"/>
  <c r="Z631" i="7"/>
  <c r="W631" i="7"/>
  <c r="V631" i="7"/>
  <c r="U631" i="7"/>
  <c r="T631" i="7"/>
  <c r="S631" i="7"/>
  <c r="R631" i="7"/>
  <c r="Q631" i="7"/>
  <c r="P631" i="7"/>
  <c r="AP630" i="7"/>
  <c r="AP631" i="7" s="1"/>
  <c r="AO627" i="7"/>
  <c r="AN627" i="7"/>
  <c r="AL627" i="7"/>
  <c r="AK627" i="7"/>
  <c r="AJ627" i="7"/>
  <c r="AI627" i="7"/>
  <c r="AH627" i="7"/>
  <c r="AG627" i="7"/>
  <c r="AE627" i="7"/>
  <c r="AD627" i="7"/>
  <c r="AC627" i="7"/>
  <c r="AB627" i="7"/>
  <c r="Z627" i="7"/>
  <c r="W627" i="7"/>
  <c r="V627" i="7"/>
  <c r="U627" i="7"/>
  <c r="T627" i="7"/>
  <c r="S627" i="7"/>
  <c r="R627" i="7"/>
  <c r="Q627" i="7"/>
  <c r="P627" i="7"/>
  <c r="AP626" i="7"/>
  <c r="AP627" i="7" s="1"/>
  <c r="AO623" i="7"/>
  <c r="AN623" i="7"/>
  <c r="AL623" i="7"/>
  <c r="AK623" i="7"/>
  <c r="AJ623" i="7"/>
  <c r="AI623" i="7"/>
  <c r="AH623" i="7"/>
  <c r="AG623" i="7"/>
  <c r="AE623" i="7"/>
  <c r="AD623" i="7"/>
  <c r="AC623" i="7"/>
  <c r="AB623" i="7"/>
  <c r="Z623" i="7"/>
  <c r="W623" i="7"/>
  <c r="V623" i="7"/>
  <c r="U623" i="7"/>
  <c r="T623" i="7"/>
  <c r="S623" i="7"/>
  <c r="R623" i="7"/>
  <c r="Q623" i="7"/>
  <c r="P623" i="7"/>
  <c r="AP622" i="7"/>
  <c r="AP623" i="7" s="1"/>
  <c r="AO617" i="7"/>
  <c r="AN617" i="7"/>
  <c r="AL617" i="7"/>
  <c r="AK617" i="7"/>
  <c r="AJ617" i="7"/>
  <c r="AI617" i="7"/>
  <c r="AH617" i="7"/>
  <c r="AG617" i="7"/>
  <c r="AE617" i="7"/>
  <c r="AD617" i="7"/>
  <c r="AB617" i="7"/>
  <c r="Z617" i="7"/>
  <c r="V617" i="7"/>
  <c r="U617" i="7"/>
  <c r="T617" i="7"/>
  <c r="S617" i="7"/>
  <c r="R617" i="7"/>
  <c r="Q617" i="7"/>
  <c r="P617" i="7"/>
  <c r="AP616" i="7"/>
  <c r="AP615" i="7"/>
  <c r="AO611" i="7"/>
  <c r="AN611" i="7"/>
  <c r="AL611" i="7"/>
  <c r="AK611" i="7"/>
  <c r="AJ611" i="7"/>
  <c r="AI611" i="7"/>
  <c r="AH611" i="7"/>
  <c r="AG611" i="7"/>
  <c r="AE611" i="7"/>
  <c r="AD611" i="7"/>
  <c r="AB611" i="7"/>
  <c r="Z611" i="7"/>
  <c r="V611" i="7"/>
  <c r="U611" i="7"/>
  <c r="T611" i="7"/>
  <c r="S611" i="7"/>
  <c r="R611" i="7"/>
  <c r="Q611" i="7"/>
  <c r="P611" i="7"/>
  <c r="AP610" i="7"/>
  <c r="AP609" i="7"/>
  <c r="W611" i="7"/>
  <c r="AL606" i="7"/>
  <c r="AK606" i="7"/>
  <c r="AJ606" i="7"/>
  <c r="AI606" i="7"/>
  <c r="AH606" i="7"/>
  <c r="AG606" i="7"/>
  <c r="AE606" i="7"/>
  <c r="AD606" i="7"/>
  <c r="AC606" i="7"/>
  <c r="AB606" i="7"/>
  <c r="Z606" i="7"/>
  <c r="V606" i="7"/>
  <c r="U606" i="7"/>
  <c r="T606" i="7"/>
  <c r="S606" i="7"/>
  <c r="R606" i="7"/>
  <c r="Q606" i="7"/>
  <c r="P606" i="7"/>
  <c r="AP605" i="7"/>
  <c r="AP604" i="7"/>
  <c r="AP603" i="7"/>
  <c r="W606" i="7"/>
  <c r="AP598" i="7"/>
  <c r="AP597" i="7"/>
  <c r="AB596" i="7"/>
  <c r="AB599" i="7" s="1"/>
  <c r="AO593" i="7"/>
  <c r="AN593" i="7"/>
  <c r="AL593" i="7"/>
  <c r="AK593" i="7"/>
  <c r="AJ593" i="7"/>
  <c r="AI593" i="7"/>
  <c r="AH593" i="7"/>
  <c r="AG593" i="7"/>
  <c r="AE593" i="7"/>
  <c r="AD593" i="7"/>
  <c r="AC593" i="7"/>
  <c r="AB593" i="7"/>
  <c r="Z593" i="7"/>
  <c r="W593" i="7"/>
  <c r="V593" i="7"/>
  <c r="U593" i="7"/>
  <c r="T593" i="7"/>
  <c r="S593" i="7"/>
  <c r="R593" i="7"/>
  <c r="Q593" i="7"/>
  <c r="P593" i="7"/>
  <c r="AP592" i="7"/>
  <c r="AP591" i="7"/>
  <c r="AO588" i="7"/>
  <c r="AN588" i="7"/>
  <c r="AL588" i="7"/>
  <c r="AK588" i="7"/>
  <c r="AJ588" i="7"/>
  <c r="AI588" i="7"/>
  <c r="AH588" i="7"/>
  <c r="AG588" i="7"/>
  <c r="AE588" i="7"/>
  <c r="AD588" i="7"/>
  <c r="AC588" i="7"/>
  <c r="AB588" i="7"/>
  <c r="Z588" i="7"/>
  <c r="W588" i="7"/>
  <c r="V588" i="7"/>
  <c r="U588" i="7"/>
  <c r="T588" i="7"/>
  <c r="S588" i="7"/>
  <c r="R588" i="7"/>
  <c r="Q588" i="7"/>
  <c r="P588" i="7"/>
  <c r="AP587" i="7"/>
  <c r="AP586" i="7"/>
  <c r="AN583" i="7"/>
  <c r="AM583" i="7"/>
  <c r="AM618" i="7" s="1"/>
  <c r="AL583" i="7"/>
  <c r="AK583" i="7"/>
  <c r="AJ583" i="7"/>
  <c r="AI583" i="7"/>
  <c r="AH583" i="7"/>
  <c r="AG583" i="7"/>
  <c r="AF583" i="7"/>
  <c r="AE583" i="7"/>
  <c r="AD583" i="7"/>
  <c r="AB583" i="7"/>
  <c r="Z583" i="7"/>
  <c r="V583" i="7"/>
  <c r="U583" i="7"/>
  <c r="T583" i="7"/>
  <c r="S583" i="7"/>
  <c r="R583" i="7"/>
  <c r="Q583" i="7"/>
  <c r="P583" i="7"/>
  <c r="AP582" i="7"/>
  <c r="AP581" i="7"/>
  <c r="AO580" i="7"/>
  <c r="AP579" i="7"/>
  <c r="AP578" i="7"/>
  <c r="AO575" i="7"/>
  <c r="AN575" i="7"/>
  <c r="AL575" i="7"/>
  <c r="AK575" i="7"/>
  <c r="AJ575" i="7"/>
  <c r="AI575" i="7"/>
  <c r="AH575" i="7"/>
  <c r="AG575" i="7"/>
  <c r="AE575" i="7"/>
  <c r="AD575" i="7"/>
  <c r="AC575" i="7"/>
  <c r="AB575" i="7"/>
  <c r="Z575" i="7"/>
  <c r="W575" i="7"/>
  <c r="V575" i="7"/>
  <c r="U575" i="7"/>
  <c r="T575" i="7"/>
  <c r="S575" i="7"/>
  <c r="R575" i="7"/>
  <c r="Q575" i="7"/>
  <c r="P575" i="7"/>
  <c r="AP574" i="7"/>
  <c r="AP573" i="7"/>
  <c r="AP572" i="7"/>
  <c r="AO569" i="7"/>
  <c r="AN569" i="7"/>
  <c r="AL569" i="7"/>
  <c r="AK569" i="7"/>
  <c r="AJ569" i="7"/>
  <c r="AI569" i="7"/>
  <c r="AH569" i="7"/>
  <c r="AG569" i="7"/>
  <c r="AE569" i="7"/>
  <c r="AD569" i="7"/>
  <c r="AC569" i="7"/>
  <c r="AB569" i="7"/>
  <c r="Z569" i="7"/>
  <c r="V569" i="7"/>
  <c r="U569" i="7"/>
  <c r="T569" i="7"/>
  <c r="S569" i="7"/>
  <c r="R569" i="7"/>
  <c r="Q569" i="7"/>
  <c r="P569" i="7"/>
  <c r="AP568" i="7"/>
  <c r="AP567" i="7"/>
  <c r="W569" i="7"/>
  <c r="AO563" i="7"/>
  <c r="AN563" i="7"/>
  <c r="AL563" i="7"/>
  <c r="AK563" i="7"/>
  <c r="AJ563" i="7"/>
  <c r="AI563" i="7"/>
  <c r="AH563" i="7"/>
  <c r="AG563" i="7"/>
  <c r="AE563" i="7"/>
  <c r="AD563" i="7"/>
  <c r="AC563" i="7"/>
  <c r="AB563" i="7"/>
  <c r="Z563" i="7"/>
  <c r="Y563" i="7"/>
  <c r="X563" i="7"/>
  <c r="W563" i="7"/>
  <c r="V563" i="7"/>
  <c r="U563" i="7"/>
  <c r="T563" i="7"/>
  <c r="S563" i="7"/>
  <c r="R563" i="7"/>
  <c r="Q563" i="7"/>
  <c r="P563" i="7"/>
  <c r="AP562" i="7"/>
  <c r="AP561" i="7"/>
  <c r="AP560" i="7"/>
  <c r="AP559" i="7"/>
  <c r="AO556" i="7"/>
  <c r="AN556" i="7"/>
  <c r="AL556" i="7"/>
  <c r="AK556" i="7"/>
  <c r="AJ556" i="7"/>
  <c r="AI556" i="7"/>
  <c r="AH556" i="7"/>
  <c r="AG556" i="7"/>
  <c r="AE556" i="7"/>
  <c r="AD556" i="7"/>
  <c r="AC556" i="7"/>
  <c r="AB556" i="7"/>
  <c r="Z556" i="7"/>
  <c r="W556" i="7"/>
  <c r="V556" i="7"/>
  <c r="U556" i="7"/>
  <c r="T556" i="7"/>
  <c r="S556" i="7"/>
  <c r="R556" i="7"/>
  <c r="Q556" i="7"/>
  <c r="P556" i="7"/>
  <c r="AP555" i="7"/>
  <c r="AP554" i="7"/>
  <c r="AO549" i="7"/>
  <c r="AO550" i="7" s="1"/>
  <c r="AN549" i="7"/>
  <c r="AN550" i="7" s="1"/>
  <c r="AL549" i="7"/>
  <c r="AL550" i="7" s="1"/>
  <c r="AK549" i="7"/>
  <c r="AK550" i="7" s="1"/>
  <c r="AJ549" i="7"/>
  <c r="AJ550" i="7" s="1"/>
  <c r="AI549" i="7"/>
  <c r="AI550" i="7" s="1"/>
  <c r="AH549" i="7"/>
  <c r="AH550" i="7" s="1"/>
  <c r="AG549" i="7"/>
  <c r="AG550" i="7" s="1"/>
  <c r="AE549" i="7"/>
  <c r="AE550" i="7" s="1"/>
  <c r="AD549" i="7"/>
  <c r="AD550" i="7" s="1"/>
  <c r="AC549" i="7"/>
  <c r="AC550" i="7" s="1"/>
  <c r="AB549" i="7"/>
  <c r="AB550" i="7" s="1"/>
  <c r="Z549" i="7"/>
  <c r="Z550" i="7" s="1"/>
  <c r="V549" i="7"/>
  <c r="V550" i="7" s="1"/>
  <c r="U549" i="7"/>
  <c r="U550" i="7" s="1"/>
  <c r="T549" i="7"/>
  <c r="T550" i="7" s="1"/>
  <c r="S549" i="7"/>
  <c r="S550" i="7" s="1"/>
  <c r="R549" i="7"/>
  <c r="R550" i="7" s="1"/>
  <c r="Q549" i="7"/>
  <c r="Q550" i="7" s="1"/>
  <c r="P549" i="7"/>
  <c r="P550" i="7" s="1"/>
  <c r="AP548" i="7"/>
  <c r="AP547" i="7"/>
  <c r="Y540" i="7"/>
  <c r="X540" i="7"/>
  <c r="W540" i="7"/>
  <c r="AO537" i="7"/>
  <c r="AO538" i="7" s="1"/>
  <c r="AO539" i="7" s="1"/>
  <c r="AO540" i="7" s="1"/>
  <c r="AN537" i="7"/>
  <c r="AN538" i="7" s="1"/>
  <c r="AN539" i="7" s="1"/>
  <c r="AN540" i="7" s="1"/>
  <c r="AL537" i="7"/>
  <c r="AL538" i="7" s="1"/>
  <c r="AL539" i="7" s="1"/>
  <c r="AL540" i="7" s="1"/>
  <c r="AK537" i="7"/>
  <c r="AK538" i="7" s="1"/>
  <c r="AK539" i="7" s="1"/>
  <c r="AK540" i="7" s="1"/>
  <c r="AJ537" i="7"/>
  <c r="AJ538" i="7" s="1"/>
  <c r="AJ539" i="7" s="1"/>
  <c r="AJ540" i="7" s="1"/>
  <c r="AI537" i="7"/>
  <c r="AI538" i="7" s="1"/>
  <c r="AI539" i="7" s="1"/>
  <c r="AI540" i="7" s="1"/>
  <c r="AH537" i="7"/>
  <c r="AH538" i="7" s="1"/>
  <c r="AH539" i="7" s="1"/>
  <c r="AH540" i="7" s="1"/>
  <c r="AG537" i="7"/>
  <c r="AG538" i="7" s="1"/>
  <c r="AG539" i="7" s="1"/>
  <c r="AG540" i="7" s="1"/>
  <c r="AE537" i="7"/>
  <c r="AE538" i="7" s="1"/>
  <c r="AE539" i="7" s="1"/>
  <c r="AE540" i="7" s="1"/>
  <c r="AD537" i="7"/>
  <c r="AD538" i="7" s="1"/>
  <c r="AD539" i="7" s="1"/>
  <c r="AD540" i="7" s="1"/>
  <c r="AC537" i="7"/>
  <c r="AC538" i="7" s="1"/>
  <c r="AC539" i="7" s="1"/>
  <c r="AC540" i="7" s="1"/>
  <c r="AB537" i="7"/>
  <c r="AB538" i="7" s="1"/>
  <c r="AB539" i="7" s="1"/>
  <c r="AB540" i="7" s="1"/>
  <c r="Z537" i="7"/>
  <c r="Z538" i="7" s="1"/>
  <c r="Z539" i="7" s="1"/>
  <c r="Z540" i="7" s="1"/>
  <c r="V537" i="7"/>
  <c r="V538" i="7" s="1"/>
  <c r="V539" i="7" s="1"/>
  <c r="V540" i="7" s="1"/>
  <c r="U537" i="7"/>
  <c r="U538" i="7" s="1"/>
  <c r="U539" i="7" s="1"/>
  <c r="U540" i="7" s="1"/>
  <c r="T537" i="7"/>
  <c r="T538" i="7" s="1"/>
  <c r="T539" i="7" s="1"/>
  <c r="T540" i="7" s="1"/>
  <c r="S537" i="7"/>
  <c r="S538" i="7" s="1"/>
  <c r="S539" i="7" s="1"/>
  <c r="S540" i="7" s="1"/>
  <c r="R537" i="7"/>
  <c r="R538" i="7" s="1"/>
  <c r="R539" i="7" s="1"/>
  <c r="R540" i="7" s="1"/>
  <c r="Q537" i="7"/>
  <c r="Q538" i="7" s="1"/>
  <c r="Q539" i="7" s="1"/>
  <c r="Q540" i="7" s="1"/>
  <c r="P537" i="7"/>
  <c r="P538" i="7" s="1"/>
  <c r="P539" i="7" s="1"/>
  <c r="P540" i="7" s="1"/>
  <c r="AP536" i="7"/>
  <c r="AP537" i="7" s="1"/>
  <c r="AP538" i="7" s="1"/>
  <c r="AP539" i="7" s="1"/>
  <c r="AP540" i="7" s="1"/>
  <c r="Y530" i="7"/>
  <c r="X530" i="7"/>
  <c r="W530" i="7"/>
  <c r="AO527" i="7"/>
  <c r="AO528" i="7" s="1"/>
  <c r="AN527" i="7"/>
  <c r="AN528" i="7" s="1"/>
  <c r="AK527" i="7"/>
  <c r="AK528" i="7" s="1"/>
  <c r="AJ527" i="7"/>
  <c r="AJ528" i="7" s="1"/>
  <c r="AI527" i="7"/>
  <c r="AI528" i="7" s="1"/>
  <c r="AH527" i="7"/>
  <c r="AH528" i="7" s="1"/>
  <c r="AG527" i="7"/>
  <c r="AG528" i="7" s="1"/>
  <c r="AE527" i="7"/>
  <c r="AE528" i="7" s="1"/>
  <c r="AD527" i="7"/>
  <c r="AD528" i="7" s="1"/>
  <c r="AC527" i="7"/>
  <c r="AC528" i="7" s="1"/>
  <c r="AB527" i="7"/>
  <c r="AB528" i="7" s="1"/>
  <c r="Z527" i="7"/>
  <c r="Z528" i="7" s="1"/>
  <c r="V527" i="7"/>
  <c r="V528" i="7" s="1"/>
  <c r="U527" i="7"/>
  <c r="U528" i="7" s="1"/>
  <c r="T527" i="7"/>
  <c r="T528" i="7" s="1"/>
  <c r="S527" i="7"/>
  <c r="S528" i="7" s="1"/>
  <c r="R527" i="7"/>
  <c r="R528" i="7" s="1"/>
  <c r="P527" i="7"/>
  <c r="P528" i="7" s="1"/>
  <c r="Q526" i="7"/>
  <c r="AP526" i="7" s="1"/>
  <c r="Q525" i="7"/>
  <c r="AP524" i="7"/>
  <c r="AL523" i="7"/>
  <c r="AO518" i="7"/>
  <c r="AN518" i="7"/>
  <c r="AK518" i="7"/>
  <c r="AJ518" i="7"/>
  <c r="AI518" i="7"/>
  <c r="AH518" i="7"/>
  <c r="AG518" i="7"/>
  <c r="AE518" i="7"/>
  <c r="AD518" i="7"/>
  <c r="AC518" i="7"/>
  <c r="AB518" i="7"/>
  <c r="Z518" i="7"/>
  <c r="V518" i="7"/>
  <c r="U518" i="7"/>
  <c r="T518" i="7"/>
  <c r="S518" i="7"/>
  <c r="R518" i="7"/>
  <c r="Q518" i="7"/>
  <c r="P518" i="7"/>
  <c r="AL517" i="7"/>
  <c r="AP517" i="7" s="1"/>
  <c r="AP518" i="7" s="1"/>
  <c r="AO514" i="7"/>
  <c r="AN514" i="7"/>
  <c r="AK514" i="7"/>
  <c r="AJ514" i="7"/>
  <c r="AI514" i="7"/>
  <c r="AH514" i="7"/>
  <c r="AG514" i="7"/>
  <c r="AE514" i="7"/>
  <c r="AD514" i="7"/>
  <c r="AC514" i="7"/>
  <c r="AB514" i="7"/>
  <c r="Z514" i="7"/>
  <c r="V514" i="7"/>
  <c r="U514" i="7"/>
  <c r="T514" i="7"/>
  <c r="S514" i="7"/>
  <c r="R514" i="7"/>
  <c r="Q514" i="7"/>
  <c r="P514" i="7"/>
  <c r="AL513" i="7"/>
  <c r="AO510" i="7"/>
  <c r="AN510" i="7"/>
  <c r="AK510" i="7"/>
  <c r="AJ510" i="7"/>
  <c r="AI510" i="7"/>
  <c r="AH510" i="7"/>
  <c r="AG510" i="7"/>
  <c r="AE510" i="7"/>
  <c r="AD510" i="7"/>
  <c r="AC510" i="7"/>
  <c r="AB510" i="7"/>
  <c r="Z510" i="7"/>
  <c r="V510" i="7"/>
  <c r="U510" i="7"/>
  <c r="T510" i="7"/>
  <c r="S510" i="7"/>
  <c r="R510" i="7"/>
  <c r="Q510" i="7"/>
  <c r="P510" i="7"/>
  <c r="AL509" i="7"/>
  <c r="AL510" i="7" s="1"/>
  <c r="AO506" i="7"/>
  <c r="AN506" i="7"/>
  <c r="AK506" i="7"/>
  <c r="AJ506" i="7"/>
  <c r="AI506" i="7"/>
  <c r="AH506" i="7"/>
  <c r="AG506" i="7"/>
  <c r="AE506" i="7"/>
  <c r="AD506" i="7"/>
  <c r="AC506" i="7"/>
  <c r="AB506" i="7"/>
  <c r="Z506" i="7"/>
  <c r="V506" i="7"/>
  <c r="U506" i="7"/>
  <c r="T506" i="7"/>
  <c r="S506" i="7"/>
  <c r="R506" i="7"/>
  <c r="Q506" i="7"/>
  <c r="P506" i="7"/>
  <c r="AL505" i="7"/>
  <c r="AP505" i="7" s="1"/>
  <c r="AP504" i="7"/>
  <c r="AO501" i="7"/>
  <c r="AN501" i="7"/>
  <c r="AK501" i="7"/>
  <c r="AJ501" i="7"/>
  <c r="AI501" i="7"/>
  <c r="AH501" i="7"/>
  <c r="AG501" i="7"/>
  <c r="AE501" i="7"/>
  <c r="AD501" i="7"/>
  <c r="AC501" i="7"/>
  <c r="AB501" i="7"/>
  <c r="Z501" i="7"/>
  <c r="V501" i="7"/>
  <c r="U501" i="7"/>
  <c r="T501" i="7"/>
  <c r="S501" i="7"/>
  <c r="R501" i="7"/>
  <c r="Q501" i="7"/>
  <c r="P501" i="7"/>
  <c r="AL500" i="7"/>
  <c r="AP500" i="7" s="1"/>
  <c r="AL499" i="7"/>
  <c r="AP499" i="7" s="1"/>
  <c r="AO494" i="7"/>
  <c r="AN494" i="7"/>
  <c r="AL494" i="7"/>
  <c r="AK494" i="7"/>
  <c r="AJ494" i="7"/>
  <c r="AI494" i="7"/>
  <c r="AH494" i="7"/>
  <c r="AG494" i="7"/>
  <c r="AE494" i="7"/>
  <c r="AD494" i="7"/>
  <c r="AC494" i="7"/>
  <c r="AB494" i="7"/>
  <c r="Z494" i="7"/>
  <c r="V494" i="7"/>
  <c r="U494" i="7"/>
  <c r="T494" i="7"/>
  <c r="S494" i="7"/>
  <c r="R494" i="7"/>
  <c r="Q494" i="7"/>
  <c r="P494" i="7"/>
  <c r="AO490" i="7"/>
  <c r="AN490" i="7"/>
  <c r="AK490" i="7"/>
  <c r="AJ490" i="7"/>
  <c r="AI490" i="7"/>
  <c r="AH490" i="7"/>
  <c r="AG490" i="7"/>
  <c r="AE490" i="7"/>
  <c r="AD490" i="7"/>
  <c r="AC490" i="7"/>
  <c r="AB490" i="7"/>
  <c r="Z490" i="7"/>
  <c r="V490" i="7"/>
  <c r="U490" i="7"/>
  <c r="T490" i="7"/>
  <c r="S490" i="7"/>
  <c r="R490" i="7"/>
  <c r="Q490" i="7"/>
  <c r="P490" i="7"/>
  <c r="AL489" i="7"/>
  <c r="AP489" i="7" s="1"/>
  <c r="AP488" i="7"/>
  <c r="AL487" i="7"/>
  <c r="AP487" i="7" s="1"/>
  <c r="AO484" i="7"/>
  <c r="AN484" i="7"/>
  <c r="AK484" i="7"/>
  <c r="AJ484" i="7"/>
  <c r="AI484" i="7"/>
  <c r="AH484" i="7"/>
  <c r="AG484" i="7"/>
  <c r="AE484" i="7"/>
  <c r="AD484" i="7"/>
  <c r="AC484" i="7"/>
  <c r="AB484" i="7"/>
  <c r="Z484" i="7"/>
  <c r="V484" i="7"/>
  <c r="U484" i="7"/>
  <c r="T484" i="7"/>
  <c r="S484" i="7"/>
  <c r="R484" i="7"/>
  <c r="Q484" i="7"/>
  <c r="P484" i="7"/>
  <c r="AP483" i="7"/>
  <c r="AP482" i="7"/>
  <c r="AL481" i="7"/>
  <c r="AP481" i="7" s="1"/>
  <c r="AO478" i="7"/>
  <c r="AN478" i="7"/>
  <c r="AK478" i="7"/>
  <c r="AJ478" i="7"/>
  <c r="AI478" i="7"/>
  <c r="AH478" i="7"/>
  <c r="AG478" i="7"/>
  <c r="AE478" i="7"/>
  <c r="AD478" i="7"/>
  <c r="AC478" i="7"/>
  <c r="AB478" i="7"/>
  <c r="Z478" i="7"/>
  <c r="V478" i="7"/>
  <c r="U478" i="7"/>
  <c r="T478" i="7"/>
  <c r="S478" i="7"/>
  <c r="R478" i="7"/>
  <c r="Q478" i="7"/>
  <c r="P478" i="7"/>
  <c r="AL477" i="7"/>
  <c r="AO472" i="7"/>
  <c r="AO473" i="7" s="1"/>
  <c r="AN472" i="7"/>
  <c r="AN473" i="7" s="1"/>
  <c r="AK472" i="7"/>
  <c r="AK473" i="7" s="1"/>
  <c r="AJ472" i="7"/>
  <c r="AJ473" i="7" s="1"/>
  <c r="AI472" i="7"/>
  <c r="AI473" i="7" s="1"/>
  <c r="AH472" i="7"/>
  <c r="AH473" i="7" s="1"/>
  <c r="AG472" i="7"/>
  <c r="AG473" i="7" s="1"/>
  <c r="AE472" i="7"/>
  <c r="AE473" i="7" s="1"/>
  <c r="AD472" i="7"/>
  <c r="AD473" i="7" s="1"/>
  <c r="AC472" i="7"/>
  <c r="AC473" i="7" s="1"/>
  <c r="AB472" i="7"/>
  <c r="AB473" i="7" s="1"/>
  <c r="Z472" i="7"/>
  <c r="Z473" i="7" s="1"/>
  <c r="Y472" i="7"/>
  <c r="X472" i="7"/>
  <c r="W472" i="7"/>
  <c r="V472" i="7"/>
  <c r="V473" i="7" s="1"/>
  <c r="U472" i="7"/>
  <c r="U473" i="7" s="1"/>
  <c r="T472" i="7"/>
  <c r="T473" i="7" s="1"/>
  <c r="S472" i="7"/>
  <c r="S473" i="7" s="1"/>
  <c r="R472" i="7"/>
  <c r="R473" i="7" s="1"/>
  <c r="Q472" i="7"/>
  <c r="Q473" i="7" s="1"/>
  <c r="P472" i="7"/>
  <c r="P473" i="7" s="1"/>
  <c r="AP471" i="7"/>
  <c r="AL470" i="7"/>
  <c r="Y462" i="7"/>
  <c r="X462" i="7"/>
  <c r="W462" i="7"/>
  <c r="AD461" i="7"/>
  <c r="AD462" i="7" s="1"/>
  <c r="AC461" i="7"/>
  <c r="AC462" i="7" s="1"/>
  <c r="AB461" i="7"/>
  <c r="AB462" i="7" s="1"/>
  <c r="Z461" i="7"/>
  <c r="Z462" i="7" s="1"/>
  <c r="V461" i="7"/>
  <c r="V462" i="7" s="1"/>
  <c r="U461" i="7"/>
  <c r="U462" i="7" s="1"/>
  <c r="T461" i="7"/>
  <c r="T462" i="7" s="1"/>
  <c r="S461" i="7"/>
  <c r="S462" i="7" s="1"/>
  <c r="R461" i="7"/>
  <c r="R462" i="7" s="1"/>
  <c r="Q461" i="7"/>
  <c r="Q462" i="7" s="1"/>
  <c r="P461" i="7"/>
  <c r="P462" i="7" s="1"/>
  <c r="AP460" i="7"/>
  <c r="AP461" i="7" s="1"/>
  <c r="AP462" i="7" s="1"/>
  <c r="AO455" i="7"/>
  <c r="AN455" i="7"/>
  <c r="AL455" i="7"/>
  <c r="AK455" i="7"/>
  <c r="AJ455" i="7"/>
  <c r="AI455" i="7"/>
  <c r="AH455" i="7"/>
  <c r="AG455" i="7"/>
  <c r="AD455" i="7"/>
  <c r="AC455" i="7"/>
  <c r="AB455" i="7"/>
  <c r="Z455" i="7"/>
  <c r="Y455" i="7"/>
  <c r="X455" i="7"/>
  <c r="W455" i="7"/>
  <c r="V455" i="7"/>
  <c r="U455" i="7"/>
  <c r="T455" i="7"/>
  <c r="S455" i="7"/>
  <c r="R455" i="7"/>
  <c r="Q455" i="7"/>
  <c r="P455" i="7"/>
  <c r="AP454" i="7"/>
  <c r="AP453" i="7"/>
  <c r="AO450" i="7"/>
  <c r="AN450" i="7"/>
  <c r="AL450" i="7"/>
  <c r="AK450" i="7"/>
  <c r="AJ450" i="7"/>
  <c r="AD450" i="7"/>
  <c r="AC450" i="7"/>
  <c r="AB450" i="7"/>
  <c r="Z450" i="7"/>
  <c r="V450" i="7"/>
  <c r="U450" i="7"/>
  <c r="T450" i="7"/>
  <c r="S450" i="7"/>
  <c r="R450" i="7"/>
  <c r="Q450" i="7"/>
  <c r="P450" i="7"/>
  <c r="AO446" i="7"/>
  <c r="AN446" i="7"/>
  <c r="AL446" i="7"/>
  <c r="AK446" i="7"/>
  <c r="AJ446" i="7"/>
  <c r="AI446" i="7"/>
  <c r="AH446" i="7"/>
  <c r="AG446" i="7"/>
  <c r="AE446" i="7"/>
  <c r="AD446" i="7"/>
  <c r="AC446" i="7"/>
  <c r="AB446" i="7"/>
  <c r="Z446" i="7"/>
  <c r="Y446" i="7"/>
  <c r="X446" i="7"/>
  <c r="W446" i="7"/>
  <c r="V446" i="7"/>
  <c r="U446" i="7"/>
  <c r="T446" i="7"/>
  <c r="S446" i="7"/>
  <c r="R446" i="7"/>
  <c r="Q446" i="7"/>
  <c r="P446" i="7"/>
  <c r="AP445" i="7"/>
  <c r="AP446" i="7" s="1"/>
  <c r="AO442" i="7"/>
  <c r="AN442" i="7"/>
  <c r="AL442" i="7"/>
  <c r="AK442" i="7"/>
  <c r="AJ442" i="7"/>
  <c r="AI442" i="7"/>
  <c r="AH442" i="7"/>
  <c r="AG442" i="7"/>
  <c r="AE442" i="7"/>
  <c r="AD442" i="7"/>
  <c r="AC442" i="7"/>
  <c r="AB442" i="7"/>
  <c r="Z442" i="7"/>
  <c r="Y442" i="7"/>
  <c r="X442" i="7"/>
  <c r="W442" i="7"/>
  <c r="V442" i="7"/>
  <c r="U442" i="7"/>
  <c r="T442" i="7"/>
  <c r="S442" i="7"/>
  <c r="R442" i="7"/>
  <c r="Q442" i="7"/>
  <c r="P442" i="7"/>
  <c r="AP441" i="7"/>
  <c r="AP440" i="7"/>
  <c r="AO435" i="7"/>
  <c r="AN435" i="7"/>
  <c r="AL435" i="7"/>
  <c r="AK435" i="7"/>
  <c r="AJ435" i="7"/>
  <c r="AI435" i="7"/>
  <c r="AH435" i="7"/>
  <c r="AG435" i="7"/>
  <c r="AE435" i="7"/>
  <c r="AD435" i="7"/>
  <c r="AC435" i="7"/>
  <c r="AB435" i="7"/>
  <c r="Z435" i="7"/>
  <c r="Y435" i="7"/>
  <c r="Y436" i="7" s="1"/>
  <c r="X435" i="7"/>
  <c r="X436" i="7" s="1"/>
  <c r="W435" i="7"/>
  <c r="W436" i="7" s="1"/>
  <c r="V435" i="7"/>
  <c r="U435" i="7"/>
  <c r="T435" i="7"/>
  <c r="S435" i="7"/>
  <c r="R435" i="7"/>
  <c r="Q435" i="7"/>
  <c r="P435" i="7"/>
  <c r="AP434" i="7"/>
  <c r="AP433" i="7"/>
  <c r="AP432" i="7"/>
  <c r="AP431" i="7"/>
  <c r="AP430" i="7"/>
  <c r="AO427" i="7"/>
  <c r="AN427" i="7"/>
  <c r="AL427" i="7"/>
  <c r="AK427" i="7"/>
  <c r="AJ427" i="7"/>
  <c r="AI427" i="7"/>
  <c r="AH427" i="7"/>
  <c r="AG427" i="7"/>
  <c r="AE427" i="7"/>
  <c r="AD427" i="7"/>
  <c r="AC427" i="7"/>
  <c r="AB427" i="7"/>
  <c r="Z427" i="7"/>
  <c r="V427" i="7"/>
  <c r="U427" i="7"/>
  <c r="T427" i="7"/>
  <c r="S427" i="7"/>
  <c r="R427" i="7"/>
  <c r="Q427" i="7"/>
  <c r="P427" i="7"/>
  <c r="AP426" i="7"/>
  <c r="AP425" i="7"/>
  <c r="AP424" i="7"/>
  <c r="AP423" i="7"/>
  <c r="AP422" i="7"/>
  <c r="AO417" i="7"/>
  <c r="AN417" i="7"/>
  <c r="AL417" i="7"/>
  <c r="AK417" i="7"/>
  <c r="AJ417" i="7"/>
  <c r="AI417" i="7"/>
  <c r="AH417" i="7"/>
  <c r="AG417" i="7"/>
  <c r="AD417" i="7"/>
  <c r="AC417" i="7"/>
  <c r="AB417" i="7"/>
  <c r="Z417" i="7"/>
  <c r="Y417" i="7"/>
  <c r="X417" i="7"/>
  <c r="W417" i="7"/>
  <c r="V417" i="7"/>
  <c r="U417" i="7"/>
  <c r="T417" i="7"/>
  <c r="S417" i="7"/>
  <c r="R417" i="7"/>
  <c r="Q417" i="7"/>
  <c r="P417" i="7"/>
  <c r="AP416" i="7"/>
  <c r="AP417" i="7" s="1"/>
  <c r="AO413" i="7"/>
  <c r="AN413" i="7"/>
  <c r="AK413" i="7"/>
  <c r="AJ413" i="7"/>
  <c r="AI413" i="7"/>
  <c r="AH413" i="7"/>
  <c r="AG413" i="7"/>
  <c r="AE413" i="7"/>
  <c r="AD413" i="7"/>
  <c r="AC413" i="7"/>
  <c r="AB413" i="7"/>
  <c r="Z413" i="7"/>
  <c r="Y413" i="7"/>
  <c r="X413" i="7"/>
  <c r="W413" i="7"/>
  <c r="V413" i="7"/>
  <c r="U413" i="7"/>
  <c r="T413" i="7"/>
  <c r="S413" i="7"/>
  <c r="R413" i="7"/>
  <c r="Q413" i="7"/>
  <c r="P413" i="7"/>
  <c r="AP412" i="7"/>
  <c r="AL411" i="7"/>
  <c r="AL413" i="7" s="1"/>
  <c r="AP410" i="7"/>
  <c r="AP409" i="7"/>
  <c r="AO406" i="7"/>
  <c r="AN406" i="7"/>
  <c r="AL406" i="7"/>
  <c r="AK406" i="7"/>
  <c r="AJ406" i="7"/>
  <c r="AI406" i="7"/>
  <c r="AH406" i="7"/>
  <c r="AG406" i="7"/>
  <c r="AE406" i="7"/>
  <c r="AD406" i="7"/>
  <c r="AC406" i="7"/>
  <c r="AB406" i="7"/>
  <c r="Z406" i="7"/>
  <c r="Y406" i="7"/>
  <c r="X406" i="7"/>
  <c r="U406" i="7"/>
  <c r="T406" i="7"/>
  <c r="S406" i="7"/>
  <c r="R406" i="7"/>
  <c r="Q406" i="7"/>
  <c r="P406" i="7"/>
  <c r="AP405" i="7"/>
  <c r="AP403" i="7"/>
  <c r="AP402" i="7"/>
  <c r="AP400" i="7"/>
  <c r="AP399" i="7"/>
  <c r="AP398" i="7"/>
  <c r="AP397" i="7"/>
  <c r="AP396" i="7"/>
  <c r="AO393" i="7"/>
  <c r="AN393" i="7"/>
  <c r="AL393" i="7"/>
  <c r="AK393" i="7"/>
  <c r="AJ393" i="7"/>
  <c r="AI393" i="7"/>
  <c r="AH393" i="7"/>
  <c r="AG393" i="7"/>
  <c r="AE393" i="7"/>
  <c r="AD393" i="7"/>
  <c r="AC393" i="7"/>
  <c r="AB393" i="7"/>
  <c r="Z393" i="7"/>
  <c r="Y393" i="7"/>
  <c r="X393" i="7"/>
  <c r="W393" i="7"/>
  <c r="U393" i="7"/>
  <c r="T393" i="7"/>
  <c r="S393" i="7"/>
  <c r="R393" i="7"/>
  <c r="Q393" i="7"/>
  <c r="P393" i="7"/>
  <c r="AP392" i="7"/>
  <c r="AP391" i="7"/>
  <c r="AP390" i="7"/>
  <c r="AP389" i="7"/>
  <c r="AP388" i="7"/>
  <c r="AP387" i="7"/>
  <c r="AP385" i="7"/>
  <c r="AO380" i="7"/>
  <c r="AN380" i="7"/>
  <c r="AM380" i="7"/>
  <c r="AM381" i="7" s="1"/>
  <c r="AM463" i="7" s="1"/>
  <c r="AM464" i="7" s="1"/>
  <c r="AL380" i="7"/>
  <c r="AK380" i="7"/>
  <c r="AJ380" i="7"/>
  <c r="AI380" i="7"/>
  <c r="AH380" i="7"/>
  <c r="AG380" i="7"/>
  <c r="AF380" i="7"/>
  <c r="AF381" i="7" s="1"/>
  <c r="AF463" i="7" s="1"/>
  <c r="AF464" i="7" s="1"/>
  <c r="AE380" i="7"/>
  <c r="AC380" i="7"/>
  <c r="AB380" i="7"/>
  <c r="Z380" i="7"/>
  <c r="Y380" i="7"/>
  <c r="X380" i="7"/>
  <c r="W380" i="7"/>
  <c r="V380" i="7"/>
  <c r="U380" i="7"/>
  <c r="T380" i="7"/>
  <c r="S380" i="7"/>
  <c r="R380" i="7"/>
  <c r="Q380" i="7"/>
  <c r="P380" i="7"/>
  <c r="AD380" i="7"/>
  <c r="AO376" i="7"/>
  <c r="AN376" i="7"/>
  <c r="AL376" i="7"/>
  <c r="AK376" i="7"/>
  <c r="AJ376" i="7"/>
  <c r="AI376" i="7"/>
  <c r="AH376" i="7"/>
  <c r="AG376" i="7"/>
  <c r="AE376" i="7"/>
  <c r="AD376" i="7"/>
  <c r="AC376" i="7"/>
  <c r="AB376" i="7"/>
  <c r="Z376" i="7"/>
  <c r="Y376" i="7"/>
  <c r="X376" i="7"/>
  <c r="W376" i="7"/>
  <c r="V376" i="7"/>
  <c r="U376" i="7"/>
  <c r="T376" i="7"/>
  <c r="S376" i="7"/>
  <c r="R376" i="7"/>
  <c r="Q376" i="7"/>
  <c r="P376" i="7"/>
  <c r="AP375" i="7"/>
  <c r="AP374" i="7"/>
  <c r="AP373" i="7"/>
  <c r="AP372" i="7"/>
  <c r="AP371" i="7"/>
  <c r="AP370" i="7"/>
  <c r="AO367" i="7"/>
  <c r="AN367" i="7"/>
  <c r="AK367" i="7"/>
  <c r="AI367" i="7"/>
  <c r="AH367" i="7"/>
  <c r="AE367" i="7"/>
  <c r="AD367" i="7"/>
  <c r="AC367" i="7"/>
  <c r="AB367" i="7"/>
  <c r="Z367" i="7"/>
  <c r="Y367" i="7"/>
  <c r="X367" i="7"/>
  <c r="W367" i="7"/>
  <c r="U367" i="7"/>
  <c r="T367" i="7"/>
  <c r="S367" i="7"/>
  <c r="R367" i="7"/>
  <c r="Q367" i="7"/>
  <c r="P367" i="7"/>
  <c r="AP366" i="7"/>
  <c r="AJ367" i="7"/>
  <c r="AP365" i="7"/>
  <c r="AL367" i="7"/>
  <c r="AG364" i="7"/>
  <c r="AG367" i="7" s="1"/>
  <c r="Y356" i="7"/>
  <c r="Y357" i="7" s="1"/>
  <c r="Y358" i="7" s="1"/>
  <c r="X356" i="7"/>
  <c r="X357" i="7" s="1"/>
  <c r="X358" i="7" s="1"/>
  <c r="W356" i="7"/>
  <c r="W357" i="7" s="1"/>
  <c r="W358" i="7" s="1"/>
  <c r="AO355" i="7"/>
  <c r="AO356" i="7" s="1"/>
  <c r="AN355" i="7"/>
  <c r="AN356" i="7" s="1"/>
  <c r="AM355" i="7"/>
  <c r="AM356" i="7" s="1"/>
  <c r="AM357" i="7" s="1"/>
  <c r="AM358" i="7" s="1"/>
  <c r="AK355" i="7"/>
  <c r="AK356" i="7" s="1"/>
  <c r="AJ355" i="7"/>
  <c r="AJ356" i="7" s="1"/>
  <c r="AI355" i="7"/>
  <c r="AI356" i="7" s="1"/>
  <c r="AH355" i="7"/>
  <c r="AH356" i="7" s="1"/>
  <c r="AG355" i="7"/>
  <c r="AG356" i="7" s="1"/>
  <c r="AE355" i="7"/>
  <c r="AE356" i="7" s="1"/>
  <c r="AD355" i="7"/>
  <c r="AD356" i="7" s="1"/>
  <c r="AC355" i="7"/>
  <c r="AC356" i="7" s="1"/>
  <c r="AB355" i="7"/>
  <c r="AB356" i="7" s="1"/>
  <c r="Z355" i="7"/>
  <c r="Z356" i="7" s="1"/>
  <c r="V355" i="7"/>
  <c r="V356" i="7" s="1"/>
  <c r="U355" i="7"/>
  <c r="U356" i="7" s="1"/>
  <c r="T355" i="7"/>
  <c r="T356" i="7" s="1"/>
  <c r="S355" i="7"/>
  <c r="S356" i="7" s="1"/>
  <c r="R355" i="7"/>
  <c r="R356" i="7" s="1"/>
  <c r="Q355" i="7"/>
  <c r="Q356" i="7" s="1"/>
  <c r="P355" i="7"/>
  <c r="P356" i="7" s="1"/>
  <c r="AL354" i="7"/>
  <c r="AO349" i="7"/>
  <c r="AO350" i="7" s="1"/>
  <c r="AN349" i="7"/>
  <c r="AN350" i="7" s="1"/>
  <c r="AK349" i="7"/>
  <c r="AK350" i="7" s="1"/>
  <c r="AJ349" i="7"/>
  <c r="AJ350" i="7" s="1"/>
  <c r="AI349" i="7"/>
  <c r="AI350" i="7" s="1"/>
  <c r="AH349" i="7"/>
  <c r="AH350" i="7" s="1"/>
  <c r="AG349" i="7"/>
  <c r="AG350" i="7" s="1"/>
  <c r="AE349" i="7"/>
  <c r="AE350" i="7" s="1"/>
  <c r="AD349" i="7"/>
  <c r="AD350" i="7" s="1"/>
  <c r="AC349" i="7"/>
  <c r="AC350" i="7" s="1"/>
  <c r="AB349" i="7"/>
  <c r="AB350" i="7" s="1"/>
  <c r="Z349" i="7"/>
  <c r="Z350" i="7" s="1"/>
  <c r="V349" i="7"/>
  <c r="V350" i="7" s="1"/>
  <c r="U349" i="7"/>
  <c r="U350" i="7" s="1"/>
  <c r="T349" i="7"/>
  <c r="T350" i="7" s="1"/>
  <c r="S349" i="7"/>
  <c r="S350" i="7" s="1"/>
  <c r="R349" i="7"/>
  <c r="R350" i="7" s="1"/>
  <c r="Q349" i="7"/>
  <c r="Q350" i="7" s="1"/>
  <c r="P349" i="7"/>
  <c r="P350" i="7" s="1"/>
  <c r="AO338" i="7"/>
  <c r="AO339" i="7" s="1"/>
  <c r="AO340" i="7" s="1"/>
  <c r="AN338" i="7"/>
  <c r="AN339" i="7" s="1"/>
  <c r="AN340" i="7" s="1"/>
  <c r="AM338" i="7"/>
  <c r="AM339" i="7" s="1"/>
  <c r="AM340" i="7" s="1"/>
  <c r="AK338" i="7"/>
  <c r="AK339" i="7" s="1"/>
  <c r="AK340" i="7" s="1"/>
  <c r="AJ338" i="7"/>
  <c r="AJ339" i="7" s="1"/>
  <c r="AJ340" i="7" s="1"/>
  <c r="AI338" i="7"/>
  <c r="AI339" i="7" s="1"/>
  <c r="AI340" i="7" s="1"/>
  <c r="AH338" i="7"/>
  <c r="AH339" i="7" s="1"/>
  <c r="AH340" i="7" s="1"/>
  <c r="AG338" i="7"/>
  <c r="AG339" i="7" s="1"/>
  <c r="AG340" i="7" s="1"/>
  <c r="AF338" i="7"/>
  <c r="AF339" i="7" s="1"/>
  <c r="AF340" i="7" s="1"/>
  <c r="AE338" i="7"/>
  <c r="AE339" i="7" s="1"/>
  <c r="AE340" i="7" s="1"/>
  <c r="AD338" i="7"/>
  <c r="AD339" i="7" s="1"/>
  <c r="AD340" i="7" s="1"/>
  <c r="AC338" i="7"/>
  <c r="AC339" i="7" s="1"/>
  <c r="AC340" i="7" s="1"/>
  <c r="AB338" i="7"/>
  <c r="AB339" i="7" s="1"/>
  <c r="AB340" i="7" s="1"/>
  <c r="AA338" i="7"/>
  <c r="AA339" i="7" s="1"/>
  <c r="AA340" i="7" s="1"/>
  <c r="Z338" i="7"/>
  <c r="Z339" i="7" s="1"/>
  <c r="Z340" i="7" s="1"/>
  <c r="Y338" i="7"/>
  <c r="Y339" i="7" s="1"/>
  <c r="Y340" i="7" s="1"/>
  <c r="X338" i="7"/>
  <c r="X339" i="7" s="1"/>
  <c r="X340" i="7" s="1"/>
  <c r="W338" i="7"/>
  <c r="W339" i="7" s="1"/>
  <c r="W340" i="7" s="1"/>
  <c r="V338" i="7"/>
  <c r="V339" i="7" s="1"/>
  <c r="V340" i="7" s="1"/>
  <c r="U338" i="7"/>
  <c r="U339" i="7" s="1"/>
  <c r="U340" i="7" s="1"/>
  <c r="T338" i="7"/>
  <c r="T339" i="7" s="1"/>
  <c r="T340" i="7" s="1"/>
  <c r="S338" i="7"/>
  <c r="S339" i="7" s="1"/>
  <c r="S340" i="7" s="1"/>
  <c r="R338" i="7"/>
  <c r="R339" i="7" s="1"/>
  <c r="R340" i="7" s="1"/>
  <c r="Q338" i="7"/>
  <c r="Q339" i="7" s="1"/>
  <c r="Q340" i="7" s="1"/>
  <c r="P338" i="7"/>
  <c r="P339" i="7" s="1"/>
  <c r="P340" i="7" s="1"/>
  <c r="AL337" i="7"/>
  <c r="AP337" i="7" s="1"/>
  <c r="AP336" i="7"/>
  <c r="AL335" i="7"/>
  <c r="AP335" i="7" s="1"/>
  <c r="AL334" i="7"/>
  <c r="AP333" i="7"/>
  <c r="AO326" i="7"/>
  <c r="AN326" i="7"/>
  <c r="AM326" i="7"/>
  <c r="AK326" i="7"/>
  <c r="AJ326" i="7"/>
  <c r="AI326" i="7"/>
  <c r="AH326" i="7"/>
  <c r="AG326" i="7"/>
  <c r="AF326" i="7"/>
  <c r="AE326" i="7"/>
  <c r="AD326" i="7"/>
  <c r="AC326" i="7"/>
  <c r="AB326" i="7"/>
  <c r="AA326" i="7"/>
  <c r="Z326" i="7"/>
  <c r="Y326" i="7"/>
  <c r="X326" i="7"/>
  <c r="W326" i="7"/>
  <c r="V326" i="7"/>
  <c r="U326" i="7"/>
  <c r="T326" i="7"/>
  <c r="S326" i="7"/>
  <c r="R326" i="7"/>
  <c r="Q326" i="7"/>
  <c r="P326" i="7"/>
  <c r="AL325" i="7"/>
  <c r="AP325" i="7" s="1"/>
  <c r="AL324" i="7"/>
  <c r="AP324" i="7" s="1"/>
  <c r="AL323" i="7"/>
  <c r="AP323" i="7" s="1"/>
  <c r="AO320" i="7"/>
  <c r="AN320" i="7"/>
  <c r="AM320" i="7"/>
  <c r="AK320" i="7"/>
  <c r="AJ320" i="7"/>
  <c r="AI320" i="7"/>
  <c r="AH320" i="7"/>
  <c r="AG320" i="7"/>
  <c r="AF320" i="7"/>
  <c r="AE320" i="7"/>
  <c r="AD320" i="7"/>
  <c r="AC320" i="7"/>
  <c r="AB320" i="7"/>
  <c r="AA320" i="7"/>
  <c r="Z320" i="7"/>
  <c r="Y320" i="7"/>
  <c r="X320" i="7"/>
  <c r="W320" i="7"/>
  <c r="V320" i="7"/>
  <c r="U320" i="7"/>
  <c r="T320" i="7"/>
  <c r="S320" i="7"/>
  <c r="R320" i="7"/>
  <c r="Q320" i="7"/>
  <c r="P320" i="7"/>
  <c r="AL319" i="7"/>
  <c r="AP319" i="7" s="1"/>
  <c r="AL318" i="7"/>
  <c r="AP318" i="7" s="1"/>
  <c r="AL317" i="7"/>
  <c r="AP317" i="7" s="1"/>
  <c r="AL316" i="7"/>
  <c r="AO313" i="7"/>
  <c r="AN313" i="7"/>
  <c r="AM313" i="7"/>
  <c r="AK313" i="7"/>
  <c r="AJ313" i="7"/>
  <c r="AI313" i="7"/>
  <c r="AH313" i="7"/>
  <c r="AG313" i="7"/>
  <c r="AF313" i="7"/>
  <c r="AE313" i="7"/>
  <c r="AD313" i="7"/>
  <c r="AC313" i="7"/>
  <c r="AB313" i="7"/>
  <c r="AA313" i="7"/>
  <c r="Z313" i="7"/>
  <c r="Y313" i="7"/>
  <c r="X313" i="7"/>
  <c r="W313" i="7"/>
  <c r="V313" i="7"/>
  <c r="U313" i="7"/>
  <c r="T313" i="7"/>
  <c r="S313" i="7"/>
  <c r="R313" i="7"/>
  <c r="Q313" i="7"/>
  <c r="P313" i="7"/>
  <c r="AL312" i="7"/>
  <c r="AP312" i="7" s="1"/>
  <c r="AP311" i="7"/>
  <c r="AP310" i="7"/>
  <c r="AP309" i="7"/>
  <c r="AP308" i="7"/>
  <c r="AL307" i="7"/>
  <c r="AP307" i="7" s="1"/>
  <c r="AO306" i="7"/>
  <c r="AN306" i="7"/>
  <c r="AO304" i="7"/>
  <c r="AN304" i="7"/>
  <c r="AM304" i="7"/>
  <c r="AL304" i="7"/>
  <c r="AK304" i="7"/>
  <c r="AJ304" i="7"/>
  <c r="AI304" i="7"/>
  <c r="AH304" i="7"/>
  <c r="AG304" i="7"/>
  <c r="AF304" i="7"/>
  <c r="AE304" i="7"/>
  <c r="AD304" i="7"/>
  <c r="AC304" i="7"/>
  <c r="AB304" i="7"/>
  <c r="AA304" i="7"/>
  <c r="Z304" i="7"/>
  <c r="Y304" i="7"/>
  <c r="X304" i="7"/>
  <c r="W304" i="7"/>
  <c r="V304" i="7"/>
  <c r="U304" i="7"/>
  <c r="T304" i="7"/>
  <c r="S304" i="7"/>
  <c r="R304" i="7"/>
  <c r="Q304" i="7"/>
  <c r="P304" i="7"/>
  <c r="AP303" i="7"/>
  <c r="AP302" i="7"/>
  <c r="AP301" i="7"/>
  <c r="AP300" i="7"/>
  <c r="AO293" i="7"/>
  <c r="AN293" i="7"/>
  <c r="AM293" i="7"/>
  <c r="AK293" i="7"/>
  <c r="AJ293" i="7"/>
  <c r="AI293" i="7"/>
  <c r="AH293" i="7"/>
  <c r="AG293" i="7"/>
  <c r="AF293" i="7"/>
  <c r="AE293" i="7"/>
  <c r="AD293" i="7"/>
  <c r="AC293" i="7"/>
  <c r="AB293" i="7"/>
  <c r="AA293" i="7"/>
  <c r="Z293" i="7"/>
  <c r="Y293" i="7"/>
  <c r="X293" i="7"/>
  <c r="W293" i="7"/>
  <c r="V293" i="7"/>
  <c r="U293" i="7"/>
  <c r="T293" i="7"/>
  <c r="S293" i="7"/>
  <c r="R293" i="7"/>
  <c r="Q293" i="7"/>
  <c r="P293" i="7"/>
  <c r="AP292" i="7"/>
  <c r="AP291" i="7"/>
  <c r="AL290" i="7"/>
  <c r="AP290" i="7" s="1"/>
  <c r="AP289" i="7"/>
  <c r="AL288" i="7"/>
  <c r="AP288" i="7" s="1"/>
  <c r="AL287" i="7"/>
  <c r="AP287" i="7" s="1"/>
  <c r="AO284" i="7"/>
  <c r="AN284" i="7"/>
  <c r="AM284" i="7"/>
  <c r="AK284" i="7"/>
  <c r="AJ284" i="7"/>
  <c r="AI284" i="7"/>
  <c r="AH284" i="7"/>
  <c r="AG284" i="7"/>
  <c r="AF284" i="7"/>
  <c r="AE284" i="7"/>
  <c r="AD284" i="7"/>
  <c r="AC284" i="7"/>
  <c r="AB284" i="7"/>
  <c r="AA284" i="7"/>
  <c r="Z284" i="7"/>
  <c r="Y284" i="7"/>
  <c r="X284" i="7"/>
  <c r="W284" i="7"/>
  <c r="V284" i="7"/>
  <c r="U284" i="7"/>
  <c r="T284" i="7"/>
  <c r="S284" i="7"/>
  <c r="R284" i="7"/>
  <c r="Q284" i="7"/>
  <c r="P284" i="7"/>
  <c r="AL283" i="7"/>
  <c r="AP283" i="7" s="1"/>
  <c r="AL282" i="7"/>
  <c r="AP282" i="7" s="1"/>
  <c r="AO279" i="7"/>
  <c r="AN279" i="7"/>
  <c r="AM279" i="7"/>
  <c r="AK279" i="7"/>
  <c r="AJ279" i="7"/>
  <c r="AI279" i="7"/>
  <c r="AH279" i="7"/>
  <c r="AG279" i="7"/>
  <c r="AF279" i="7"/>
  <c r="AE279" i="7"/>
  <c r="AD279" i="7"/>
  <c r="AC279" i="7"/>
  <c r="AB279" i="7"/>
  <c r="AA279" i="7"/>
  <c r="Z279" i="7"/>
  <c r="Y279" i="7"/>
  <c r="X279" i="7"/>
  <c r="W279" i="7"/>
  <c r="V279" i="7"/>
  <c r="U279" i="7"/>
  <c r="T279" i="7"/>
  <c r="S279" i="7"/>
  <c r="R279" i="7"/>
  <c r="Q279" i="7"/>
  <c r="P279" i="7"/>
  <c r="AL278" i="7"/>
  <c r="AP278" i="7" s="1"/>
  <c r="AL277" i="7"/>
  <c r="AP277" i="7" s="1"/>
  <c r="AP276" i="7"/>
  <c r="AL275" i="7"/>
  <c r="AP275" i="7" s="1"/>
  <c r="AL274" i="7"/>
  <c r="AP274" i="7" s="1"/>
  <c r="AL273" i="7"/>
  <c r="AO264" i="7"/>
  <c r="AM264" i="7"/>
  <c r="AK264" i="7"/>
  <c r="AJ264" i="7"/>
  <c r="AI264" i="7"/>
  <c r="AH264" i="7"/>
  <c r="AG264" i="7"/>
  <c r="AF264" i="7"/>
  <c r="AE264" i="7"/>
  <c r="AD264" i="7"/>
  <c r="AC264" i="7"/>
  <c r="AB264" i="7"/>
  <c r="AA264" i="7"/>
  <c r="Z264" i="7"/>
  <c r="Y264" i="7"/>
  <c r="X264" i="7"/>
  <c r="W264" i="7"/>
  <c r="V264" i="7"/>
  <c r="U264" i="7"/>
  <c r="T264" i="7"/>
  <c r="S264" i="7"/>
  <c r="R264" i="7"/>
  <c r="Q264" i="7"/>
  <c r="P264" i="7"/>
  <c r="AN263" i="7"/>
  <c r="AN264" i="7" s="1"/>
  <c r="AL263" i="7"/>
  <c r="AL264" i="7" s="1"/>
  <c r="AO260" i="7"/>
  <c r="AN260" i="7"/>
  <c r="AM260" i="7"/>
  <c r="AK260" i="7"/>
  <c r="AJ260" i="7"/>
  <c r="AI260" i="7"/>
  <c r="AH260" i="7"/>
  <c r="AG260" i="7"/>
  <c r="AF260" i="7"/>
  <c r="AE260" i="7"/>
  <c r="AD260" i="7"/>
  <c r="AC260" i="7"/>
  <c r="AB260" i="7"/>
  <c r="AA260" i="7"/>
  <c r="Z260" i="7"/>
  <c r="Y260" i="7"/>
  <c r="X260" i="7"/>
  <c r="W260" i="7"/>
  <c r="V260" i="7"/>
  <c r="U260" i="7"/>
  <c r="T260" i="7"/>
  <c r="S260" i="7"/>
  <c r="R260" i="7"/>
  <c r="Q260" i="7"/>
  <c r="P260" i="7"/>
  <c r="AL259" i="7"/>
  <c r="AO256" i="7"/>
  <c r="AN256" i="7"/>
  <c r="AM256" i="7"/>
  <c r="AK256" i="7"/>
  <c r="AJ256" i="7"/>
  <c r="AI256" i="7"/>
  <c r="AH256" i="7"/>
  <c r="AG256" i="7"/>
  <c r="AF256" i="7"/>
  <c r="AE256" i="7"/>
  <c r="AD256" i="7"/>
  <c r="AC256" i="7"/>
  <c r="AB256" i="7"/>
  <c r="AA256" i="7"/>
  <c r="Z256" i="7"/>
  <c r="Y256" i="7"/>
  <c r="X256" i="7"/>
  <c r="W256" i="7"/>
  <c r="V256" i="7"/>
  <c r="U256" i="7"/>
  <c r="T256" i="7"/>
  <c r="S256" i="7"/>
  <c r="R256" i="7"/>
  <c r="Q256" i="7"/>
  <c r="P256" i="7"/>
  <c r="AL255" i="7"/>
  <c r="AP255" i="7" s="1"/>
  <c r="AL254" i="7"/>
  <c r="AP254" i="7" s="1"/>
  <c r="AO249" i="7"/>
  <c r="AN249" i="7"/>
  <c r="AM249" i="7"/>
  <c r="AK249" i="7"/>
  <c r="AJ249" i="7"/>
  <c r="AI249" i="7"/>
  <c r="AH249" i="7"/>
  <c r="AG249" i="7"/>
  <c r="AF249" i="7"/>
  <c r="AE249" i="7"/>
  <c r="AD249" i="7"/>
  <c r="AC249" i="7"/>
  <c r="AB249" i="7"/>
  <c r="AA249" i="7"/>
  <c r="Z249" i="7"/>
  <c r="Y249" i="7"/>
  <c r="X249" i="7"/>
  <c r="W249" i="7"/>
  <c r="V249" i="7"/>
  <c r="U249" i="7"/>
  <c r="T249" i="7"/>
  <c r="S249" i="7"/>
  <c r="R249" i="7"/>
  <c r="Q249" i="7"/>
  <c r="P249" i="7"/>
  <c r="AL248" i="7"/>
  <c r="AP248" i="7" s="1"/>
  <c r="AL247" i="7"/>
  <c r="AP247" i="7" s="1"/>
  <c r="AL246" i="7"/>
  <c r="AO243" i="7"/>
  <c r="AN243" i="7"/>
  <c r="AM243" i="7"/>
  <c r="AK243" i="7"/>
  <c r="AJ243" i="7"/>
  <c r="AI243" i="7"/>
  <c r="AH243" i="7"/>
  <c r="AG243" i="7"/>
  <c r="AF243" i="7"/>
  <c r="AE243" i="7"/>
  <c r="AD243" i="7"/>
  <c r="AC243" i="7"/>
  <c r="AB243" i="7"/>
  <c r="AA243" i="7"/>
  <c r="Z243" i="7"/>
  <c r="Y243" i="7"/>
  <c r="X243" i="7"/>
  <c r="W243" i="7"/>
  <c r="V243" i="7"/>
  <c r="U243" i="7"/>
  <c r="T243" i="7"/>
  <c r="S243" i="7"/>
  <c r="R243" i="7"/>
  <c r="Q243" i="7"/>
  <c r="P243" i="7"/>
  <c r="AL242" i="7"/>
  <c r="AP242" i="7" s="1"/>
  <c r="AL241" i="7"/>
  <c r="AP241" i="7" s="1"/>
  <c r="AL240" i="7"/>
  <c r="AP240" i="7" s="1"/>
  <c r="AL239" i="7"/>
  <c r="AO236" i="7"/>
  <c r="AN236" i="7"/>
  <c r="AM236" i="7"/>
  <c r="AK236" i="7"/>
  <c r="AJ236" i="7"/>
  <c r="AI236" i="7"/>
  <c r="AH236" i="7"/>
  <c r="AG236" i="7"/>
  <c r="AF236" i="7"/>
  <c r="AE236" i="7"/>
  <c r="AD236" i="7"/>
  <c r="AC236" i="7"/>
  <c r="AB236" i="7"/>
  <c r="AA236" i="7"/>
  <c r="Z236" i="7"/>
  <c r="Y236" i="7"/>
  <c r="X236" i="7"/>
  <c r="W236" i="7"/>
  <c r="V236" i="7"/>
  <c r="U236" i="7"/>
  <c r="T236" i="7"/>
  <c r="S236" i="7"/>
  <c r="R236" i="7"/>
  <c r="Q236" i="7"/>
  <c r="P236" i="7"/>
  <c r="AL235" i="7"/>
  <c r="AP235" i="7" s="1"/>
  <c r="AL234" i="7"/>
  <c r="AP234" i="7" s="1"/>
  <c r="AL233" i="7"/>
  <c r="AP233" i="7" s="1"/>
  <c r="AL232" i="7"/>
  <c r="AP232" i="7" s="1"/>
  <c r="AL231" i="7"/>
  <c r="AO222" i="7"/>
  <c r="AN222" i="7"/>
  <c r="AM222" i="7"/>
  <c r="AK222" i="7"/>
  <c r="AJ222" i="7"/>
  <c r="AI222" i="7"/>
  <c r="AH222" i="7"/>
  <c r="AG222" i="7"/>
  <c r="AF222" i="7"/>
  <c r="AE222" i="7"/>
  <c r="AD222" i="7"/>
  <c r="AC222" i="7"/>
  <c r="AB222" i="7"/>
  <c r="AA222" i="7"/>
  <c r="Z222" i="7"/>
  <c r="Y222" i="7"/>
  <c r="X222" i="7"/>
  <c r="W222" i="7"/>
  <c r="V222" i="7"/>
  <c r="U222" i="7"/>
  <c r="T222" i="7"/>
  <c r="S222" i="7"/>
  <c r="R222" i="7"/>
  <c r="Q222" i="7"/>
  <c r="P222" i="7"/>
  <c r="AL221" i="7"/>
  <c r="AL220" i="7"/>
  <c r="AP220" i="7" s="1"/>
  <c r="AO217" i="7"/>
  <c r="AM217" i="7"/>
  <c r="AL217" i="7"/>
  <c r="AK217" i="7"/>
  <c r="AJ217" i="7"/>
  <c r="AI217" i="7"/>
  <c r="AH217" i="7"/>
  <c r="AG217" i="7"/>
  <c r="AF217" i="7"/>
  <c r="AE217" i="7"/>
  <c r="AD217" i="7"/>
  <c r="AC217" i="7"/>
  <c r="AB217" i="7"/>
  <c r="AA217" i="7"/>
  <c r="Z217" i="7"/>
  <c r="Y217" i="7"/>
  <c r="X217" i="7"/>
  <c r="W217" i="7"/>
  <c r="V217" i="7"/>
  <c r="U217" i="7"/>
  <c r="T217" i="7"/>
  <c r="S217" i="7"/>
  <c r="R217" i="7"/>
  <c r="Q217" i="7"/>
  <c r="P217" i="7"/>
  <c r="AN216" i="7"/>
  <c r="AP216" i="7" s="1"/>
  <c r="AP217" i="7" s="1"/>
  <c r="AO211" i="7"/>
  <c r="AN211" i="7"/>
  <c r="AM211" i="7"/>
  <c r="AL211" i="7"/>
  <c r="AK211" i="7"/>
  <c r="AJ211" i="7"/>
  <c r="AI211" i="7"/>
  <c r="AH211" i="7"/>
  <c r="AG211" i="7"/>
  <c r="AF211" i="7"/>
  <c r="AE211" i="7"/>
  <c r="AD211" i="7"/>
  <c r="AC211" i="7"/>
  <c r="AB211" i="7"/>
  <c r="AA211" i="7"/>
  <c r="Z211" i="7"/>
  <c r="Y211" i="7"/>
  <c r="X211" i="7"/>
  <c r="W211" i="7"/>
  <c r="V211" i="7"/>
  <c r="U211" i="7"/>
  <c r="T211" i="7"/>
  <c r="S211" i="7"/>
  <c r="R211" i="7"/>
  <c r="Q211" i="7"/>
  <c r="P210" i="7"/>
  <c r="AO207" i="7"/>
  <c r="AN207" i="7"/>
  <c r="AM207" i="7"/>
  <c r="AK207" i="7"/>
  <c r="AJ207" i="7"/>
  <c r="AI207" i="7"/>
  <c r="AH207" i="7"/>
  <c r="AG207" i="7"/>
  <c r="AF207" i="7"/>
  <c r="AE207" i="7"/>
  <c r="AD207" i="7"/>
  <c r="AC207" i="7"/>
  <c r="AB207" i="7"/>
  <c r="AA207" i="7"/>
  <c r="Z207" i="7"/>
  <c r="Y207" i="7"/>
  <c r="X207" i="7"/>
  <c r="W207" i="7"/>
  <c r="V207" i="7"/>
  <c r="U207" i="7"/>
  <c r="T207" i="7"/>
  <c r="S207" i="7"/>
  <c r="R207" i="7"/>
  <c r="Q207" i="7"/>
  <c r="P207" i="7"/>
  <c r="AL206" i="7"/>
  <c r="AL207" i="7" s="1"/>
  <c r="AO203" i="7"/>
  <c r="AN203" i="7"/>
  <c r="AM203" i="7"/>
  <c r="AK203" i="7"/>
  <c r="AJ203" i="7"/>
  <c r="AI203" i="7"/>
  <c r="AH203" i="7"/>
  <c r="AG203" i="7"/>
  <c r="AF203" i="7"/>
  <c r="AE203" i="7"/>
  <c r="AD203" i="7"/>
  <c r="AC203" i="7"/>
  <c r="AB203" i="7"/>
  <c r="AA203" i="7"/>
  <c r="Z203" i="7"/>
  <c r="Y203" i="7"/>
  <c r="X203" i="7"/>
  <c r="W203" i="7"/>
  <c r="V203" i="7"/>
  <c r="U203" i="7"/>
  <c r="T203" i="7"/>
  <c r="S203" i="7"/>
  <c r="R203" i="7"/>
  <c r="Q203" i="7"/>
  <c r="AL202" i="7"/>
  <c r="P202" i="7"/>
  <c r="AL201" i="7"/>
  <c r="P201" i="7"/>
  <c r="AL200" i="7"/>
  <c r="AP200" i="7" s="1"/>
  <c r="P199" i="7"/>
  <c r="AP199" i="7" s="1"/>
  <c r="AO190" i="7"/>
  <c r="AN190" i="7"/>
  <c r="AM190" i="7"/>
  <c r="AK190" i="7"/>
  <c r="AJ190" i="7"/>
  <c r="AI190" i="7"/>
  <c r="AH190" i="7"/>
  <c r="AG190" i="7"/>
  <c r="AF190" i="7"/>
  <c r="AE190" i="7"/>
  <c r="AD190" i="7"/>
  <c r="AC190" i="7"/>
  <c r="AB190" i="7"/>
  <c r="AA190" i="7"/>
  <c r="Z190" i="7"/>
  <c r="Y190" i="7"/>
  <c r="X190" i="7"/>
  <c r="W190" i="7"/>
  <c r="V190" i="7"/>
  <c r="U190" i="7"/>
  <c r="T190" i="7"/>
  <c r="S190" i="7"/>
  <c r="R190" i="7"/>
  <c r="Q190" i="7"/>
  <c r="P190" i="7"/>
  <c r="AL189" i="7"/>
  <c r="AO186" i="7"/>
  <c r="AN186" i="7"/>
  <c r="AM186" i="7"/>
  <c r="AK186" i="7"/>
  <c r="AJ186" i="7"/>
  <c r="AI186" i="7"/>
  <c r="AH186" i="7"/>
  <c r="AG186" i="7"/>
  <c r="AF186" i="7"/>
  <c r="AE186" i="7"/>
  <c r="AD186" i="7"/>
  <c r="AC186" i="7"/>
  <c r="AB186" i="7"/>
  <c r="AA186" i="7"/>
  <c r="Z186" i="7"/>
  <c r="Y186" i="7"/>
  <c r="X186" i="7"/>
  <c r="W186" i="7"/>
  <c r="V186" i="7"/>
  <c r="U186" i="7"/>
  <c r="T186" i="7"/>
  <c r="S186" i="7"/>
  <c r="R186" i="7"/>
  <c r="Q186" i="7"/>
  <c r="P186" i="7"/>
  <c r="AP185" i="7"/>
  <c r="AL184" i="7"/>
  <c r="AP184" i="7" s="1"/>
  <c r="AL183" i="7"/>
  <c r="AO178" i="7"/>
  <c r="AO179" i="7" s="1"/>
  <c r="AN178" i="7"/>
  <c r="AN179" i="7" s="1"/>
  <c r="AM178" i="7"/>
  <c r="AM179" i="7" s="1"/>
  <c r="AL178" i="7"/>
  <c r="AL179" i="7" s="1"/>
  <c r="AK178" i="7"/>
  <c r="AK179" i="7" s="1"/>
  <c r="AJ178" i="7"/>
  <c r="AJ179" i="7" s="1"/>
  <c r="AI178" i="7"/>
  <c r="AI179" i="7" s="1"/>
  <c r="AH178" i="7"/>
  <c r="AH179" i="7" s="1"/>
  <c r="AG178" i="7"/>
  <c r="AG179" i="7" s="1"/>
  <c r="AF178" i="7"/>
  <c r="AF179" i="7" s="1"/>
  <c r="AE178" i="7"/>
  <c r="AE179" i="7" s="1"/>
  <c r="AD178" i="7"/>
  <c r="AD179" i="7" s="1"/>
  <c r="AC178" i="7"/>
  <c r="AC179" i="7" s="1"/>
  <c r="AB178" i="7"/>
  <c r="AB179" i="7" s="1"/>
  <c r="AA178" i="7"/>
  <c r="AA179" i="7" s="1"/>
  <c r="Z178" i="7"/>
  <c r="Z179" i="7" s="1"/>
  <c r="Y178" i="7"/>
  <c r="Y179" i="7" s="1"/>
  <c r="X178" i="7"/>
  <c r="X179" i="7" s="1"/>
  <c r="W178" i="7"/>
  <c r="W179" i="7" s="1"/>
  <c r="V178" i="7"/>
  <c r="V179" i="7" s="1"/>
  <c r="U178" i="7"/>
  <c r="U179" i="7" s="1"/>
  <c r="T178" i="7"/>
  <c r="T179" i="7" s="1"/>
  <c r="S178" i="7"/>
  <c r="S179" i="7" s="1"/>
  <c r="R178" i="7"/>
  <c r="R179" i="7" s="1"/>
  <c r="Q178" i="7"/>
  <c r="Q179" i="7" s="1"/>
  <c r="P178" i="7"/>
  <c r="P179" i="7" s="1"/>
  <c r="AP177" i="7"/>
  <c r="AP178" i="7" s="1"/>
  <c r="AP179" i="7" s="1"/>
  <c r="A177" i="7"/>
  <c r="AO170" i="7"/>
  <c r="AN170" i="7"/>
  <c r="AM170" i="7"/>
  <c r="AL170" i="7"/>
  <c r="AK170" i="7"/>
  <c r="AJ170" i="7"/>
  <c r="AI170" i="7"/>
  <c r="AH170" i="7"/>
  <c r="AG170" i="7"/>
  <c r="AF170" i="7"/>
  <c r="AE170" i="7"/>
  <c r="AD170" i="7"/>
  <c r="AC170" i="7"/>
  <c r="AB170" i="7"/>
  <c r="AA170" i="7"/>
  <c r="Z170" i="7"/>
  <c r="Y170" i="7"/>
  <c r="X170" i="7"/>
  <c r="W170" i="7"/>
  <c r="V170" i="7"/>
  <c r="U170" i="7"/>
  <c r="T170" i="7"/>
  <c r="S170" i="7"/>
  <c r="R170" i="7"/>
  <c r="Q170" i="7"/>
  <c r="P170" i="7"/>
  <c r="AP169" i="7"/>
  <c r="AP168" i="7"/>
  <c r="AO165" i="7"/>
  <c r="AN165" i="7"/>
  <c r="AM165" i="7"/>
  <c r="AK165" i="7"/>
  <c r="AJ165" i="7"/>
  <c r="AI165" i="7"/>
  <c r="AH165" i="7"/>
  <c r="AG165" i="7"/>
  <c r="AF165" i="7"/>
  <c r="AE165" i="7"/>
  <c r="AD165" i="7"/>
  <c r="AC165" i="7"/>
  <c r="AB165" i="7"/>
  <c r="AA165" i="7"/>
  <c r="Z165" i="7"/>
  <c r="Y165" i="7"/>
  <c r="X165" i="7"/>
  <c r="W165" i="7"/>
  <c r="V165" i="7"/>
  <c r="U165" i="7"/>
  <c r="T165" i="7"/>
  <c r="S165" i="7"/>
  <c r="R165" i="7"/>
  <c r="Q165" i="7"/>
  <c r="P165" i="7"/>
  <c r="AL164" i="7"/>
  <c r="AP164" i="7" s="1"/>
  <c r="AP163" i="7"/>
  <c r="AP162" i="7"/>
  <c r="AP161" i="7"/>
  <c r="AP160" i="7"/>
  <c r="AO155" i="7"/>
  <c r="AN155" i="7"/>
  <c r="AM155" i="7"/>
  <c r="AL155" i="7"/>
  <c r="AK155" i="7"/>
  <c r="AJ155" i="7"/>
  <c r="AI155" i="7"/>
  <c r="AH155" i="7"/>
  <c r="AG155" i="7"/>
  <c r="AF155" i="7"/>
  <c r="AE155" i="7"/>
  <c r="AD155" i="7"/>
  <c r="AC155" i="7"/>
  <c r="AB155" i="7"/>
  <c r="AA155" i="7"/>
  <c r="Z155" i="7"/>
  <c r="Y155" i="7"/>
  <c r="X155" i="7"/>
  <c r="W155" i="7"/>
  <c r="V155" i="7"/>
  <c r="U155" i="7"/>
  <c r="T155" i="7"/>
  <c r="S155" i="7"/>
  <c r="R155" i="7"/>
  <c r="Q155" i="7"/>
  <c r="P155" i="7"/>
  <c r="AP154" i="7"/>
  <c r="AP153" i="7"/>
  <c r="AO150" i="7"/>
  <c r="AN150" i="7"/>
  <c r="AM150" i="7"/>
  <c r="AL150" i="7"/>
  <c r="AK150" i="7"/>
  <c r="AJ150" i="7"/>
  <c r="AI150" i="7"/>
  <c r="AH150" i="7"/>
  <c r="AG150" i="7"/>
  <c r="AF150" i="7"/>
  <c r="AE150" i="7"/>
  <c r="AD150" i="7"/>
  <c r="AC150" i="7"/>
  <c r="AB150" i="7"/>
  <c r="AA150" i="7"/>
  <c r="Z150" i="7"/>
  <c r="Y150" i="7"/>
  <c r="X150" i="7"/>
  <c r="W150" i="7"/>
  <c r="V150" i="7"/>
  <c r="U150" i="7"/>
  <c r="T150" i="7"/>
  <c r="S150" i="7"/>
  <c r="R150" i="7"/>
  <c r="Q150" i="7"/>
  <c r="P150" i="7"/>
  <c r="AP149" i="7"/>
  <c r="AP148" i="7"/>
  <c r="AP147" i="7"/>
  <c r="AO144" i="7"/>
  <c r="AN144" i="7"/>
  <c r="AM144" i="7"/>
  <c r="AK144" i="7"/>
  <c r="AJ144" i="7"/>
  <c r="AI144" i="7"/>
  <c r="AH144" i="7"/>
  <c r="AG144" i="7"/>
  <c r="AF144" i="7"/>
  <c r="AE144" i="7"/>
  <c r="AD144" i="7"/>
  <c r="AC144" i="7"/>
  <c r="AB144" i="7"/>
  <c r="AA144" i="7"/>
  <c r="Z144" i="7"/>
  <c r="Y144" i="7"/>
  <c r="X144" i="7"/>
  <c r="W144" i="7"/>
  <c r="V144" i="7"/>
  <c r="U144" i="7"/>
  <c r="T144" i="7"/>
  <c r="S144" i="7"/>
  <c r="R144" i="7"/>
  <c r="Q144" i="7"/>
  <c r="P144" i="7"/>
  <c r="AL143" i="7"/>
  <c r="AP143" i="7" s="1"/>
  <c r="AP142" i="7"/>
  <c r="AP141" i="7"/>
  <c r="AL140" i="7"/>
  <c r="AP140" i="7" s="1"/>
  <c r="AL139" i="7"/>
  <c r="AO134" i="7"/>
  <c r="AN134" i="7"/>
  <c r="AM134" i="7"/>
  <c r="AL134" i="7"/>
  <c r="AK134" i="7"/>
  <c r="AJ134" i="7"/>
  <c r="AI134" i="7"/>
  <c r="AH134" i="7"/>
  <c r="AG134" i="7"/>
  <c r="AF134" i="7"/>
  <c r="AE134" i="7"/>
  <c r="AD134" i="7"/>
  <c r="AC134" i="7"/>
  <c r="AB134" i="7"/>
  <c r="AA134" i="7"/>
  <c r="Z134" i="7"/>
  <c r="Y134" i="7"/>
  <c r="X134" i="7"/>
  <c r="W134" i="7"/>
  <c r="V134" i="7"/>
  <c r="U134" i="7"/>
  <c r="T134" i="7"/>
  <c r="R134" i="7"/>
  <c r="Q134" i="7"/>
  <c r="P134" i="7"/>
  <c r="AP133" i="7"/>
  <c r="S132" i="7"/>
  <c r="AP131" i="7"/>
  <c r="AP130" i="7"/>
  <c r="AO127" i="7"/>
  <c r="AN127" i="7"/>
  <c r="AM127" i="7"/>
  <c r="AL127" i="7"/>
  <c r="AK127" i="7"/>
  <c r="AJ127" i="7"/>
  <c r="AI127" i="7"/>
  <c r="AH127" i="7"/>
  <c r="AG127" i="7"/>
  <c r="AF127" i="7"/>
  <c r="AE127" i="7"/>
  <c r="AD127" i="7"/>
  <c r="AC127" i="7"/>
  <c r="AB127" i="7"/>
  <c r="AA127" i="7"/>
  <c r="Z127" i="7"/>
  <c r="Y127" i="7"/>
  <c r="X127" i="7"/>
  <c r="W127" i="7"/>
  <c r="V127" i="7"/>
  <c r="U127" i="7"/>
  <c r="T127" i="7"/>
  <c r="R127" i="7"/>
  <c r="Q127" i="7"/>
  <c r="P127" i="7"/>
  <c r="S126" i="7"/>
  <c r="AP126" i="7" s="1"/>
  <c r="S125" i="7"/>
  <c r="AP125" i="7" s="1"/>
  <c r="S124" i="7"/>
  <c r="S123" i="7"/>
  <c r="AP123" i="7" s="1"/>
  <c r="AP122" i="7"/>
  <c r="AO113" i="7"/>
  <c r="AO114" i="7" s="1"/>
  <c r="AO115" i="7" s="1"/>
  <c r="AN113" i="7"/>
  <c r="AN114" i="7" s="1"/>
  <c r="AN115" i="7" s="1"/>
  <c r="AM113" i="7"/>
  <c r="AM114" i="7" s="1"/>
  <c r="AM115" i="7" s="1"/>
  <c r="AL113" i="7"/>
  <c r="AL114" i="7" s="1"/>
  <c r="AL115" i="7" s="1"/>
  <c r="AJ113" i="7"/>
  <c r="AJ114" i="7" s="1"/>
  <c r="AJ115" i="7" s="1"/>
  <c r="AI113" i="7"/>
  <c r="AI114" i="7" s="1"/>
  <c r="AI115" i="7" s="1"/>
  <c r="AH113" i="7"/>
  <c r="AH114" i="7" s="1"/>
  <c r="AH115" i="7" s="1"/>
  <c r="AG113" i="7"/>
  <c r="AG114" i="7" s="1"/>
  <c r="AG115" i="7" s="1"/>
  <c r="AF113" i="7"/>
  <c r="AF114" i="7" s="1"/>
  <c r="AF115" i="7" s="1"/>
  <c r="AE113" i="7"/>
  <c r="AE114" i="7" s="1"/>
  <c r="AE115" i="7" s="1"/>
  <c r="AD113" i="7"/>
  <c r="AD114" i="7" s="1"/>
  <c r="AD115" i="7" s="1"/>
  <c r="AC113" i="7"/>
  <c r="AC114" i="7" s="1"/>
  <c r="AC115" i="7" s="1"/>
  <c r="AB113" i="7"/>
  <c r="AB114" i="7" s="1"/>
  <c r="AB115" i="7" s="1"/>
  <c r="AA113" i="7"/>
  <c r="AA114" i="7" s="1"/>
  <c r="AA115" i="7" s="1"/>
  <c r="Z113" i="7"/>
  <c r="Z114" i="7" s="1"/>
  <c r="Z115" i="7" s="1"/>
  <c r="Y113" i="7"/>
  <c r="Y114" i="7" s="1"/>
  <c r="Y115" i="7" s="1"/>
  <c r="X113" i="7"/>
  <c r="X114" i="7" s="1"/>
  <c r="X115" i="7" s="1"/>
  <c r="W113" i="7"/>
  <c r="W114" i="7" s="1"/>
  <c r="W115" i="7" s="1"/>
  <c r="V113" i="7"/>
  <c r="V114" i="7" s="1"/>
  <c r="V115" i="7" s="1"/>
  <c r="U113" i="7"/>
  <c r="U114" i="7" s="1"/>
  <c r="U115" i="7" s="1"/>
  <c r="T113" i="7"/>
  <c r="T114" i="7" s="1"/>
  <c r="T115" i="7" s="1"/>
  <c r="S113" i="7"/>
  <c r="S114" i="7" s="1"/>
  <c r="S115" i="7" s="1"/>
  <c r="Q113" i="7"/>
  <c r="Q114" i="7" s="1"/>
  <c r="Q115" i="7" s="1"/>
  <c r="P113" i="7"/>
  <c r="P114" i="7" s="1"/>
  <c r="P115" i="7" s="1"/>
  <c r="AP112" i="7"/>
  <c r="AP111" i="7"/>
  <c r="AP110" i="7"/>
  <c r="AK109" i="7"/>
  <c r="AP109" i="7" s="1"/>
  <c r="AK108" i="7"/>
  <c r="R108" i="7"/>
  <c r="R107" i="7"/>
  <c r="AP107" i="7" s="1"/>
  <c r="AO100" i="7"/>
  <c r="AN100" i="7"/>
  <c r="AM100" i="7"/>
  <c r="AK100" i="7"/>
  <c r="AJ100" i="7"/>
  <c r="AI100" i="7"/>
  <c r="AH100" i="7"/>
  <c r="AG100" i="7"/>
  <c r="AF100" i="7"/>
  <c r="AE100" i="7"/>
  <c r="AD100" i="7"/>
  <c r="AC100" i="7"/>
  <c r="AB100" i="7"/>
  <c r="AA100" i="7"/>
  <c r="Z100" i="7"/>
  <c r="Y100" i="7"/>
  <c r="X100" i="7"/>
  <c r="W100" i="7"/>
  <c r="V100" i="7"/>
  <c r="U100" i="7"/>
  <c r="T100" i="7"/>
  <c r="S100" i="7"/>
  <c r="Q100" i="7"/>
  <c r="P100" i="7"/>
  <c r="AP99" i="7"/>
  <c r="AP98" i="7"/>
  <c r="AL97" i="7"/>
  <c r="AL96" i="7"/>
  <c r="AP96" i="7" s="1"/>
  <c r="AP95" i="7"/>
  <c r="R94" i="7"/>
  <c r="AP94" i="7" s="1"/>
  <c r="AP93" i="7"/>
  <c r="R92" i="7"/>
  <c r="AP92" i="7" s="1"/>
  <c r="AO89" i="7"/>
  <c r="AN89" i="7"/>
  <c r="AM89" i="7"/>
  <c r="AK89" i="7"/>
  <c r="AJ89" i="7"/>
  <c r="AI89" i="7"/>
  <c r="AH89" i="7"/>
  <c r="AG89" i="7"/>
  <c r="AF89" i="7"/>
  <c r="AE89" i="7"/>
  <c r="AD89" i="7"/>
  <c r="AC89" i="7"/>
  <c r="AB89" i="7"/>
  <c r="AA89" i="7"/>
  <c r="Z89" i="7"/>
  <c r="Y89" i="7"/>
  <c r="X89" i="7"/>
  <c r="W89" i="7"/>
  <c r="V89" i="7"/>
  <c r="T89" i="7"/>
  <c r="S89" i="7"/>
  <c r="R89" i="7"/>
  <c r="Q89" i="7"/>
  <c r="P89" i="7"/>
  <c r="U87" i="7"/>
  <c r="AN77" i="7"/>
  <c r="AN78" i="7" s="1"/>
  <c r="AN79" i="7" s="1"/>
  <c r="AN80" i="7" s="1"/>
  <c r="AK77" i="7"/>
  <c r="AK78" i="7" s="1"/>
  <c r="AK79" i="7" s="1"/>
  <c r="AK80" i="7" s="1"/>
  <c r="AJ77" i="7"/>
  <c r="AJ78" i="7" s="1"/>
  <c r="AJ79" i="7" s="1"/>
  <c r="AJ80" i="7" s="1"/>
  <c r="AI77" i="7"/>
  <c r="AI78" i="7" s="1"/>
  <c r="AI79" i="7" s="1"/>
  <c r="AI80" i="7" s="1"/>
  <c r="AH77" i="7"/>
  <c r="AH78" i="7" s="1"/>
  <c r="AH79" i="7" s="1"/>
  <c r="AH80" i="7" s="1"/>
  <c r="AG77" i="7"/>
  <c r="AG78" i="7" s="1"/>
  <c r="AG79" i="7" s="1"/>
  <c r="AG80" i="7" s="1"/>
  <c r="AE77" i="7"/>
  <c r="AE78" i="7" s="1"/>
  <c r="AE79" i="7" s="1"/>
  <c r="AE80" i="7" s="1"/>
  <c r="AD77" i="7"/>
  <c r="AD78" i="7" s="1"/>
  <c r="AD79" i="7" s="1"/>
  <c r="AD80" i="7" s="1"/>
  <c r="AC77" i="7"/>
  <c r="AC78" i="7" s="1"/>
  <c r="AC79" i="7" s="1"/>
  <c r="AC80" i="7" s="1"/>
  <c r="AB77" i="7"/>
  <c r="AB78" i="7" s="1"/>
  <c r="AB79" i="7" s="1"/>
  <c r="AB80" i="7" s="1"/>
  <c r="Z77" i="7"/>
  <c r="Z78" i="7" s="1"/>
  <c r="Z79" i="7" s="1"/>
  <c r="Z80" i="7" s="1"/>
  <c r="Y77" i="7"/>
  <c r="Y78" i="7" s="1"/>
  <c r="Y79" i="7" s="1"/>
  <c r="Y80" i="7" s="1"/>
  <c r="X77" i="7"/>
  <c r="X78" i="7" s="1"/>
  <c r="X79" i="7" s="1"/>
  <c r="X80" i="7" s="1"/>
  <c r="W77" i="7"/>
  <c r="W78" i="7" s="1"/>
  <c r="W79" i="7" s="1"/>
  <c r="W80" i="7" s="1"/>
  <c r="V77" i="7"/>
  <c r="V78" i="7" s="1"/>
  <c r="V79" i="7" s="1"/>
  <c r="V80" i="7" s="1"/>
  <c r="U77" i="7"/>
  <c r="U78" i="7" s="1"/>
  <c r="U79" i="7" s="1"/>
  <c r="U80" i="7" s="1"/>
  <c r="S77" i="7"/>
  <c r="S78" i="7" s="1"/>
  <c r="S79" i="7" s="1"/>
  <c r="S80" i="7" s="1"/>
  <c r="R77" i="7"/>
  <c r="R78" i="7" s="1"/>
  <c r="R79" i="7" s="1"/>
  <c r="R80" i="7" s="1"/>
  <c r="Q77" i="7"/>
  <c r="Q78" i="7" s="1"/>
  <c r="Q79" i="7" s="1"/>
  <c r="Q80" i="7" s="1"/>
  <c r="P77" i="7"/>
  <c r="P78" i="7" s="1"/>
  <c r="P79" i="7" s="1"/>
  <c r="P80" i="7" s="1"/>
  <c r="AL76" i="7"/>
  <c r="AP76" i="7" s="1"/>
  <c r="AL75" i="7"/>
  <c r="AP75" i="7" s="1"/>
  <c r="AO74" i="7"/>
  <c r="AO77" i="7" s="1"/>
  <c r="AO78" i="7" s="1"/>
  <c r="AO79" i="7" s="1"/>
  <c r="AO80" i="7" s="1"/>
  <c r="T74" i="7"/>
  <c r="AL73" i="7"/>
  <c r="T73" i="7"/>
  <c r="AL72" i="7"/>
  <c r="AP72" i="7" s="1"/>
  <c r="AO63" i="7"/>
  <c r="AO64" i="7" s="1"/>
  <c r="AN63" i="7"/>
  <c r="AN64" i="7" s="1"/>
  <c r="AM63" i="7"/>
  <c r="AM64" i="7" s="1"/>
  <c r="AK63" i="7"/>
  <c r="AK64" i="7" s="1"/>
  <c r="AJ63" i="7"/>
  <c r="AJ64" i="7" s="1"/>
  <c r="AI63" i="7"/>
  <c r="AI64" i="7" s="1"/>
  <c r="AH63" i="7"/>
  <c r="AH64" i="7" s="1"/>
  <c r="AG63" i="7"/>
  <c r="AG64" i="7" s="1"/>
  <c r="AF63" i="7"/>
  <c r="AF64" i="7" s="1"/>
  <c r="AE63" i="7"/>
  <c r="AE64" i="7" s="1"/>
  <c r="AD63" i="7"/>
  <c r="AD64" i="7" s="1"/>
  <c r="AC63" i="7"/>
  <c r="AC64" i="7" s="1"/>
  <c r="AB63" i="7"/>
  <c r="AB64" i="7" s="1"/>
  <c r="AA63" i="7"/>
  <c r="AA64" i="7" s="1"/>
  <c r="Z63" i="7"/>
  <c r="Z64" i="7" s="1"/>
  <c r="Y63" i="7"/>
  <c r="Y64" i="7" s="1"/>
  <c r="X63" i="7"/>
  <c r="X64" i="7" s="1"/>
  <c r="W63" i="7"/>
  <c r="W64" i="7" s="1"/>
  <c r="V63" i="7"/>
  <c r="V64" i="7" s="1"/>
  <c r="U63" i="7"/>
  <c r="U64" i="7" s="1"/>
  <c r="T63" i="7"/>
  <c r="T64" i="7" s="1"/>
  <c r="S63" i="7"/>
  <c r="S64" i="7" s="1"/>
  <c r="R63" i="7"/>
  <c r="R64" i="7" s="1"/>
  <c r="Q63" i="7"/>
  <c r="Q64" i="7" s="1"/>
  <c r="P63" i="7"/>
  <c r="P64" i="7" s="1"/>
  <c r="AP62" i="7"/>
  <c r="AP61" i="7"/>
  <c r="AP60" i="7"/>
  <c r="AL59" i="7"/>
  <c r="AP59" i="7" s="1"/>
  <c r="AL58" i="7"/>
  <c r="AP58" i="7" s="1"/>
  <c r="AP57" i="7"/>
  <c r="AL56" i="7"/>
  <c r="AP56" i="7" s="1"/>
  <c r="AP55" i="7"/>
  <c r="AP54" i="7"/>
  <c r="AL53" i="7"/>
  <c r="AP53" i="7" s="1"/>
  <c r="AL52" i="7"/>
  <c r="AP52" i="7" s="1"/>
  <c r="AL51" i="7"/>
  <c r="AP51" i="7" s="1"/>
  <c r="AP50" i="7"/>
  <c r="AP49" i="7"/>
  <c r="AL48" i="7"/>
  <c r="AP48" i="7" s="1"/>
  <c r="AP47" i="7"/>
  <c r="AP46" i="7"/>
  <c r="AL45" i="7"/>
  <c r="AO40" i="7"/>
  <c r="AO41" i="7" s="1"/>
  <c r="AN40" i="7"/>
  <c r="AN41" i="7" s="1"/>
  <c r="AM40" i="7"/>
  <c r="AM41" i="7" s="1"/>
  <c r="AK40" i="7"/>
  <c r="AK41" i="7" s="1"/>
  <c r="AJ40" i="7"/>
  <c r="AJ41" i="7" s="1"/>
  <c r="AI40" i="7"/>
  <c r="AI41" i="7" s="1"/>
  <c r="AH40" i="7"/>
  <c r="AH41" i="7" s="1"/>
  <c r="AG40" i="7"/>
  <c r="AG41" i="7" s="1"/>
  <c r="AF40" i="7"/>
  <c r="AF41" i="7" s="1"/>
  <c r="AE40" i="7"/>
  <c r="AE41" i="7" s="1"/>
  <c r="AD40" i="7"/>
  <c r="AD41" i="7" s="1"/>
  <c r="AC40" i="7"/>
  <c r="AC41" i="7" s="1"/>
  <c r="AB40" i="7"/>
  <c r="AB41" i="7" s="1"/>
  <c r="AA40" i="7"/>
  <c r="AA41" i="7" s="1"/>
  <c r="Z40" i="7"/>
  <c r="Z41" i="7" s="1"/>
  <c r="Y40" i="7"/>
  <c r="Y41" i="7" s="1"/>
  <c r="X40" i="7"/>
  <c r="X41" i="7" s="1"/>
  <c r="W40" i="7"/>
  <c r="W41" i="7" s="1"/>
  <c r="V40" i="7"/>
  <c r="V41" i="7" s="1"/>
  <c r="U40" i="7"/>
  <c r="U41" i="7" s="1"/>
  <c r="T40" i="7"/>
  <c r="T41" i="7" s="1"/>
  <c r="S40" i="7"/>
  <c r="S41" i="7" s="1"/>
  <c r="R40" i="7"/>
  <c r="R41" i="7" s="1"/>
  <c r="Q40" i="7"/>
  <c r="Q41" i="7" s="1"/>
  <c r="P40" i="7"/>
  <c r="P41" i="7" s="1"/>
  <c r="AL39" i="7"/>
  <c r="AP39" i="7" s="1"/>
  <c r="AP40" i="7" s="1"/>
  <c r="AP41" i="7" s="1"/>
  <c r="AO34" i="7"/>
  <c r="AN34" i="7"/>
  <c r="AM34" i="7"/>
  <c r="AL34" i="7"/>
  <c r="AK34" i="7"/>
  <c r="AJ34" i="7"/>
  <c r="AI34" i="7"/>
  <c r="AH34" i="7"/>
  <c r="AG34" i="7"/>
  <c r="AF34" i="7"/>
  <c r="AE34" i="7"/>
  <c r="AD34" i="7"/>
  <c r="AC34" i="7"/>
  <c r="AB34" i="7"/>
  <c r="AA34" i="7"/>
  <c r="Z34" i="7"/>
  <c r="Y34" i="7"/>
  <c r="X34" i="7"/>
  <c r="W34" i="7"/>
  <c r="V34" i="7"/>
  <c r="U34" i="7"/>
  <c r="T34" i="7"/>
  <c r="S34" i="7"/>
  <c r="R34" i="7"/>
  <c r="Q34" i="7"/>
  <c r="P34" i="7"/>
  <c r="AP33" i="7"/>
  <c r="AP34" i="7" s="1"/>
  <c r="AO30" i="7"/>
  <c r="AN30" i="7"/>
  <c r="AM30" i="7"/>
  <c r="AL30" i="7"/>
  <c r="AK30" i="7"/>
  <c r="AJ30" i="7"/>
  <c r="AI30" i="7"/>
  <c r="AH30" i="7"/>
  <c r="AG30" i="7"/>
  <c r="AF30" i="7"/>
  <c r="AE30" i="7"/>
  <c r="AD30" i="7"/>
  <c r="AC30" i="7"/>
  <c r="AB30" i="7"/>
  <c r="AA30" i="7"/>
  <c r="Z30" i="7"/>
  <c r="Y30" i="7"/>
  <c r="X30" i="7"/>
  <c r="W30" i="7"/>
  <c r="V30" i="7"/>
  <c r="U30" i="7"/>
  <c r="T30" i="7"/>
  <c r="S30" i="7"/>
  <c r="R30" i="7"/>
  <c r="Q30" i="7"/>
  <c r="P30" i="7"/>
  <c r="AP29" i="7"/>
  <c r="AP30" i="7" s="1"/>
  <c r="AO20" i="7"/>
  <c r="AO21" i="7" s="1"/>
  <c r="AO22" i="7" s="1"/>
  <c r="AO23" i="7" s="1"/>
  <c r="AN20" i="7"/>
  <c r="AN21" i="7" s="1"/>
  <c r="AN22" i="7" s="1"/>
  <c r="AN23" i="7" s="1"/>
  <c r="AM20" i="7"/>
  <c r="AM21" i="7" s="1"/>
  <c r="AM22" i="7" s="1"/>
  <c r="AM23" i="7" s="1"/>
  <c r="AK20" i="7"/>
  <c r="AK21" i="7" s="1"/>
  <c r="AK22" i="7" s="1"/>
  <c r="AK23" i="7" s="1"/>
  <c r="AJ20" i="7"/>
  <c r="AJ21" i="7" s="1"/>
  <c r="AJ22" i="7" s="1"/>
  <c r="AJ23" i="7" s="1"/>
  <c r="AI20" i="7"/>
  <c r="AI21" i="7" s="1"/>
  <c r="AI22" i="7" s="1"/>
  <c r="AI23" i="7" s="1"/>
  <c r="AH20" i="7"/>
  <c r="AH21" i="7" s="1"/>
  <c r="AH22" i="7" s="1"/>
  <c r="AH23" i="7" s="1"/>
  <c r="AG20" i="7"/>
  <c r="AG21" i="7" s="1"/>
  <c r="AG22" i="7" s="1"/>
  <c r="AG23" i="7" s="1"/>
  <c r="AF20" i="7"/>
  <c r="AF21" i="7" s="1"/>
  <c r="AF22" i="7" s="1"/>
  <c r="AF23" i="7" s="1"/>
  <c r="AE20" i="7"/>
  <c r="AE21" i="7" s="1"/>
  <c r="AE22" i="7" s="1"/>
  <c r="AE23" i="7" s="1"/>
  <c r="AD20" i="7"/>
  <c r="AD21" i="7" s="1"/>
  <c r="AD22" i="7" s="1"/>
  <c r="AD23" i="7" s="1"/>
  <c r="AC20" i="7"/>
  <c r="AC21" i="7" s="1"/>
  <c r="AC22" i="7" s="1"/>
  <c r="AC23" i="7" s="1"/>
  <c r="AB20" i="7"/>
  <c r="AB21" i="7" s="1"/>
  <c r="AB22" i="7" s="1"/>
  <c r="AB23" i="7" s="1"/>
  <c r="AA20" i="7"/>
  <c r="AA21" i="7" s="1"/>
  <c r="AA22" i="7" s="1"/>
  <c r="AA23" i="7" s="1"/>
  <c r="Z20" i="7"/>
  <c r="Z21" i="7" s="1"/>
  <c r="Z22" i="7" s="1"/>
  <c r="Z23" i="7" s="1"/>
  <c r="Y20" i="7"/>
  <c r="Y21" i="7" s="1"/>
  <c r="Y22" i="7" s="1"/>
  <c r="Y23" i="7" s="1"/>
  <c r="X20" i="7"/>
  <c r="X21" i="7" s="1"/>
  <c r="X22" i="7" s="1"/>
  <c r="X23" i="7" s="1"/>
  <c r="W20" i="7"/>
  <c r="W21" i="7" s="1"/>
  <c r="W22" i="7" s="1"/>
  <c r="W23" i="7" s="1"/>
  <c r="V20" i="7"/>
  <c r="V21" i="7" s="1"/>
  <c r="V22" i="7" s="1"/>
  <c r="V23" i="7" s="1"/>
  <c r="U20" i="7"/>
  <c r="U21" i="7" s="1"/>
  <c r="U22" i="7" s="1"/>
  <c r="U23" i="7" s="1"/>
  <c r="T20" i="7"/>
  <c r="T21" i="7" s="1"/>
  <c r="T22" i="7" s="1"/>
  <c r="T23" i="7" s="1"/>
  <c r="S20" i="7"/>
  <c r="S21" i="7" s="1"/>
  <c r="S22" i="7" s="1"/>
  <c r="S23" i="7" s="1"/>
  <c r="R20" i="7"/>
  <c r="R21" i="7" s="1"/>
  <c r="R22" i="7" s="1"/>
  <c r="R23" i="7" s="1"/>
  <c r="Q20" i="7"/>
  <c r="Q21" i="7" s="1"/>
  <c r="Q22" i="7" s="1"/>
  <c r="Q23" i="7" s="1"/>
  <c r="P20" i="7"/>
  <c r="P21" i="7" s="1"/>
  <c r="P22" i="7" s="1"/>
  <c r="P23" i="7" s="1"/>
  <c r="AL17" i="7"/>
  <c r="AP17" i="7" s="1"/>
  <c r="AL16" i="7"/>
  <c r="AP16" i="7" s="1"/>
  <c r="AL15" i="7"/>
  <c r="AP15" i="7" s="1"/>
  <c r="AP14" i="7"/>
  <c r="AP13" i="7"/>
  <c r="AP12" i="7"/>
  <c r="AP11" i="7"/>
  <c r="AP386" i="7"/>
  <c r="V393" i="7"/>
  <c r="AL649" i="7"/>
  <c r="AP449" i="7"/>
  <c r="AP450" i="7" s="1"/>
  <c r="AE450" i="7"/>
  <c r="W617" i="7"/>
  <c r="V367" i="7"/>
  <c r="W583" i="7"/>
  <c r="W549" i="7"/>
  <c r="W550" i="7" s="1"/>
  <c r="AP546" i="7"/>
  <c r="AC583" i="7"/>
  <c r="AP566" i="7"/>
  <c r="AP602" i="7"/>
  <c r="AP637" i="7"/>
  <c r="AL680" i="7"/>
  <c r="T77" i="7" l="1"/>
  <c r="T78" i="7" s="1"/>
  <c r="Q632" i="7"/>
  <c r="AP549" i="7"/>
  <c r="AP550" i="7" s="1"/>
  <c r="AA677" i="7"/>
  <c r="AG456" i="7"/>
  <c r="AN217" i="7"/>
  <c r="AN223" i="7" s="1"/>
  <c r="AL506" i="7"/>
  <c r="AE456" i="7"/>
  <c r="Q357" i="7"/>
  <c r="Q358" i="7" s="1"/>
  <c r="AP455" i="7"/>
  <c r="AI436" i="7"/>
  <c r="Q527" i="7"/>
  <c r="Q528" i="7" s="1"/>
  <c r="S707" i="7"/>
  <c r="Z707" i="7"/>
  <c r="AD707" i="7"/>
  <c r="AI707" i="7"/>
  <c r="AG191" i="7"/>
  <c r="AG192" i="7" s="1"/>
  <c r="T695" i="7"/>
  <c r="AH695" i="7"/>
  <c r="S695" i="7"/>
  <c r="AO707" i="7"/>
  <c r="P707" i="7"/>
  <c r="AJ707" i="7"/>
  <c r="AJ223" i="7"/>
  <c r="AL165" i="7"/>
  <c r="AL171" i="7" s="1"/>
  <c r="V135" i="7"/>
  <c r="AN357" i="7"/>
  <c r="AN358" i="7" s="1"/>
  <c r="AH265" i="7"/>
  <c r="U357" i="7"/>
  <c r="U358" i="7" s="1"/>
  <c r="AN436" i="7"/>
  <c r="AB632" i="7"/>
  <c r="AB171" i="7"/>
  <c r="AB695" i="7"/>
  <c r="AG707" i="7"/>
  <c r="AP593" i="7"/>
  <c r="AP206" i="7"/>
  <c r="AP207" i="7" s="1"/>
  <c r="U35" i="7"/>
  <c r="AC35" i="7"/>
  <c r="AC65" i="7" s="1"/>
  <c r="AC66" i="7" s="1"/>
  <c r="AK35" i="7"/>
  <c r="AK65" i="7" s="1"/>
  <c r="AK66" i="7" s="1"/>
  <c r="Z135" i="7"/>
  <c r="AD135" i="7"/>
  <c r="AL135" i="7"/>
  <c r="AN171" i="7"/>
  <c r="AE223" i="7"/>
  <c r="AE294" i="7"/>
  <c r="AE295" i="7" s="1"/>
  <c r="AP569" i="7"/>
  <c r="AL518" i="7"/>
  <c r="AA101" i="7"/>
  <c r="AA102" i="7" s="1"/>
  <c r="AA116" i="7" s="1"/>
  <c r="AE101" i="7"/>
  <c r="AE102" i="7" s="1"/>
  <c r="AE116" i="7" s="1"/>
  <c r="AI101" i="7"/>
  <c r="AI102" i="7" s="1"/>
  <c r="AI116" i="7" s="1"/>
  <c r="AM191" i="7"/>
  <c r="AM192" i="7" s="1"/>
  <c r="T212" i="7"/>
  <c r="AK212" i="7"/>
  <c r="T294" i="7"/>
  <c r="T295" i="7" s="1"/>
  <c r="AL338" i="7"/>
  <c r="AL339" i="7" s="1"/>
  <c r="AL340" i="7" s="1"/>
  <c r="R357" i="7"/>
  <c r="R358" i="7" s="1"/>
  <c r="V357" i="7"/>
  <c r="V358" i="7" s="1"/>
  <c r="P436" i="7"/>
  <c r="AO436" i="7"/>
  <c r="AK456" i="7"/>
  <c r="AB495" i="7"/>
  <c r="AJ495" i="7"/>
  <c r="AP588" i="7"/>
  <c r="W101" i="7"/>
  <c r="W102" i="7" s="1"/>
  <c r="W116" i="7" s="1"/>
  <c r="P495" i="7"/>
  <c r="AG495" i="7"/>
  <c r="T495" i="7"/>
  <c r="AK495" i="7"/>
  <c r="AL256" i="7"/>
  <c r="W294" i="7"/>
  <c r="W295" i="7" s="1"/>
  <c r="AL501" i="7"/>
  <c r="V265" i="7"/>
  <c r="AK618" i="7"/>
  <c r="T632" i="7"/>
  <c r="AP501" i="7"/>
  <c r="P519" i="7"/>
  <c r="AB519" i="7"/>
  <c r="AK519" i="7"/>
  <c r="AP334" i="7"/>
  <c r="AP338" i="7" s="1"/>
  <c r="AP339" i="7" s="1"/>
  <c r="AP340" i="7" s="1"/>
  <c r="AC436" i="7"/>
  <c r="AH436" i="7"/>
  <c r="AL436" i="7"/>
  <c r="Z519" i="7"/>
  <c r="P191" i="7"/>
  <c r="P192" i="7" s="1"/>
  <c r="AC212" i="7"/>
  <c r="Y223" i="7"/>
  <c r="Y294" i="7"/>
  <c r="Y295" i="7" s="1"/>
  <c r="AE357" i="7"/>
  <c r="AE358" i="7" s="1"/>
  <c r="Z436" i="7"/>
  <c r="AE436" i="7"/>
  <c r="AJ436" i="7"/>
  <c r="Q495" i="7"/>
  <c r="U495" i="7"/>
  <c r="AC495" i="7"/>
  <c r="AJ618" i="7"/>
  <c r="AI618" i="7"/>
  <c r="AC660" i="7"/>
  <c r="AH660" i="7"/>
  <c r="AJ456" i="7"/>
  <c r="AB212" i="7"/>
  <c r="AO495" i="7"/>
  <c r="U618" i="7"/>
  <c r="Q294" i="7"/>
  <c r="Q295" i="7" s="1"/>
  <c r="V519" i="7"/>
  <c r="AN519" i="7"/>
  <c r="AP654" i="7"/>
  <c r="U519" i="7"/>
  <c r="AE660" i="7"/>
  <c r="AC695" i="7"/>
  <c r="AP596" i="7"/>
  <c r="AP599" i="7" s="1"/>
  <c r="AP170" i="7"/>
  <c r="AB250" i="7"/>
  <c r="AJ294" i="7"/>
  <c r="AJ295" i="7" s="1"/>
  <c r="AL326" i="7"/>
  <c r="Z156" i="7"/>
  <c r="Q212" i="7"/>
  <c r="AE250" i="7"/>
  <c r="AD327" i="7"/>
  <c r="AD328" i="7" s="1"/>
  <c r="S101" i="7"/>
  <c r="S102" i="7" s="1"/>
  <c r="S116" i="7" s="1"/>
  <c r="T223" i="7"/>
  <c r="AB223" i="7"/>
  <c r="T381" i="7"/>
  <c r="AP435" i="7"/>
  <c r="AP490" i="7"/>
  <c r="AP563" i="7"/>
  <c r="R695" i="7"/>
  <c r="V695" i="7"/>
  <c r="AK695" i="7"/>
  <c r="AI695" i="7"/>
  <c r="AI714" i="7" s="1"/>
  <c r="AI715" i="7" s="1"/>
  <c r="AP702" i="7"/>
  <c r="AP707" i="7" s="1"/>
  <c r="AL203" i="7"/>
  <c r="AL212" i="7" s="1"/>
  <c r="V381" i="7"/>
  <c r="X381" i="7"/>
  <c r="AC381" i="7"/>
  <c r="AP86" i="7"/>
  <c r="AL349" i="7"/>
  <c r="AL350" i="7" s="1"/>
  <c r="AD101" i="7"/>
  <c r="AD102" i="7" s="1"/>
  <c r="AD116" i="7" s="1"/>
  <c r="AJ156" i="7"/>
  <c r="X171" i="7"/>
  <c r="AF171" i="7"/>
  <c r="AJ171" i="7"/>
  <c r="Q156" i="7"/>
  <c r="T135" i="7"/>
  <c r="X135" i="7"/>
  <c r="AF135" i="7"/>
  <c r="T156" i="7"/>
  <c r="AC171" i="7"/>
  <c r="S191" i="7"/>
  <c r="S192" i="7" s="1"/>
  <c r="AC191" i="7"/>
  <c r="AC192" i="7" s="1"/>
  <c r="AN191" i="7"/>
  <c r="AN192" i="7" s="1"/>
  <c r="P203" i="7"/>
  <c r="AJ212" i="7"/>
  <c r="AC250" i="7"/>
  <c r="AG250" i="7"/>
  <c r="Z265" i="7"/>
  <c r="AD265" i="7"/>
  <c r="AM265" i="7"/>
  <c r="AG294" i="7"/>
  <c r="AG295" i="7" s="1"/>
  <c r="AB327" i="7"/>
  <c r="AB328" i="7" s="1"/>
  <c r="AJ327" i="7"/>
  <c r="AJ328" i="7" s="1"/>
  <c r="AM327" i="7"/>
  <c r="AM328" i="7" s="1"/>
  <c r="AG357" i="7"/>
  <c r="AG358" i="7" s="1"/>
  <c r="AK381" i="7"/>
  <c r="AK418" i="7"/>
  <c r="X418" i="7"/>
  <c r="AB418" i="7"/>
  <c r="AH418" i="7"/>
  <c r="S436" i="7"/>
  <c r="AG436" i="7"/>
  <c r="T456" i="7"/>
  <c r="AC456" i="7"/>
  <c r="W456" i="7"/>
  <c r="AO456" i="7"/>
  <c r="S495" i="7"/>
  <c r="Z495" i="7"/>
  <c r="AE495" i="7"/>
  <c r="R495" i="7"/>
  <c r="V495" i="7"/>
  <c r="AI495" i="7"/>
  <c r="AN495" i="7"/>
  <c r="S519" i="7"/>
  <c r="AE519" i="7"/>
  <c r="AJ519" i="7"/>
  <c r="R519" i="7"/>
  <c r="AD519" i="7"/>
  <c r="AI519" i="7"/>
  <c r="Q618" i="7"/>
  <c r="Z618" i="7"/>
  <c r="AH618" i="7"/>
  <c r="P618" i="7"/>
  <c r="T618" i="7"/>
  <c r="S618" i="7"/>
  <c r="AD618" i="7"/>
  <c r="S632" i="7"/>
  <c r="S660" i="7"/>
  <c r="Q660" i="7"/>
  <c r="AB660" i="7"/>
  <c r="R660" i="7"/>
  <c r="AD660" i="7"/>
  <c r="AA695" i="7"/>
  <c r="AJ695" i="7"/>
  <c r="Q707" i="7"/>
  <c r="U707" i="7"/>
  <c r="AB707" i="7"/>
  <c r="AK707" i="7"/>
  <c r="Q327" i="7"/>
  <c r="Q328" i="7" s="1"/>
  <c r="AL702" i="7"/>
  <c r="AL707" i="7" s="1"/>
  <c r="AL490" i="7"/>
  <c r="X669" i="7"/>
  <c r="X670" i="7" s="1"/>
  <c r="AP313" i="7"/>
  <c r="AP525" i="7"/>
  <c r="AL660" i="7"/>
  <c r="AK156" i="7"/>
  <c r="Z171" i="7"/>
  <c r="AH191" i="7"/>
  <c r="AH192" i="7" s="1"/>
  <c r="AC707" i="7"/>
  <c r="AK191" i="7"/>
  <c r="AK192" i="7" s="1"/>
  <c r="AP411" i="7"/>
  <c r="AP413" i="7" s="1"/>
  <c r="AC101" i="7"/>
  <c r="AC102" i="7" s="1"/>
  <c r="AC116" i="7" s="1"/>
  <c r="AK101" i="7"/>
  <c r="AK102" i="7" s="1"/>
  <c r="AM171" i="7"/>
  <c r="U212" i="7"/>
  <c r="AP348" i="7"/>
  <c r="AP349" i="7" s="1"/>
  <c r="AP350" i="7" s="1"/>
  <c r="R381" i="7"/>
  <c r="P156" i="7"/>
  <c r="U191" i="7"/>
  <c r="U192" i="7" s="1"/>
  <c r="P35" i="7"/>
  <c r="P65" i="7" s="1"/>
  <c r="P66" i="7" s="1"/>
  <c r="U89" i="7"/>
  <c r="U101" i="7" s="1"/>
  <c r="U102" i="7" s="1"/>
  <c r="U116" i="7" s="1"/>
  <c r="AM223" i="7"/>
  <c r="W265" i="7"/>
  <c r="AC156" i="7"/>
  <c r="Z250" i="7"/>
  <c r="T327" i="7"/>
  <c r="T328" i="7" s="1"/>
  <c r="AP354" i="7"/>
  <c r="AP355" i="7" s="1"/>
  <c r="AP356" i="7" s="1"/>
  <c r="AL355" i="7"/>
  <c r="AL356" i="7" s="1"/>
  <c r="W327" i="7"/>
  <c r="W328" i="7" s="1"/>
  <c r="AP132" i="7"/>
  <c r="AP134" i="7" s="1"/>
  <c r="S134" i="7"/>
  <c r="AN212" i="7"/>
  <c r="S35" i="7"/>
  <c r="S65" i="7" s="1"/>
  <c r="S66" i="7" s="1"/>
  <c r="W35" i="7"/>
  <c r="W65" i="7" s="1"/>
  <c r="W66" i="7" s="1"/>
  <c r="AA35" i="7"/>
  <c r="AA65" i="7" s="1"/>
  <c r="AA66" i="7" s="1"/>
  <c r="AE35" i="7"/>
  <c r="AE65" i="7" s="1"/>
  <c r="AE66" i="7" s="1"/>
  <c r="AI35" i="7"/>
  <c r="AI65" i="7" s="1"/>
  <c r="AI66" i="7" s="1"/>
  <c r="AM35" i="7"/>
  <c r="AM65" i="7" s="1"/>
  <c r="AM66" i="7" s="1"/>
  <c r="Y101" i="7"/>
  <c r="Y102" i="7" s="1"/>
  <c r="Y116" i="7" s="1"/>
  <c r="AG101" i="7"/>
  <c r="AG102" i="7" s="1"/>
  <c r="AG116" i="7" s="1"/>
  <c r="S156" i="7"/>
  <c r="AA156" i="7"/>
  <c r="AI156" i="7"/>
  <c r="T171" i="7"/>
  <c r="Q171" i="7"/>
  <c r="U171" i="7"/>
  <c r="AF35" i="7"/>
  <c r="AF65" i="7" s="1"/>
  <c r="AF66" i="7" s="1"/>
  <c r="AJ35" i="7"/>
  <c r="AJ65" i="7" s="1"/>
  <c r="AJ66" i="7" s="1"/>
  <c r="AN35" i="7"/>
  <c r="AN65" i="7" s="1"/>
  <c r="AN66" i="7" s="1"/>
  <c r="AM101" i="7"/>
  <c r="AM102" i="7" s="1"/>
  <c r="AM116" i="7" s="1"/>
  <c r="Z101" i="7"/>
  <c r="Z102" i="7" s="1"/>
  <c r="Z116" i="7" s="1"/>
  <c r="R156" i="7"/>
  <c r="V156" i="7"/>
  <c r="AD156" i="7"/>
  <c r="AH156" i="7"/>
  <c r="AO156" i="7"/>
  <c r="X156" i="7"/>
  <c r="AB156" i="7"/>
  <c r="AF156" i="7"/>
  <c r="Q191" i="7"/>
  <c r="Q192" i="7" s="1"/>
  <c r="Y191" i="7"/>
  <c r="Y192" i="7" s="1"/>
  <c r="AP74" i="7"/>
  <c r="AB135" i="7"/>
  <c r="AJ135" i="7"/>
  <c r="V171" i="7"/>
  <c r="AH171" i="7"/>
  <c r="AG381" i="7"/>
  <c r="Q381" i="7"/>
  <c r="AP738" i="7"/>
  <c r="AP741" i="7" s="1"/>
  <c r="AP742" i="7" s="1"/>
  <c r="AP743" i="7" s="1"/>
  <c r="AP744" i="7" s="1"/>
  <c r="P135" i="7"/>
  <c r="AN135" i="7"/>
  <c r="AN156" i="7"/>
  <c r="AG171" i="7"/>
  <c r="R100" i="7"/>
  <c r="R101" i="7" s="1"/>
  <c r="R102" i="7" s="1"/>
  <c r="T35" i="7"/>
  <c r="T65" i="7" s="1"/>
  <c r="T66" i="7" s="1"/>
  <c r="X35" i="7"/>
  <c r="X65" i="7" s="1"/>
  <c r="X66" i="7" s="1"/>
  <c r="AP73" i="7"/>
  <c r="R113" i="7"/>
  <c r="R114" i="7" s="1"/>
  <c r="R115" i="7" s="1"/>
  <c r="W418" i="7"/>
  <c r="AG418" i="7"/>
  <c r="AD632" i="7"/>
  <c r="AG632" i="7"/>
  <c r="AI632" i="7"/>
  <c r="AK632" i="7"/>
  <c r="AN632" i="7"/>
  <c r="AP692" i="7"/>
  <c r="AD35" i="7"/>
  <c r="AD65" i="7" s="1"/>
  <c r="AD66" i="7" s="1"/>
  <c r="Q101" i="7"/>
  <c r="Q102" i="7" s="1"/>
  <c r="Q116" i="7" s="1"/>
  <c r="V101" i="7"/>
  <c r="V102" i="7" s="1"/>
  <c r="V116" i="7" s="1"/>
  <c r="AH101" i="7"/>
  <c r="AH102" i="7" s="1"/>
  <c r="AH116" i="7" s="1"/>
  <c r="AO101" i="7"/>
  <c r="AO102" i="7" s="1"/>
  <c r="AO116" i="7" s="1"/>
  <c r="AF191" i="7"/>
  <c r="AF192" i="7" s="1"/>
  <c r="AO191" i="7"/>
  <c r="AO192" i="7" s="1"/>
  <c r="AP202" i="7"/>
  <c r="X212" i="7"/>
  <c r="AF212" i="7"/>
  <c r="AL20" i="7"/>
  <c r="AL21" i="7" s="1"/>
  <c r="AL22" i="7" s="1"/>
  <c r="AL23" i="7" s="1"/>
  <c r="Y212" i="7"/>
  <c r="AG212" i="7"/>
  <c r="P223" i="7"/>
  <c r="V223" i="7"/>
  <c r="X223" i="7"/>
  <c r="AD223" i="7"/>
  <c r="AF223" i="7"/>
  <c r="AO223" i="7"/>
  <c r="Q223" i="7"/>
  <c r="S223" i="7"/>
  <c r="U223" i="7"/>
  <c r="W223" i="7"/>
  <c r="AA223" i="7"/>
  <c r="AC223" i="7"/>
  <c r="AG223" i="7"/>
  <c r="AI223" i="7"/>
  <c r="AK223" i="7"/>
  <c r="AL236" i="7"/>
  <c r="Q250" i="7"/>
  <c r="U250" i="7"/>
  <c r="W250" i="7"/>
  <c r="Y250" i="7"/>
  <c r="AK250" i="7"/>
  <c r="AN250" i="7"/>
  <c r="P250" i="7"/>
  <c r="V250" i="7"/>
  <c r="X250" i="7"/>
  <c r="AD250" i="7"/>
  <c r="AF250" i="7"/>
  <c r="AO250" i="7"/>
  <c r="T250" i="7"/>
  <c r="AJ250" i="7"/>
  <c r="AM250" i="7"/>
  <c r="AG265" i="7"/>
  <c r="Q265" i="7"/>
  <c r="U265" i="7"/>
  <c r="AE265" i="7"/>
  <c r="AI265" i="7"/>
  <c r="R265" i="7"/>
  <c r="AL279" i="7"/>
  <c r="P294" i="7"/>
  <c r="P295" i="7" s="1"/>
  <c r="R294" i="7"/>
  <c r="R295" i="7" s="1"/>
  <c r="X294" i="7"/>
  <c r="X295" i="7" s="1"/>
  <c r="Z294" i="7"/>
  <c r="Z295" i="7" s="1"/>
  <c r="AD294" i="7"/>
  <c r="AD295" i="7" s="1"/>
  <c r="AF294" i="7"/>
  <c r="AF295" i="7" s="1"/>
  <c r="S294" i="7"/>
  <c r="S295" i="7" s="1"/>
  <c r="U294" i="7"/>
  <c r="U295" i="7" s="1"/>
  <c r="AA294" i="7"/>
  <c r="AA295" i="7" s="1"/>
  <c r="AC294" i="7"/>
  <c r="AC295" i="7" s="1"/>
  <c r="AI294" i="7"/>
  <c r="AI295" i="7" s="1"/>
  <c r="AK294" i="7"/>
  <c r="AK295" i="7" s="1"/>
  <c r="AN294" i="7"/>
  <c r="AN295" i="7" s="1"/>
  <c r="V294" i="7"/>
  <c r="V295" i="7" s="1"/>
  <c r="AB294" i="7"/>
  <c r="AB295" i="7" s="1"/>
  <c r="AB341" i="7" s="1"/>
  <c r="AH294" i="7"/>
  <c r="AH295" i="7" s="1"/>
  <c r="AM294" i="7"/>
  <c r="AM295" i="7" s="1"/>
  <c r="AO294" i="7"/>
  <c r="AO295" i="7" s="1"/>
  <c r="U327" i="7"/>
  <c r="U328" i="7" s="1"/>
  <c r="Y327" i="7"/>
  <c r="Y328" i="7" s="1"/>
  <c r="AC327" i="7"/>
  <c r="AC328" i="7" s="1"/>
  <c r="AE327" i="7"/>
  <c r="AE328" i="7" s="1"/>
  <c r="AG327" i="7"/>
  <c r="AG328" i="7" s="1"/>
  <c r="AI327" i="7"/>
  <c r="AI328" i="7" s="1"/>
  <c r="AK327" i="7"/>
  <c r="AK328" i="7" s="1"/>
  <c r="AN327" i="7"/>
  <c r="AN328" i="7" s="1"/>
  <c r="P327" i="7"/>
  <c r="P328" i="7" s="1"/>
  <c r="R327" i="7"/>
  <c r="R328" i="7" s="1"/>
  <c r="V327" i="7"/>
  <c r="V328" i="7" s="1"/>
  <c r="X327" i="7"/>
  <c r="X328" i="7" s="1"/>
  <c r="Z327" i="7"/>
  <c r="Z328" i="7" s="1"/>
  <c r="AF327" i="7"/>
  <c r="AF328" i="7" s="1"/>
  <c r="AH327" i="7"/>
  <c r="AH328" i="7" s="1"/>
  <c r="AO327" i="7"/>
  <c r="AO328" i="7" s="1"/>
  <c r="AD357" i="7"/>
  <c r="AD358" i="7" s="1"/>
  <c r="AI357" i="7"/>
  <c r="AI358" i="7" s="1"/>
  <c r="S357" i="7"/>
  <c r="S358" i="7" s="1"/>
  <c r="Z357" i="7"/>
  <c r="Z358" i="7" s="1"/>
  <c r="AJ357" i="7"/>
  <c r="AJ358" i="7" s="1"/>
  <c r="AO357" i="7"/>
  <c r="AO358" i="7" s="1"/>
  <c r="P381" i="7"/>
  <c r="R418" i="7"/>
  <c r="AC418" i="7"/>
  <c r="AH456" i="7"/>
  <c r="AL456" i="7"/>
  <c r="AD495" i="7"/>
  <c r="AC618" i="7"/>
  <c r="AN695" i="7"/>
  <c r="AE418" i="7"/>
  <c r="AJ418" i="7"/>
  <c r="T436" i="7"/>
  <c r="Q436" i="7"/>
  <c r="AB436" i="7"/>
  <c r="AK436" i="7"/>
  <c r="AP442" i="7"/>
  <c r="AN456" i="7"/>
  <c r="P456" i="7"/>
  <c r="X456" i="7"/>
  <c r="Z456" i="7"/>
  <c r="AP632" i="7"/>
  <c r="U632" i="7"/>
  <c r="AE632" i="7"/>
  <c r="AH632" i="7"/>
  <c r="AJ632" i="7"/>
  <c r="AL632" i="7"/>
  <c r="AO632" i="7"/>
  <c r="U660" i="7"/>
  <c r="AK660" i="7"/>
  <c r="T660" i="7"/>
  <c r="V660" i="7"/>
  <c r="Z660" i="7"/>
  <c r="AJ660" i="7"/>
  <c r="AN660" i="7"/>
  <c r="Z695" i="7"/>
  <c r="AO695" i="7"/>
  <c r="AL89" i="7"/>
  <c r="V191" i="7"/>
  <c r="V192" i="7" s="1"/>
  <c r="Z191" i="7"/>
  <c r="Z192" i="7" s="1"/>
  <c r="AB191" i="7"/>
  <c r="AB192" i="7" s="1"/>
  <c r="AD191" i="7"/>
  <c r="AD192" i="7" s="1"/>
  <c r="AJ191" i="7"/>
  <c r="AJ192" i="7" s="1"/>
  <c r="AP221" i="7"/>
  <c r="AP222" i="7" s="1"/>
  <c r="AP223" i="7" s="1"/>
  <c r="AL222" i="7"/>
  <c r="AL223" i="7" s="1"/>
  <c r="R250" i="7"/>
  <c r="AH250" i="7"/>
  <c r="S265" i="7"/>
  <c r="AA265" i="7"/>
  <c r="AP124" i="7"/>
  <c r="S127" i="7"/>
  <c r="AK265" i="7"/>
  <c r="Z381" i="7"/>
  <c r="S418" i="7"/>
  <c r="P418" i="7"/>
  <c r="AG660" i="7"/>
  <c r="AN712" i="7"/>
  <c r="AN713" i="7" s="1"/>
  <c r="AP711" i="7"/>
  <c r="AP712" i="7" s="1"/>
  <c r="AP713" i="7" s="1"/>
  <c r="AP88" i="7"/>
  <c r="AP678" i="7"/>
  <c r="AP680" i="7" s="1"/>
  <c r="AL418" i="7"/>
  <c r="AP273" i="7"/>
  <c r="AP279" i="7" s="1"/>
  <c r="AL293" i="7"/>
  <c r="AL313" i="7"/>
  <c r="AL284" i="7"/>
  <c r="AP256" i="7"/>
  <c r="AN265" i="7"/>
  <c r="AP231" i="7"/>
  <c r="AP236" i="7" s="1"/>
  <c r="AL77" i="7"/>
  <c r="AP77" i="7" s="1"/>
  <c r="AP364" i="7"/>
  <c r="AP367" i="7" s="1"/>
  <c r="AP263" i="7"/>
  <c r="AP264" i="7" s="1"/>
  <c r="T101" i="7"/>
  <c r="T102" i="7" s="1"/>
  <c r="T116" i="7" s="1"/>
  <c r="Q135" i="7"/>
  <c r="AP139" i="7"/>
  <c r="AP144" i="7" s="1"/>
  <c r="AL144" i="7"/>
  <c r="AL156" i="7" s="1"/>
  <c r="Y156" i="7"/>
  <c r="R171" i="7"/>
  <c r="AL472" i="7"/>
  <c r="AL473" i="7" s="1"/>
  <c r="AP470" i="7"/>
  <c r="AP472" i="7" s="1"/>
  <c r="AP473" i="7" s="1"/>
  <c r="AH495" i="7"/>
  <c r="V618" i="7"/>
  <c r="Q695" i="7"/>
  <c r="AD695" i="7"/>
  <c r="P695" i="7"/>
  <c r="Z35" i="7"/>
  <c r="Z65" i="7" s="1"/>
  <c r="Z66" i="7" s="1"/>
  <c r="AC135" i="7"/>
  <c r="AK135" i="7"/>
  <c r="AP201" i="7"/>
  <c r="AP284" i="7"/>
  <c r="AO381" i="7"/>
  <c r="AP376" i="7"/>
  <c r="AN381" i="7"/>
  <c r="Q519" i="7"/>
  <c r="Q529" i="7" s="1"/>
  <c r="Q530" i="7" s="1"/>
  <c r="AH519" i="7"/>
  <c r="W632" i="7"/>
  <c r="V632" i="7"/>
  <c r="AC632" i="7"/>
  <c r="AM669" i="7"/>
  <c r="AM670" i="7" s="1"/>
  <c r="AP667" i="7"/>
  <c r="AP668" i="7" s="1"/>
  <c r="R729" i="7"/>
  <c r="R730" i="7" s="1"/>
  <c r="R731" i="7" s="1"/>
  <c r="R732" i="7" s="1"/>
  <c r="AP727" i="7"/>
  <c r="AP728" i="7"/>
  <c r="Y381" i="7"/>
  <c r="AO583" i="7"/>
  <c r="AO618" i="7" s="1"/>
  <c r="AP580" i="7"/>
  <c r="AP583" i="7" s="1"/>
  <c r="AE618" i="7"/>
  <c r="R618" i="7"/>
  <c r="AB618" i="7"/>
  <c r="AG618" i="7"/>
  <c r="AN618" i="7"/>
  <c r="P632" i="7"/>
  <c r="Z632" i="7"/>
  <c r="AP35" i="7"/>
  <c r="AL63" i="7"/>
  <c r="AL64" i="7" s="1"/>
  <c r="AP45" i="7"/>
  <c r="AP63" i="7" s="1"/>
  <c r="AP64" i="7" s="1"/>
  <c r="AP97" i="7"/>
  <c r="AP100" i="7" s="1"/>
  <c r="AL100" i="7"/>
  <c r="U156" i="7"/>
  <c r="AG156" i="7"/>
  <c r="AP239" i="7"/>
  <c r="AP243" i="7" s="1"/>
  <c r="AL243" i="7"/>
  <c r="AP316" i="7"/>
  <c r="AP320" i="7" s="1"/>
  <c r="AL320" i="7"/>
  <c r="AP326" i="7"/>
  <c r="R35" i="7"/>
  <c r="R65" i="7" s="1"/>
  <c r="R66" i="7" s="1"/>
  <c r="U65" i="7"/>
  <c r="U66" i="7" s="1"/>
  <c r="V35" i="7"/>
  <c r="V65" i="7" s="1"/>
  <c r="V66" i="7" s="1"/>
  <c r="AB35" i="7"/>
  <c r="AB65" i="7" s="1"/>
  <c r="AB66" i="7" s="1"/>
  <c r="W171" i="7"/>
  <c r="AE171" i="7"/>
  <c r="AE212" i="7"/>
  <c r="AP246" i="7"/>
  <c r="AP249" i="7" s="1"/>
  <c r="AL249" i="7"/>
  <c r="AH35" i="7"/>
  <c r="AH65" i="7" s="1"/>
  <c r="AH66" i="7" s="1"/>
  <c r="AL35" i="7"/>
  <c r="X101" i="7"/>
  <c r="X102" i="7" s="1"/>
  <c r="X116" i="7" s="1"/>
  <c r="AB101" i="7"/>
  <c r="AB102" i="7" s="1"/>
  <c r="AB116" i="7" s="1"/>
  <c r="AF101" i="7"/>
  <c r="AF102" i="7" s="1"/>
  <c r="AF116" i="7" s="1"/>
  <c r="AJ101" i="7"/>
  <c r="AJ102" i="7" s="1"/>
  <c r="AJ116" i="7" s="1"/>
  <c r="P101" i="7"/>
  <c r="P102" i="7" s="1"/>
  <c r="P116" i="7" s="1"/>
  <c r="AP108" i="7"/>
  <c r="AP113" i="7" s="1"/>
  <c r="AP114" i="7" s="1"/>
  <c r="AP115" i="7" s="1"/>
  <c r="AH135" i="7"/>
  <c r="W135" i="7"/>
  <c r="AI135" i="7"/>
  <c r="S171" i="7"/>
  <c r="T191" i="7"/>
  <c r="T192" i="7" s="1"/>
  <c r="X191" i="7"/>
  <c r="X192" i="7" s="1"/>
  <c r="AA191" i="7"/>
  <c r="AA192" i="7" s="1"/>
  <c r="AI212" i="7"/>
  <c r="AO212" i="7"/>
  <c r="S250" i="7"/>
  <c r="P265" i="7"/>
  <c r="X265" i="7"/>
  <c r="U418" i="7"/>
  <c r="AO418" i="7"/>
  <c r="AP477" i="7"/>
  <c r="AP478" i="7" s="1"/>
  <c r="AL478" i="7"/>
  <c r="AP513" i="7"/>
  <c r="AP514" i="7" s="1"/>
  <c r="AL514" i="7"/>
  <c r="AP523" i="7"/>
  <c r="AL527" i="7"/>
  <c r="AL528" i="7" s="1"/>
  <c r="AP693" i="7"/>
  <c r="AL694" i="7"/>
  <c r="V406" i="7"/>
  <c r="V418" i="7" s="1"/>
  <c r="AP404" i="7"/>
  <c r="AP406" i="7" s="1"/>
  <c r="AH381" i="7"/>
  <c r="AJ381" i="7"/>
  <c r="R436" i="7"/>
  <c r="V436" i="7"/>
  <c r="AP639" i="7"/>
  <c r="AH707" i="7"/>
  <c r="T79" i="7"/>
  <c r="T80" i="7" s="1"/>
  <c r="Q35" i="7"/>
  <c r="Q65" i="7" s="1"/>
  <c r="Q66" i="7" s="1"/>
  <c r="Y35" i="7"/>
  <c r="Y65" i="7" s="1"/>
  <c r="Y66" i="7" s="1"/>
  <c r="AG35" i="7"/>
  <c r="AG65" i="7" s="1"/>
  <c r="AG66" i="7" s="1"/>
  <c r="AO35" i="7"/>
  <c r="AO65" i="7" s="1"/>
  <c r="AO66" i="7" s="1"/>
  <c r="AL40" i="7"/>
  <c r="AL41" i="7" s="1"/>
  <c r="AN101" i="7"/>
  <c r="AN102" i="7" s="1"/>
  <c r="AN116" i="7" s="1"/>
  <c r="AK113" i="7"/>
  <c r="AK114" i="7" s="1"/>
  <c r="AK115" i="7" s="1"/>
  <c r="U135" i="7"/>
  <c r="Y135" i="7"/>
  <c r="AG135" i="7"/>
  <c r="AM135" i="7"/>
  <c r="R135" i="7"/>
  <c r="W156" i="7"/>
  <c r="AE156" i="7"/>
  <c r="AA171" i="7"/>
  <c r="AI171" i="7"/>
  <c r="AL186" i="7"/>
  <c r="AP183" i="7"/>
  <c r="AP186" i="7" s="1"/>
  <c r="R191" i="7"/>
  <c r="R192" i="7" s="1"/>
  <c r="AE191" i="7"/>
  <c r="AE192" i="7" s="1"/>
  <c r="S212" i="7"/>
  <c r="AA212" i="7"/>
  <c r="AM212" i="7"/>
  <c r="Z223" i="7"/>
  <c r="AA135" i="7"/>
  <c r="AE135" i="7"/>
  <c r="AO135" i="7"/>
  <c r="AL190" i="7"/>
  <c r="AP189" i="7"/>
  <c r="AP190" i="7" s="1"/>
  <c r="AP210" i="7"/>
  <c r="AP211" i="7" s="1"/>
  <c r="P211" i="7"/>
  <c r="W212" i="7"/>
  <c r="R223" i="7"/>
  <c r="AL260" i="7"/>
  <c r="AP259" i="7"/>
  <c r="AP260" i="7" s="1"/>
  <c r="AO265" i="7"/>
  <c r="T357" i="7"/>
  <c r="T358" i="7" s="1"/>
  <c r="S327" i="7"/>
  <c r="S328" i="7" s="1"/>
  <c r="AA327" i="7"/>
  <c r="AA328" i="7" s="1"/>
  <c r="AC357" i="7"/>
  <c r="AC358" i="7" s="1"/>
  <c r="AK357" i="7"/>
  <c r="AK358" i="7" s="1"/>
  <c r="Q418" i="7"/>
  <c r="Z418" i="7"/>
  <c r="AD456" i="7"/>
  <c r="Q456" i="7"/>
  <c r="U456" i="7"/>
  <c r="Y456" i="7"/>
  <c r="AB456" i="7"/>
  <c r="AI456" i="7"/>
  <c r="T519" i="7"/>
  <c r="AE695" i="7"/>
  <c r="AM156" i="7"/>
  <c r="AD171" i="7"/>
  <c r="P171" i="7"/>
  <c r="Y171" i="7"/>
  <c r="AK171" i="7"/>
  <c r="AO171" i="7"/>
  <c r="T265" i="7"/>
  <c r="AF265" i="7"/>
  <c r="AJ265" i="7"/>
  <c r="AP304" i="7"/>
  <c r="AH357" i="7"/>
  <c r="AH358" i="7" s="1"/>
  <c r="AD381" i="7"/>
  <c r="S381" i="7"/>
  <c r="U381" i="7"/>
  <c r="W381" i="7"/>
  <c r="AB381" i="7"/>
  <c r="AI381" i="7"/>
  <c r="AI418" i="7"/>
  <c r="T418" i="7"/>
  <c r="AD418" i="7"/>
  <c r="AN418" i="7"/>
  <c r="Y418" i="7"/>
  <c r="U436" i="7"/>
  <c r="AD436" i="7"/>
  <c r="S456" i="7"/>
  <c r="R456" i="7"/>
  <c r="V456" i="7"/>
  <c r="P660" i="7"/>
  <c r="AL688" i="7"/>
  <c r="AP687" i="7"/>
  <c r="AP688" i="7" s="1"/>
  <c r="AG519" i="7"/>
  <c r="AL618" i="7"/>
  <c r="AP611" i="7"/>
  <c r="Y669" i="7"/>
  <c r="Y670" i="7" s="1"/>
  <c r="AP659" i="7"/>
  <c r="AG695" i="7"/>
  <c r="T707" i="7"/>
  <c r="V707" i="7"/>
  <c r="AE381" i="7"/>
  <c r="W660" i="7"/>
  <c r="AP617" i="7"/>
  <c r="AP606" i="7"/>
  <c r="AP150" i="7"/>
  <c r="AP165" i="7"/>
  <c r="V212" i="7"/>
  <c r="Z212" i="7"/>
  <c r="AD212" i="7"/>
  <c r="AP87" i="7"/>
  <c r="W191" i="7"/>
  <c r="W192" i="7" s="1"/>
  <c r="AI191" i="7"/>
  <c r="AI192" i="7" s="1"/>
  <c r="AH212" i="7"/>
  <c r="AH223" i="7"/>
  <c r="AA250" i="7"/>
  <c r="Y265" i="7"/>
  <c r="AB265" i="7"/>
  <c r="P357" i="7"/>
  <c r="P358" i="7" s="1"/>
  <c r="AB357" i="7"/>
  <c r="AB358" i="7" s="1"/>
  <c r="R212" i="7"/>
  <c r="AI250" i="7"/>
  <c r="AC265" i="7"/>
  <c r="AP293" i="7"/>
  <c r="AL381" i="7"/>
  <c r="AP484" i="7"/>
  <c r="AL484" i="7"/>
  <c r="AO519" i="7"/>
  <c r="AI660" i="7"/>
  <c r="AP726" i="7"/>
  <c r="AN729" i="7"/>
  <c r="AN730" i="7" s="1"/>
  <c r="AN731" i="7" s="1"/>
  <c r="AN732" i="7" s="1"/>
  <c r="AP379" i="7"/>
  <c r="AP380" i="7" s="1"/>
  <c r="AP393" i="7"/>
  <c r="AP427" i="7"/>
  <c r="AP506" i="7"/>
  <c r="AC519" i="7"/>
  <c r="R632" i="7"/>
  <c r="AO660" i="7"/>
  <c r="U695" i="7"/>
  <c r="AA707" i="7"/>
  <c r="AP721" i="7"/>
  <c r="AP722" i="7" s="1"/>
  <c r="AP725" i="7"/>
  <c r="AP509" i="7"/>
  <c r="AP510" i="7" s="1"/>
  <c r="AP649" i="7"/>
  <c r="R707" i="7"/>
  <c r="AE707" i="7"/>
  <c r="W618" i="7"/>
  <c r="AP556" i="7"/>
  <c r="AP575" i="7"/>
  <c r="AP20" i="7"/>
  <c r="AP127" i="7"/>
  <c r="AP155" i="7"/>
  <c r="P529" i="7" l="1"/>
  <c r="P530" i="7" s="1"/>
  <c r="AH714" i="7"/>
  <c r="AH715" i="7" s="1"/>
  <c r="AJ714" i="7"/>
  <c r="AJ715" i="7" s="1"/>
  <c r="AA224" i="7"/>
  <c r="AA225" i="7" s="1"/>
  <c r="Z266" i="7"/>
  <c r="Z267" i="7" s="1"/>
  <c r="T714" i="7"/>
  <c r="T715" i="7" s="1"/>
  <c r="AA341" i="7"/>
  <c r="X266" i="7"/>
  <c r="X267" i="7" s="1"/>
  <c r="AH266" i="7"/>
  <c r="AH267" i="7" s="1"/>
  <c r="AE224" i="7"/>
  <c r="AE225" i="7" s="1"/>
  <c r="X341" i="7"/>
  <c r="AO714" i="7"/>
  <c r="AO715" i="7" s="1"/>
  <c r="AI266" i="7"/>
  <c r="AI267" i="7" s="1"/>
  <c r="AK224" i="7"/>
  <c r="AK225" i="7" s="1"/>
  <c r="Y224" i="7"/>
  <c r="Y225" i="7" s="1"/>
  <c r="AP456" i="7"/>
  <c r="AE266" i="7"/>
  <c r="AE267" i="7" s="1"/>
  <c r="AB529" i="7"/>
  <c r="AB530" i="7" s="1"/>
  <c r="V266" i="7"/>
  <c r="V267" i="7" s="1"/>
  <c r="R714" i="7"/>
  <c r="R715" i="7" s="1"/>
  <c r="AA266" i="7"/>
  <c r="AA267" i="7" s="1"/>
  <c r="AL265" i="7"/>
  <c r="U529" i="7"/>
  <c r="U530" i="7" s="1"/>
  <c r="AD529" i="7"/>
  <c r="AD530" i="7" s="1"/>
  <c r="AD669" i="7"/>
  <c r="AD670" i="7" s="1"/>
  <c r="W341" i="7"/>
  <c r="U714" i="7"/>
  <c r="U715" i="7" s="1"/>
  <c r="AE341" i="7"/>
  <c r="S714" i="7"/>
  <c r="S715" i="7" s="1"/>
  <c r="S224" i="7"/>
  <c r="S225" i="7" s="1"/>
  <c r="U669" i="7"/>
  <c r="U670" i="7" s="1"/>
  <c r="W266" i="7"/>
  <c r="W267" i="7" s="1"/>
  <c r="AC529" i="7"/>
  <c r="AC530" i="7" s="1"/>
  <c r="AJ529" i="7"/>
  <c r="AJ530" i="7" s="1"/>
  <c r="Z529" i="7"/>
  <c r="Z530" i="7" s="1"/>
  <c r="AK529" i="7"/>
  <c r="AK530" i="7" s="1"/>
  <c r="AO529" i="7"/>
  <c r="AO530" i="7" s="1"/>
  <c r="AH669" i="7"/>
  <c r="AH670" i="7" s="1"/>
  <c r="T172" i="7"/>
  <c r="T193" i="7" s="1"/>
  <c r="AL101" i="7"/>
  <c r="AL102" i="7" s="1"/>
  <c r="AL116" i="7" s="1"/>
  <c r="AP203" i="7"/>
  <c r="AP212" i="7" s="1"/>
  <c r="AP224" i="7" s="1"/>
  <c r="AP225" i="7" s="1"/>
  <c r="AB224" i="7"/>
  <c r="AB225" i="7" s="1"/>
  <c r="T341" i="7"/>
  <c r="X172" i="7"/>
  <c r="X193" i="7" s="1"/>
  <c r="Y341" i="7"/>
  <c r="AG714" i="7"/>
  <c r="AG715" i="7" s="1"/>
  <c r="AK714" i="7"/>
  <c r="AK715" i="7" s="1"/>
  <c r="AG529" i="7"/>
  <c r="AG530" i="7" s="1"/>
  <c r="T266" i="7"/>
  <c r="T267" i="7" s="1"/>
  <c r="AK172" i="7"/>
  <c r="AK193" i="7" s="1"/>
  <c r="AP694" i="7"/>
  <c r="AP695" i="7" s="1"/>
  <c r="AP714" i="7" s="1"/>
  <c r="AP715" i="7" s="1"/>
  <c r="AO224" i="7"/>
  <c r="AO225" i="7" s="1"/>
  <c r="Q714" i="7"/>
  <c r="Q715" i="7" s="1"/>
  <c r="Z714" i="7"/>
  <c r="Z715" i="7" s="1"/>
  <c r="AG341" i="7"/>
  <c r="Q224" i="7"/>
  <c r="Q225" i="7" s="1"/>
  <c r="AF172" i="7"/>
  <c r="AF193" i="7" s="1"/>
  <c r="P266" i="7"/>
  <c r="P267" i="7" s="1"/>
  <c r="AC714" i="7"/>
  <c r="AC715" i="7" s="1"/>
  <c r="P714" i="7"/>
  <c r="P715" i="7" s="1"/>
  <c r="AK116" i="7"/>
  <c r="AC669" i="7"/>
  <c r="AC670" i="7" s="1"/>
  <c r="AD714" i="7"/>
  <c r="AD715" i="7" s="1"/>
  <c r="AM341" i="7"/>
  <c r="AL357" i="7"/>
  <c r="AL358" i="7" s="1"/>
  <c r="AJ224" i="7"/>
  <c r="AJ225" i="7" s="1"/>
  <c r="AB266" i="7"/>
  <c r="AB267" i="7" s="1"/>
  <c r="AL172" i="7"/>
  <c r="AM266" i="7"/>
  <c r="AM267" i="7" s="1"/>
  <c r="AN529" i="7"/>
  <c r="AN530" i="7" s="1"/>
  <c r="Z463" i="7"/>
  <c r="Z464" i="7" s="1"/>
  <c r="P212" i="7"/>
  <c r="P224" i="7" s="1"/>
  <c r="P225" i="7" s="1"/>
  <c r="AN224" i="7"/>
  <c r="AN225" i="7" s="1"/>
  <c r="AB714" i="7"/>
  <c r="AB715" i="7" s="1"/>
  <c r="AI529" i="7"/>
  <c r="AI530" i="7" s="1"/>
  <c r="AE669" i="7"/>
  <c r="AE670" i="7" s="1"/>
  <c r="V529" i="7"/>
  <c r="V530" i="7" s="1"/>
  <c r="T529" i="7"/>
  <c r="T530" i="7" s="1"/>
  <c r="AO266" i="7"/>
  <c r="AO267" i="7" s="1"/>
  <c r="AB669" i="7"/>
  <c r="AB670" i="7" s="1"/>
  <c r="AI669" i="7"/>
  <c r="AI670" i="7" s="1"/>
  <c r="AP65" i="7"/>
  <c r="AP66" i="7" s="1"/>
  <c r="AP89" i="7"/>
  <c r="AP101" i="7" s="1"/>
  <c r="AP102" i="7" s="1"/>
  <c r="AP116" i="7" s="1"/>
  <c r="AD172" i="7"/>
  <c r="AD193" i="7" s="1"/>
  <c r="AG172" i="7"/>
  <c r="AG193" i="7" s="1"/>
  <c r="AL78" i="7"/>
  <c r="AL79" i="7" s="1"/>
  <c r="AL80" i="7" s="1"/>
  <c r="AP80" i="7" s="1"/>
  <c r="T669" i="7"/>
  <c r="T670" i="7" s="1"/>
  <c r="AC224" i="7"/>
  <c r="AC225" i="7" s="1"/>
  <c r="AJ341" i="7"/>
  <c r="T224" i="7"/>
  <c r="T225" i="7" s="1"/>
  <c r="T463" i="7"/>
  <c r="T464" i="7" s="1"/>
  <c r="AL519" i="7"/>
  <c r="AP171" i="7"/>
  <c r="W224" i="7"/>
  <c r="W225" i="7" s="1"/>
  <c r="X463" i="7"/>
  <c r="X464" i="7" s="1"/>
  <c r="AG266" i="7"/>
  <c r="AG267" i="7" s="1"/>
  <c r="AN266" i="7"/>
  <c r="AN267" i="7" s="1"/>
  <c r="AN172" i="7"/>
  <c r="AN193" i="7" s="1"/>
  <c r="V172" i="7"/>
  <c r="V193" i="7" s="1"/>
  <c r="S529" i="7"/>
  <c r="S530" i="7" s="1"/>
  <c r="V341" i="7"/>
  <c r="AO341" i="7"/>
  <c r="R116" i="7"/>
  <c r="AP527" i="7"/>
  <c r="AP528" i="7" s="1"/>
  <c r="R266" i="7"/>
  <c r="R267" i="7" s="1"/>
  <c r="AD341" i="7"/>
  <c r="Q341" i="7"/>
  <c r="S669" i="7"/>
  <c r="S670" i="7" s="1"/>
  <c r="R529" i="7"/>
  <c r="R530" i="7" s="1"/>
  <c r="AE529" i="7"/>
  <c r="AE530" i="7" s="1"/>
  <c r="AE714" i="7"/>
  <c r="AE715" i="7" s="1"/>
  <c r="AL495" i="7"/>
  <c r="AC463" i="7"/>
  <c r="AC464" i="7" s="1"/>
  <c r="U266" i="7"/>
  <c r="U267" i="7" s="1"/>
  <c r="AI224" i="7"/>
  <c r="AI225" i="7" s="1"/>
  <c r="P463" i="7"/>
  <c r="P464" i="7" s="1"/>
  <c r="AP436" i="7"/>
  <c r="R669" i="7"/>
  <c r="R670" i="7" s="1"/>
  <c r="Q669" i="7"/>
  <c r="Q670" i="7" s="1"/>
  <c r="Z172" i="7"/>
  <c r="Z193" i="7" s="1"/>
  <c r="AH341" i="7"/>
  <c r="U224" i="7"/>
  <c r="U225" i="7" s="1"/>
  <c r="AP495" i="7"/>
  <c r="AC266" i="7"/>
  <c r="AC267" i="7" s="1"/>
  <c r="Y266" i="7"/>
  <c r="Y267" i="7" s="1"/>
  <c r="AE463" i="7"/>
  <c r="AE464" i="7" s="1"/>
  <c r="W463" i="7"/>
  <c r="W464" i="7" s="1"/>
  <c r="AM224" i="7"/>
  <c r="AM225" i="7" s="1"/>
  <c r="W172" i="7"/>
  <c r="W193" i="7" s="1"/>
  <c r="AL224" i="7"/>
  <c r="AL225" i="7" s="1"/>
  <c r="AK463" i="7"/>
  <c r="AK464" i="7" s="1"/>
  <c r="AD266" i="7"/>
  <c r="AD267" i="7" s="1"/>
  <c r="AA714" i="7"/>
  <c r="AA715" i="7" s="1"/>
  <c r="AD224" i="7"/>
  <c r="AD225" i="7" s="1"/>
  <c r="V714" i="7"/>
  <c r="V715" i="7" s="1"/>
  <c r="AL669" i="7"/>
  <c r="AL670" i="7" s="1"/>
  <c r="R172" i="7"/>
  <c r="R193" i="7" s="1"/>
  <c r="AH172" i="7"/>
  <c r="AH193" i="7" s="1"/>
  <c r="AC172" i="7"/>
  <c r="AC193" i="7" s="1"/>
  <c r="AK669" i="7"/>
  <c r="AK670" i="7" s="1"/>
  <c r="AJ172" i="7"/>
  <c r="AJ193" i="7" s="1"/>
  <c r="AP357" i="7"/>
  <c r="AP358" i="7" s="1"/>
  <c r="U341" i="7"/>
  <c r="AG463" i="7"/>
  <c r="AG464" i="7" s="1"/>
  <c r="AF224" i="7"/>
  <c r="AF225" i="7" s="1"/>
  <c r="AL327" i="7"/>
  <c r="AL328" i="7" s="1"/>
  <c r="V669" i="7"/>
  <c r="V670" i="7" s="1"/>
  <c r="AG224" i="7"/>
  <c r="AG225" i="7" s="1"/>
  <c r="AB172" i="7"/>
  <c r="AB193" i="7" s="1"/>
  <c r="AK266" i="7"/>
  <c r="AK267" i="7" s="1"/>
  <c r="AN341" i="7"/>
  <c r="AL695" i="7"/>
  <c r="AL714" i="7" s="1"/>
  <c r="AL715" i="7" s="1"/>
  <c r="AJ266" i="7"/>
  <c r="AJ267" i="7" s="1"/>
  <c r="AN669" i="7"/>
  <c r="AN670" i="7" s="1"/>
  <c r="AH529" i="7"/>
  <c r="AH530" i="7" s="1"/>
  <c r="AP294" i="7"/>
  <c r="AP295" i="7" s="1"/>
  <c r="P172" i="7"/>
  <c r="P193" i="7" s="1"/>
  <c r="Z341" i="7"/>
  <c r="AF266" i="7"/>
  <c r="AF267" i="7" s="1"/>
  <c r="S341" i="7"/>
  <c r="Q172" i="7"/>
  <c r="Q193" i="7" s="1"/>
  <c r="S135" i="7"/>
  <c r="S172" i="7" s="1"/>
  <c r="S193" i="7" s="1"/>
  <c r="AN714" i="7"/>
  <c r="AN715" i="7" s="1"/>
  <c r="AF341" i="7"/>
  <c r="R341" i="7"/>
  <c r="AK341" i="7"/>
  <c r="AC341" i="7"/>
  <c r="AP156" i="7"/>
  <c r="AP250" i="7"/>
  <c r="AJ669" i="7"/>
  <c r="AJ670" i="7" s="1"/>
  <c r="Z669" i="7"/>
  <c r="Z670" i="7" s="1"/>
  <c r="X224" i="7"/>
  <c r="X225" i="7" s="1"/>
  <c r="AO463" i="7"/>
  <c r="AO464" i="7" s="1"/>
  <c r="AJ463" i="7"/>
  <c r="AJ464" i="7" s="1"/>
  <c r="AI341" i="7"/>
  <c r="P341" i="7"/>
  <c r="Q266" i="7"/>
  <c r="Q267" i="7" s="1"/>
  <c r="AI463" i="7"/>
  <c r="AI464" i="7" s="1"/>
  <c r="AN463" i="7"/>
  <c r="AN464" i="7" s="1"/>
  <c r="AP660" i="7"/>
  <c r="AO669" i="7"/>
  <c r="AO670" i="7" s="1"/>
  <c r="V224" i="7"/>
  <c r="V225" i="7" s="1"/>
  <c r="R463" i="7"/>
  <c r="R464" i="7" s="1"/>
  <c r="S463" i="7"/>
  <c r="S464" i="7" s="1"/>
  <c r="AP327" i="7"/>
  <c r="AP328" i="7" s="1"/>
  <c r="Y172" i="7"/>
  <c r="Y193" i="7" s="1"/>
  <c r="S266" i="7"/>
  <c r="S267" i="7" s="1"/>
  <c r="AL250" i="7"/>
  <c r="AL463" i="7"/>
  <c r="AL464" i="7" s="1"/>
  <c r="AH463" i="7"/>
  <c r="AH464" i="7" s="1"/>
  <c r="AL294" i="7"/>
  <c r="AL295" i="7" s="1"/>
  <c r="AG669" i="7"/>
  <c r="AG670" i="7" s="1"/>
  <c r="AP519" i="7"/>
  <c r="AP729" i="7"/>
  <c r="AP730" i="7" s="1"/>
  <c r="AP731" i="7" s="1"/>
  <c r="AP732" i="7" s="1"/>
  <c r="AH224" i="7"/>
  <c r="AH225" i="7" s="1"/>
  <c r="AO172" i="7"/>
  <c r="AO193" i="7" s="1"/>
  <c r="AM172" i="7"/>
  <c r="AM193" i="7" s="1"/>
  <c r="AP265" i="7"/>
  <c r="AP191" i="7"/>
  <c r="AP192" i="7" s="1"/>
  <c r="AL65" i="7"/>
  <c r="AL66" i="7" s="1"/>
  <c r="V463" i="7"/>
  <c r="V464" i="7" s="1"/>
  <c r="AP618" i="7"/>
  <c r="R224" i="7"/>
  <c r="R225" i="7" s="1"/>
  <c r="Z224" i="7"/>
  <c r="Z225" i="7" s="1"/>
  <c r="P669" i="7"/>
  <c r="P670" i="7" s="1"/>
  <c r="AB463" i="7"/>
  <c r="AB464" i="7" s="1"/>
  <c r="AL191" i="7"/>
  <c r="AL192" i="7" s="1"/>
  <c r="AI172" i="7"/>
  <c r="AI193" i="7" s="1"/>
  <c r="U172" i="7"/>
  <c r="U193" i="7" s="1"/>
  <c r="W669" i="7"/>
  <c r="W670" i="7" s="1"/>
  <c r="AD463" i="7"/>
  <c r="AD464" i="7" s="1"/>
  <c r="U463" i="7"/>
  <c r="U464" i="7" s="1"/>
  <c r="AE172" i="7"/>
  <c r="AE193" i="7" s="1"/>
  <c r="Y463" i="7"/>
  <c r="Y464" i="7" s="1"/>
  <c r="Q463" i="7"/>
  <c r="Q464" i="7" s="1"/>
  <c r="AA172" i="7"/>
  <c r="AA193" i="7" s="1"/>
  <c r="AP381" i="7"/>
  <c r="AP135" i="7"/>
  <c r="AP418" i="7"/>
  <c r="AP21" i="7"/>
  <c r="AA672" i="7" l="1"/>
  <c r="AL193" i="7"/>
  <c r="AL266" i="7"/>
  <c r="AL267" i="7" s="1"/>
  <c r="AP79" i="7"/>
  <c r="AP78" i="7"/>
  <c r="AL529" i="7"/>
  <c r="AL530" i="7" s="1"/>
  <c r="T672" i="7"/>
  <c r="T746" i="7" s="1"/>
  <c r="AP172" i="7"/>
  <c r="AP193" i="7" s="1"/>
  <c r="AC672" i="7"/>
  <c r="AC746" i="7" s="1"/>
  <c r="AB672" i="7"/>
  <c r="AB746" i="7" s="1"/>
  <c r="AE672" i="7"/>
  <c r="AE746" i="7" s="1"/>
  <c r="AF672" i="7"/>
  <c r="AF746" i="7" s="1"/>
  <c r="AO672" i="7"/>
  <c r="AO746" i="7" s="1"/>
  <c r="AM672" i="7"/>
  <c r="AM746" i="7" s="1"/>
  <c r="AP529" i="7"/>
  <c r="AP530" i="7" s="1"/>
  <c r="P672" i="7"/>
  <c r="P746" i="7" s="1"/>
  <c r="AH672" i="7"/>
  <c r="AH746" i="7" s="1"/>
  <c r="AL341" i="7"/>
  <c r="V672" i="7"/>
  <c r="V746" i="7" s="1"/>
  <c r="AD672" i="7"/>
  <c r="AD746" i="7" s="1"/>
  <c r="Y672" i="7"/>
  <c r="Y746" i="7" s="1"/>
  <c r="W672" i="7"/>
  <c r="W746" i="7" s="1"/>
  <c r="AP266" i="7"/>
  <c r="AP267" i="7" s="1"/>
  <c r="AP341" i="7"/>
  <c r="AA746" i="7"/>
  <c r="AP463" i="7"/>
  <c r="AP464" i="7" s="1"/>
  <c r="AK672" i="7"/>
  <c r="AK746" i="7" s="1"/>
  <c r="Z672" i="7"/>
  <c r="Z746" i="7" s="1"/>
  <c r="AP669" i="7"/>
  <c r="AP670" i="7" s="1"/>
  <c r="Q672" i="7"/>
  <c r="Q746" i="7" s="1"/>
  <c r="U672" i="7"/>
  <c r="U746" i="7" s="1"/>
  <c r="X672" i="7"/>
  <c r="X746" i="7" s="1"/>
  <c r="AG672" i="7"/>
  <c r="AG746" i="7" s="1"/>
  <c r="AN672" i="7"/>
  <c r="AN746" i="7" s="1"/>
  <c r="AJ672" i="7"/>
  <c r="AJ746" i="7" s="1"/>
  <c r="AI672" i="7"/>
  <c r="AI746" i="7" s="1"/>
  <c r="S672" i="7"/>
  <c r="S746" i="7" s="1"/>
  <c r="R672" i="7"/>
  <c r="R746" i="7" s="1"/>
  <c r="AP22" i="7"/>
  <c r="AL672" i="7" l="1"/>
  <c r="AL746" i="7" s="1"/>
  <c r="AP23" i="7"/>
  <c r="AP672" i="7" l="1"/>
  <c r="AP746" i="7" s="1"/>
</calcChain>
</file>

<file path=xl/sharedStrings.xml><?xml version="1.0" encoding="utf-8"?>
<sst xmlns="http://schemas.openxmlformats.org/spreadsheetml/2006/main" count="1707" uniqueCount="942">
  <si>
    <t xml:space="preserve"> </t>
  </si>
  <si>
    <t>ESTRATEGIA</t>
  </si>
  <si>
    <t>PROGRAMA</t>
  </si>
  <si>
    <t>META DE RESULTADO</t>
  </si>
  <si>
    <t>LINEA BASE 2015</t>
  </si>
  <si>
    <t>LINEA ESPERADA 2019</t>
  </si>
  <si>
    <t>SUB PROGRAMA</t>
  </si>
  <si>
    <t>META PRODUCTO</t>
  </si>
  <si>
    <t>LINEA ESPERADA 2017</t>
  </si>
  <si>
    <t xml:space="preserve">CÓDIGO SECTOR </t>
  </si>
  <si>
    <t>CÓDIGO</t>
  </si>
  <si>
    <t xml:space="preserve">NOMBRE DEL PROYECTO </t>
  </si>
  <si>
    <t>TIPO DE META</t>
  </si>
  <si>
    <t>ESTAMPILLA PRO - CULTURA</t>
  </si>
  <si>
    <t>ESTAMPILLA PRO - ADULTO MAYOR</t>
  </si>
  <si>
    <t>ESTAMPILLA PRO - DESARROLLO</t>
  </si>
  <si>
    <t>FONDO RENTAS</t>
  </si>
  <si>
    <t>SOBRETASA AL ACPM</t>
  </si>
  <si>
    <t xml:space="preserve">SGP APORTES PATRONALES ( Sin situacion de fondos) </t>
  </si>
  <si>
    <t xml:space="preserve">SGP PRESTACION DE SERVCIOS </t>
  </si>
  <si>
    <t xml:space="preserve">FONDO LOCAL DE SALUD  - RENTAS CEDIDAS  </t>
  </si>
  <si>
    <t xml:space="preserve">FONDO LOCAL DE SALUD  - FONDO DE ESTUPEFACIENTES  </t>
  </si>
  <si>
    <t xml:space="preserve">FONDO LOCAL DE SALUD  - LEY 1393  </t>
  </si>
  <si>
    <t>SGP PRESTACION DE SERVICIOS - EDUCACION</t>
  </si>
  <si>
    <t>SGP CANCELACIÓN DE PRESTACIONES SOCIALES -EDUCACIÓN</t>
  </si>
  <si>
    <t>SGP NECESIDADES EDUCATIVAS ESPECIALES-EDUCACION</t>
  </si>
  <si>
    <t>SGP CONECTIVIDAD - EDUCACION</t>
  </si>
  <si>
    <t>SGP AGUA POTABLE SSF</t>
  </si>
  <si>
    <t xml:space="preserve">RECURSO ORDINARIO </t>
  </si>
  <si>
    <t>COLDEPORTES</t>
  </si>
  <si>
    <t xml:space="preserve">OTROS (IVA TELEFONIA MÓVIL  - REGISTRO)  </t>
  </si>
  <si>
    <t>304 -Secretaría Administrativa</t>
  </si>
  <si>
    <t>BUEN GOBIERNO</t>
  </si>
  <si>
    <t>Gestión Territorial</t>
  </si>
  <si>
    <t>Modernización tecnológica y Administrativa</t>
  </si>
  <si>
    <t>Virtualizar ocho (8) trámites de la administración departamental a través de Gobierno en Línea</t>
  </si>
  <si>
    <t>ND</t>
  </si>
  <si>
    <t xml:space="preserve">17. Fortalecimiento institucional </t>
  </si>
  <si>
    <t>201663000-0001</t>
  </si>
  <si>
    <t>Apoyo a la estrategia de Gobierno en linea en el Departamento del Quindio</t>
  </si>
  <si>
    <t>I</t>
  </si>
  <si>
    <t>Formular e  implementar un (1) programa de seguridad y salud en el trabajo, capacitación y bienestar social en  el departamento</t>
  </si>
  <si>
    <t>201663000-0002</t>
  </si>
  <si>
    <t>Formulación e implementación del programa de seguridad y salud en el trabajo, capacitación y bienestar social en el Departamento del Quindio</t>
  </si>
  <si>
    <t>M</t>
  </si>
  <si>
    <t>Consolidar mecanismos de integración regional y municipal</t>
  </si>
  <si>
    <t>Fortalecer el programa de  infraestructura tecnológica de la  Administración Departamental (hadware, aplicativos, redes, y capacitación)</t>
  </si>
  <si>
    <t>201663000-0003</t>
  </si>
  <si>
    <t>Actualización de la infraestructura tecnológica de la Gobernación del Quindío.</t>
  </si>
  <si>
    <t>201663000-0004</t>
  </si>
  <si>
    <t>Apoyo a la sostenibilidad de las tecnologías de la información y comunicación de la Gobernación del Quindío.</t>
  </si>
  <si>
    <t>Adquirir e implementar un (1) software para la sistematización de las historias laborales del Fondo Territorial de Pensiones del departamento</t>
  </si>
  <si>
    <t>201663000-0005</t>
  </si>
  <si>
    <t>Implementación de un programa  de  modernización de la gestión administrativa en el Departamento del Quindio</t>
  </si>
  <si>
    <t>Implementar un programa de actualización y registro de los bienes de propiedad del departamento</t>
  </si>
  <si>
    <t xml:space="preserve">Realizar un (1) estudio de modernización administrativa en el departamento </t>
  </si>
  <si>
    <t>Implementar un (1) programa de modernización de la gestión documental en el departamento</t>
  </si>
  <si>
    <t>305 Secretaría de Planeación</t>
  </si>
  <si>
    <t>Quindío Transparente y Legal</t>
  </si>
  <si>
    <t>Quindío Ejemplar y Legal</t>
  </si>
  <si>
    <t>Elevar el promedio de la participación de la ciudadania en los procesos de elección popular en el cuatrenio</t>
  </si>
  <si>
    <t>54.61</t>
  </si>
  <si>
    <t>Realizar en el Departamento y  los doce (12) municipios  del Quindío  procesos de sensibilización, seguimiento  y evaluación en la aplicabilidad de los componentes   del Índice de Transparencia.</t>
  </si>
  <si>
    <t>201663000-0006</t>
  </si>
  <si>
    <t>Realización procesos de capacitación,  asistencia técnica, seguimiento  y evaluación en la aplicabilidad de los componentes   del Índice de Transparencia en el Departamento del Quindio</t>
  </si>
  <si>
    <t>Veedurías y Rendición de Cuentas</t>
  </si>
  <si>
    <t xml:space="preserve">Realizar  doce (12) procesos de Rendición Publica de Cuentas Departamentales en entes territoriales municipales. </t>
  </si>
  <si>
    <t>201663000-0015</t>
  </si>
  <si>
    <t xml:space="preserve">Realización procesos de Rendición Publica de Cuentas Departamentales enlos  entes territoriales municipales del Departamento del Quindio </t>
  </si>
  <si>
    <t>Poder Ciudadano</t>
  </si>
  <si>
    <t>Quindío Si, a la participación</t>
  </si>
  <si>
    <t xml:space="preserve">Fortalecer  técnica y logísticamente al  Consejo Territorial de Planeación  Departamental  </t>
  </si>
  <si>
    <t xml:space="preserve">16. Desarrollo Comunitario </t>
  </si>
  <si>
    <t>201763000-0007</t>
  </si>
  <si>
    <t>Asistencia al Consejo Territorial de Planeación del Departamento del Quindío.</t>
  </si>
  <si>
    <t xml:space="preserve">Los instrumentos  de planificación como  ruta para el cumplimiento de la gestión pública  </t>
  </si>
  <si>
    <t>Diseñar e implementar el Plan de Ordenamiento del Departamento del Quindio.</t>
  </si>
  <si>
    <t>201663000-0009</t>
  </si>
  <si>
    <t>Diseño e implementación instrumentos de  planificación para el  ordenamiento  territorial, social y económico del  Departamento del Quindio</t>
  </si>
  <si>
    <t>Diseñar e implementar Un (1) Sistema de Información geo referenciado para el ordenamiento social  y económico del territorio rural</t>
  </si>
  <si>
    <t xml:space="preserve">Actualizar y fortalecer  las directrices   del Modelo de Ocupación del Territorio   en el Departamento del Quindío </t>
  </si>
  <si>
    <t xml:space="preserve">Fortalecer el  Sistema de Información Geográfica del Departamento del Quindío  </t>
  </si>
  <si>
    <t>Adoptar dos (2) mecanismo de integracion regional  y  de asociatividad  entre los municipios.</t>
  </si>
  <si>
    <t xml:space="preserve">Reorientar el Observatorio económico a un enfoque humano con variables sociales, economicas y de seguridad humana en el Departamento del Quindío  </t>
  </si>
  <si>
    <t>201663000-0010</t>
  </si>
  <si>
    <t xml:space="preserve">Diseño    e implementación del Observatorio  de Desarrollo Humano en el Departamento del Quindio </t>
  </si>
  <si>
    <t>Diseñar e implementar el tablero de control  para el seguimiento y evaluación del Plan de Desarrollo  y   políticas públicas  Departamentales</t>
  </si>
  <si>
    <t>201663000-0011</t>
  </si>
  <si>
    <t>Diseño  e implementación del Tablero de Control  para el seguimiento y evalución del Plan de Desarrollo y las Políticas Públicas del  Departamento del Quindio</t>
  </si>
  <si>
    <t xml:space="preserve">Diseñar e implementar la  Fábrica de Proyectos de Inversión en el Departamento del Quindío </t>
  </si>
  <si>
    <t>13. Promoción del Desarrollo</t>
  </si>
  <si>
    <t>201663000-0012</t>
  </si>
  <si>
    <t xml:space="preserve"> Implementación Sistema de Cooperación Internacional y  de Gestión de proyectos  del Depratamento del Quindío - " Fabrica de Proyectos</t>
  </si>
  <si>
    <t xml:space="preserve">Actualizar el Sistema Integrado de Gestión Administrativa SIGA del departamento del Quindío </t>
  </si>
  <si>
    <t>201663000-0013</t>
  </si>
  <si>
    <t xml:space="preserve">Actualizar y/o  ajustar el Sistema Integrado de Gestión Administrativa SIGA del Departamento del Quindío </t>
  </si>
  <si>
    <t xml:space="preserve">Implementar el Comité  de Planificación  Departamental   </t>
  </si>
  <si>
    <t>201663000-0014</t>
  </si>
  <si>
    <t>Asistencia  técnica, seguimiento y evaluación  de la gestión  territorial en los  munipicios del Departamento del  Quindío.</t>
  </si>
  <si>
    <t>Implementar en doce (12) municipios del Departamento procesos de capacitación,   asistencia técnica,  seguimiento  y evaluación   de los    Planes  (Básicos y/o esquemas) Ordenamiento   Territorial</t>
  </si>
  <si>
    <t xml:space="preserve">Implementar en doce (12) municipios del Departamento del Quindío  procesos de sensibilización, capacitación, asistencia técnica, seguimiento y evaluación del "Ranking integral de Desempeño"   </t>
  </si>
  <si>
    <t xml:space="preserve">Implementar en doce (12) municipios del Departamento del Quindío  procesos de sensibilización, capacitación,  asistencia técnica, seguimiento  y evaluación  en la aplicabilidad de los instrumentos de planificación </t>
  </si>
  <si>
    <t xml:space="preserve">Implementar en doce (12) municipios del Departamento del Quindío  procesos de  sensibilización, capacitación,  asistencia técnica, seguimiento  y evaluación  en la aplicabilidad  del Sistema  Selección de Beneficiarios de programas Sociales SISBEN </t>
  </si>
  <si>
    <t xml:space="preserve">Implementar en doce (12) municipios del Departamento del Quindío procesos de  sensibilización, capacitación, asistencia técnica, seguimiento  y evaluación  en la aplicabilidad   de las políticas públicas </t>
  </si>
  <si>
    <t xml:space="preserve">Implementar en doce (12) municipios del Departamento del Quindío  procesos  de capacitación,  asistencia técnica, seguimiento  y evaluación  en la aplicabilidad   de la Estratificación Socioeconómica </t>
  </si>
  <si>
    <t xml:space="preserve">Implementar en doce (12) municipios del departamento del Quindío procesos de capacitación  en  la Metodología General Ajustada  MGA </t>
  </si>
  <si>
    <t xml:space="preserve">Realizar procesos  de asistencia técnica, seguimiento y evaluacion  en la incorporación  de  las directrices del  Modelo de Ocupación del Territorio de en los doce (12) Municipios </t>
  </si>
  <si>
    <t>307 Secretaría de Hacienda</t>
  </si>
  <si>
    <t>Gestión Tributaria y Financiera</t>
  </si>
  <si>
    <t>Implementar 4 procesos de fiscalización de las Rentas Departamentales</t>
  </si>
  <si>
    <t>201663000-0016</t>
  </si>
  <si>
    <t xml:space="preserve"> Mejoramiento de la sostenibilidad de los procesos de fiscalización liquidación control y cobranza de los tributos en el Departamento del Quindío</t>
  </si>
  <si>
    <t>Implementar una estrategia de cobro coactivo sobre la cartera morosa de las Rentas Departamentales.</t>
  </si>
  <si>
    <t xml:space="preserve">Ejecutar el programa anti contrabando suscrito con la Federación Nacional de Departamentos.                               </t>
  </si>
  <si>
    <t>Elaborar el diagnóstico del sistema de Información tributario y financiero</t>
  </si>
  <si>
    <t>201663000-0017</t>
  </si>
  <si>
    <t xml:space="preserve">Implementación de un programa de gestión fianciera para la optimización de los procesos en el area de tesorería, presupuesto y contabilidad en el Departamento del Quindio </t>
  </si>
  <si>
    <t xml:space="preserve">Implementar un programa para el cumplimiento de las políticas y prácticas contables para la administración departamental         </t>
  </si>
  <si>
    <t xml:space="preserve">308 Secretaría de Agua e Infraestructura </t>
  </si>
  <si>
    <t>PROSPERIDAD CON EQUIDAD</t>
  </si>
  <si>
    <t>Infraestructura Sostenible para la Paz</t>
  </si>
  <si>
    <t>Mejora de la Infraestructura Vial del Departamento del Quindío</t>
  </si>
  <si>
    <t>Msntener en buen estado las vias del Departamento</t>
  </si>
  <si>
    <t>Mantener, mejorar y/o rehabilitar ciento treinta (130) km de vías del Departamento para la implementación del Plan Vial Departamental.</t>
  </si>
  <si>
    <t xml:space="preserve">9. Transporte </t>
  </si>
  <si>
    <t>201663000-0019</t>
  </si>
  <si>
    <t>Mantener, mejorar, rehabilitar y/o atender las vías y sus emergencias, en cumplimiento del Plan Vial del Departamento del Quindío.</t>
  </si>
  <si>
    <t>Apoyar la atención de emergencias viales en los doce (12) Municipios del Departamento del Quindío.</t>
  </si>
  <si>
    <t>Realizar ocho (8) estudios y/o diseños para el mantenimiento, mejoramiento y/o rehabilitación de la infraestructura vial en el departamento para la implementación del Plan vial departamental</t>
  </si>
  <si>
    <t>Mejora de la Infraestructura  Social del Departamento del Quindío</t>
  </si>
  <si>
    <t xml:space="preserve">Disminuir  el porcentaje de personas en situción de pobreza </t>
  </si>
  <si>
    <t>Mantener, mejorar y/o rehabilitar la Infraestructura de cuarenta y ocho (48) instituciones educativas en el departamento del Quindío.</t>
  </si>
  <si>
    <t xml:space="preserve">15. Equipamiento </t>
  </si>
  <si>
    <t>201663000-0021</t>
  </si>
  <si>
    <t>Construir, mantener, mejorar y/o rehabilitar la infraestructura social del Departamento del Quindio</t>
  </si>
  <si>
    <t>Apoyar la construcción, mejoramiento y/o rehabilitación de cuatro (4) obras de infraestructura de salud del departamento del Quindío</t>
  </si>
  <si>
    <t>Apoyar la construcción, mejoramiento y/o  rehabilitación de la infraestructura de doce (12) escenarios deportivos y/o recreativos en el departamento del Quindío</t>
  </si>
  <si>
    <t>Apoyar la construcción, el mantenimiento, el mejoramiento y/o la rehabilitación de cuatro (4) obras físicas de infraestructura de bienestar social, de seguridad y de justicia del Departamento del Quindío.</t>
  </si>
  <si>
    <t>Apoyar la construcción, el mantenimiento, el mejoramiento y/o la rehabilitación de dos (2) obras físicas de infraestructura  Institucional o de edificios públicos del Departamento del Quindío.</t>
  </si>
  <si>
    <t>Apoyar la construcción y  el mejoramiento de mil (1000) viviendas urbana y rural priorizada en el departamento del Quindío.</t>
  </si>
  <si>
    <t xml:space="preserve">Desarrollar tres (3) ejercicios de presupuesto participativo con la ciudadanía, para la priorización de recursos de infraestructura física en el Departamento </t>
  </si>
  <si>
    <t>i</t>
  </si>
  <si>
    <t>DESARROLLO SOSTENIBLE</t>
  </si>
  <si>
    <t>Quindío territorio vital</t>
  </si>
  <si>
    <t>Manejo integral del agua y saneamiento básico</t>
  </si>
  <si>
    <t xml:space="preserve">Dsiminuir la presión por cargas contaminantes medida por el indice de alteración potencial de la calidad del agua ( IACAL), a categoria moderada </t>
  </si>
  <si>
    <t xml:space="preserve">Muy Alta </t>
  </si>
  <si>
    <t>Moderada</t>
  </si>
  <si>
    <t>Formular y ejecutar veinte (20) proyectos de infraestructura de agua potable y saneamiento básico</t>
  </si>
  <si>
    <t xml:space="preserve">3. Agua Potable y Saneamiento Básico </t>
  </si>
  <si>
    <t>201663000-0022</t>
  </si>
  <si>
    <t>Apoyo en atenciones prioritarias en Agua Potable y/o Saneamiento Básico en el Departamento del Quindio</t>
  </si>
  <si>
    <t>201663000-0023</t>
  </si>
  <si>
    <t>Construción y mejoramiento de la infraestructura de agua potable y saneamiento básico del Departamento del Quindio.</t>
  </si>
  <si>
    <t>Apoyar  veinte (20) proyectos de agua potable y saneamiento básico de acuerdo al plan de acompañamiento social</t>
  </si>
  <si>
    <t>201663000-0024</t>
  </si>
  <si>
    <t>Ejecución del plan de acompañamiento social a los proyectos y obras de infraestructura de agua potable y saneamiento básico en el Departamento del Quindio</t>
  </si>
  <si>
    <t>Actualizar e implementar el plan ambiental para el sector de agua potable y saneamiento básico</t>
  </si>
  <si>
    <t>201663000-0025</t>
  </si>
  <si>
    <t>Actualización e implementación del  Plan Ambiental para el sector de agua potable y saneamiento básico en el Departamento del Quindio</t>
  </si>
  <si>
    <t>Ejecutar tres (3) proyectos para el aseguramiento de la prestación de los servicios públicos de agua potable y saneamiento básico urbano y rural</t>
  </si>
  <si>
    <t>201663000-0026</t>
  </si>
  <si>
    <t>Ejecución del plan de aseguramiento de la prestación de los servicios públicos de agua potable y saneamiento básico urbano y rural en el Departamento del Quindio</t>
  </si>
  <si>
    <t>Formular e implementar dos (2) proyectos para la gestión del riesgo del sector de agua potable y saneamiento básico. </t>
  </si>
  <si>
    <t>201663000-0027</t>
  </si>
  <si>
    <t>Formulación y ejecución de proyectos para la gestión del riesgo del sector de agua potable y saneamiento básico en el Departamento del Quindio.</t>
  </si>
  <si>
    <t>309 Secretaría del Interior</t>
  </si>
  <si>
    <t>SEGURIDAD HUMANA</t>
  </si>
  <si>
    <t xml:space="preserve">Seguridad humana como dinamizador de la vida, dignidad y libertad en el Quindío </t>
  </si>
  <si>
    <t>Seguridad ciudadana  para prevención y control del delito</t>
  </si>
  <si>
    <t xml:space="preserve">Reducrir la tasa de Homicidios en el Departamento del Quindio </t>
  </si>
  <si>
    <t>42.34               *100.000</t>
  </si>
  <si>
    <t>35                          *100.000</t>
  </si>
  <si>
    <t>Apoyar la implementación de seis (6) programas de resocialización  en establecimientos carcelarios  del Departamento (sustento legal 1709 de 2014)</t>
  </si>
  <si>
    <t xml:space="preserve">18. Justicia y seguridad </t>
  </si>
  <si>
    <t>201663000-0028</t>
  </si>
  <si>
    <t xml:space="preserve">Construcción integral de la seguridad humana en el Departamento de Quindio.  </t>
  </si>
  <si>
    <t>Fortalecer 10 programas de prevención y superación del Sistema de responsabilidad penal para adolescentes</t>
  </si>
  <si>
    <t>Apoyar la construcción, refacción o adecuación de  seis (6) estaciones de policía y/o guarniciones militares y/o instituciones carcelarias</t>
  </si>
  <si>
    <t xml:space="preserve">4
</t>
  </si>
  <si>
    <t xml:space="preserve">Reducir los casos  de  hurto a residencias, comercio y personas </t>
  </si>
  <si>
    <t>Dotar cinco (5) organismos de seguridad del departamento con elementos tecnológicos y logísticos que faciliten su operatividad y capacidad de respuesta</t>
  </si>
  <si>
    <t xml:space="preserve">5
</t>
  </si>
  <si>
    <t>Apoyar 3 observatorios locales del delito</t>
  </si>
  <si>
    <t>Convivencia, Justicia  y Cultura de Paz</t>
  </si>
  <si>
    <t>Apoyar la implementación de treinta y seis (36) programas de prevención del delito y mediación de conflictos en comunidades focalizadas del departamento</t>
  </si>
  <si>
    <t xml:space="preserve">18. Justicia y Seguridad </t>
  </si>
  <si>
    <t>201663000-0029</t>
  </si>
  <si>
    <t>Apoyo a la convivencia, justicia y cultura de paz en el Departamento del  Quindio.</t>
  </si>
  <si>
    <t>Atencion integral de Barrios con situacion critica de convivencia en los 12 Municipios  del Departamento</t>
  </si>
  <si>
    <t>Actualizar el código departamental de Policía</t>
  </si>
  <si>
    <t>Actualizar e implementar el Plan Integral de Seguridad y Convivencia Ciudadana (PISCC)</t>
  </si>
  <si>
    <t>Construcción de paz y reconciliación en el Quindío</t>
  </si>
  <si>
    <t>Plan de Acción Territorial para las Víctimas del Conflicto</t>
  </si>
  <si>
    <t xml:space="preserve">Aumentar el porcentaje de cumplimiento de la Ley 1448 del 2011 de atención a victimas </t>
  </si>
  <si>
    <t>71.04</t>
  </si>
  <si>
    <t>88.17</t>
  </si>
  <si>
    <t xml:space="preserve">Apoyar la articulación para la atención integral de las víctimas del conflicto por enfoque diferencial en  los 12 municipios del departamento
</t>
  </si>
  <si>
    <t xml:space="preserve">14. Atención Grupos Vulnerables- Promoción Social </t>
  </si>
  <si>
    <t>201663000-0030</t>
  </si>
  <si>
    <t>Implementación del Plan de Acción Territorial para la prevención, protección, asistencia, atención, reparación integral en el Departamento del Quindio.</t>
  </si>
  <si>
    <t>Apoyar  la atención humanitaria inmediata a la población víctima del conflicto en los 12 municipios</t>
  </si>
  <si>
    <t xml:space="preserve">Fortalecer el Comité departamental de justicia transicional y la mesa de participación efectiva de las víctimas del conflicto </t>
  </si>
  <si>
    <t xml:space="preserve">Apoyar la construcción y la actualización de los Planes de Acción Territorial de victimas PAT municipales y  el PAT departamental </t>
  </si>
  <si>
    <t xml:space="preserve">Diseñar e implementar el sistema de información para la prevención, atención, asistencia y reparación integral a las víctimas del conflicto armado interno </t>
  </si>
  <si>
    <t>Protección y Garantías de no Repetición</t>
  </si>
  <si>
    <t>Implementar el plan integral de prevención a las violaciones de  Derechos Humanos DDHH e infracciones  al Derecho Internacional Humanitario DIH</t>
  </si>
  <si>
    <t>201663000-0032</t>
  </si>
  <si>
    <t>Implementación del Plan Integral de prevención de vulneraciones de los Derechos Humanos DDHH e infracciones  al Derecho Internacional Humanitario DIH en el departamento del Quindio</t>
  </si>
  <si>
    <t xml:space="preserve">Apoyar en los doce (12) municipios la articulación institucional para la prevención a las violaciones DDHH  e infracciones al DIH </t>
  </si>
  <si>
    <t>Actualizar e Implementar el plan lucha contra la trata de personas</t>
  </si>
  <si>
    <t>Preparados para la Paz Territorial</t>
  </si>
  <si>
    <t>Implementar plan de acción de Derechos Humanos articulado interinstitucionalmente, de  protección de los Derechos Humanos DDHH y la Paz en los doce (12) municipios del departamento</t>
  </si>
  <si>
    <t>201663000-0034</t>
  </si>
  <si>
    <t>Construcción de la Paz Territorial en el Departamento del Quindio</t>
  </si>
  <si>
    <t xml:space="preserve">Apoyar y articular en los doce (12) municipios  del departamento las actuaciones institucionales en procura de la garantía de la construcción de paz </t>
  </si>
  <si>
    <t xml:space="preserve">El Quindío Departamento Resiliente </t>
  </si>
  <si>
    <t>Quindío protegiendo el futuro</t>
  </si>
  <si>
    <t xml:space="preserve">Realizar catorce (14) estudios de riesgo y análisis de vulnerabilidad en  los municipios del departamento </t>
  </si>
  <si>
    <t xml:space="preserve">12. Prevención y Atención de Desastres </t>
  </si>
  <si>
    <t>201663000-0036</t>
  </si>
  <si>
    <t xml:space="preserve">Administración del  riesgo mediante el conocimiento, la reducción y el manejo del desastre  en el Departamento del Quindio. </t>
  </si>
  <si>
    <t xml:space="preserve">Apoyar a ciento cincuenta (150) instituciones educativas del departamento en la formulación de Planes Escolares de Gestión del Riesgo (PGERD) </t>
  </si>
  <si>
    <t>Apoyar a los doce (12) municipios del departamento en procesos de educación a las comunidades frente a la prevención y preparación para las emergencias por fenómenos de origen natural y/o antrópico no intencional</t>
  </si>
  <si>
    <t xml:space="preserve">Realizar 10 intervenciones en  áreas vulnerables del departamento </t>
  </si>
  <si>
    <t xml:space="preserve">Fortalecer el comité departamental de gestión del riesgo de desastres </t>
  </si>
  <si>
    <t>Fortalecimiento Institucional para la Gestión del Riesgo de Desastres como una Estrategia de Desarrollo</t>
  </si>
  <si>
    <t>Poner en funcionamiento operativo la sala de crisis del Departamento</t>
  </si>
  <si>
    <t>201663000-0038</t>
  </si>
  <si>
    <t>Apoyo institucional en la gestión del riesgo  en el Departamento del Quindio</t>
  </si>
  <si>
    <t>Fortalecer  la dotación de la bodega estratégica de la Unidad Departamental de la Gestión del Riesgo de Desastres UDEGER</t>
  </si>
  <si>
    <t xml:space="preserve">Elevar el promedio de participación ciudadana en los procesos de leccón popular en el cuatrenio </t>
  </si>
  <si>
    <t>Implementar un (1) programa de fortalecimiento de las veedurías ciudadanas del departamento</t>
  </si>
  <si>
    <t>201663000-0042</t>
  </si>
  <si>
    <t xml:space="preserve">Fortalecimiento de las veedurias ciudadanas en el Departamento del Quindio </t>
  </si>
  <si>
    <t xml:space="preserve">Elevar el promedio de participación ciudadana en los procesos de elección popular en el cuatrenio </t>
  </si>
  <si>
    <t>Desarrollar estrategias tendientes a promover la participación ciudadana en el departamento</t>
  </si>
  <si>
    <t>201663000-0039</t>
  </si>
  <si>
    <t>Construcción de la participación ciudadana y control social en el Departamento del Quindio</t>
  </si>
  <si>
    <t>Creación y puesta en funcionamiento  del Consejo departamental de participación Ciudadana</t>
  </si>
  <si>
    <t>Comunales comprometidos con el Desarrollo</t>
  </si>
  <si>
    <t xml:space="preserve">fortalecer  organismos comunales en los  12 municipios del departamento en el mejoramiento organizacional y participativo </t>
  </si>
  <si>
    <t>201663000-0040</t>
  </si>
  <si>
    <t xml:space="preserve">Desarrollo de los Organismos Comunales en el Departamento del Quindio </t>
  </si>
  <si>
    <t>310 Secretaría de Cultura</t>
  </si>
  <si>
    <t>INCLUSION SOCIAL</t>
  </si>
  <si>
    <t>Cultura, Arte y educación para la Paz</t>
  </si>
  <si>
    <t>Arte para todos</t>
  </si>
  <si>
    <t>19            21                  31                          32</t>
  </si>
  <si>
    <t xml:space="preserve"> Disminuir la proporción de niños que desertan en educación básica secundaria y media                     Disminuir el porcentaje de mujeres amenazadas por sus compañeros sentimentales.                            Disminuir la incidencia de embarazo en adolescentes                                                                                   Reducir la proporción de jóvenes en el sistema de responsabilidad penal con riesgo alto de reincidencia en las conductas delictivas                  </t>
  </si>
  <si>
    <t>8,06% EBS 5,77% EM       
 174,7*100.000                 30.7%                                            24,9%                                                               6 de cada 10</t>
  </si>
  <si>
    <t>5% EBS   4% EM
150*100.000                 27%                                                20%                                                     5 de cada 10</t>
  </si>
  <si>
    <t>Apoyar  treinta (30) proyectos y/o actividades de formación, difusión, circulación, creación e investigación, planeación y de espacios para el disfrute de las artes</t>
  </si>
  <si>
    <t xml:space="preserve">5. Cultura </t>
  </si>
  <si>
    <t>201663000-0045</t>
  </si>
  <si>
    <t xml:space="preserve">Apoyo a seguridad social del creador y gestor cultural del Departamento del Quindio </t>
  </si>
  <si>
    <t xml:space="preserve">Disminuir la proporción de niños que desertan en educación básica secundaria y media                     Disminuir el porcentaje de mujeres amenazadas por sus compañeros sentimentales.                            Disminuir la incidencia de embarazo en adolescentes                                                                                   Reducir la proporción de jóvenes en el sistema de responsabilidad penal con riesgo alto de reincidencia en las conductas delictivas                  </t>
  </si>
  <si>
    <t>201663000-0046</t>
  </si>
  <si>
    <t>Apoyo al arte y la cultura en todo el Departamento del Quindío</t>
  </si>
  <si>
    <t>Apoyar  ciento veinte (120) proyectos del programa de concertación cultural del departamento</t>
  </si>
  <si>
    <t>Apoyar treinta y seis (36) proyectos mediante estímulos artísticos y culturales</t>
  </si>
  <si>
    <t xml:space="preserve">Emprendimiento Cultural </t>
  </si>
  <si>
    <t>5                     32</t>
  </si>
  <si>
    <t xml:space="preserve">Igualar la tasa de desempleo del departamento al promedio nacional para 2019.                                                                                             Reducir la proporción de jóvenes en el sistema de responsabilidad penal con riesgo alto de reincidencia en las conductas delictivas.                                                                                                                                                                                                                                                                                                                                                                                                                                                                                                                                                                                                                                                                                         </t>
  </si>
  <si>
    <t xml:space="preserve"> 12,9% (Quindío)                  6 de cada 10</t>
  </si>
  <si>
    <t xml:space="preserve">  8,9% (nacional)          5 de cada 10</t>
  </si>
  <si>
    <t>Fortalecer cinco (5) procesos de emprendimiento cultural y de desarrollo de industrias creativas</t>
  </si>
  <si>
    <t>201663000-0047</t>
  </si>
  <si>
    <t xml:space="preserve">Fortalecimiento y promoción del  emprendimiento cultural y las industrias creativas en el Departamento </t>
  </si>
  <si>
    <t>Lectura, escritura y bibliotecas</t>
  </si>
  <si>
    <t xml:space="preserve">19           32        </t>
  </si>
  <si>
    <t xml:space="preserve">Disminuir la proporción de niños que desertan en educación básica secundaria y media                                   Reducir la proporción de jóvenes en el sistema de responsabilidad penal con riesgo alto de reincidencia en las conductas delictivas.                                                                                                                                                                                                                                                                                                                                                                                                                                                                                                                                                                                                                                                                                         </t>
  </si>
  <si>
    <t xml:space="preserve">8,06% EBS 5,77% EM                     6./10          
 </t>
  </si>
  <si>
    <t xml:space="preserve">5% EBS   4% EM                    5./10
 </t>
  </si>
  <si>
    <t>Apoyar  veinte (20) proyectos y/o actividades en investigación, capacitación y difusión de la lectura y escritura para fortalecer la Red Departamental de Bibliotecas</t>
  </si>
  <si>
    <t>201663000-0048</t>
  </si>
  <si>
    <t xml:space="preserve"> Fortalecimiento al  Plan Departamental  de lectura, escritura y bibliotecas en el Departamento del Quindio .</t>
  </si>
  <si>
    <t>Patrimonio, paisaje cultural cafetero, ciudadanía y diversidad cultural</t>
  </si>
  <si>
    <t>Viviendo el patrimonio y el Paisaje Cultural Cafetero</t>
  </si>
  <si>
    <t>6                   19</t>
  </si>
  <si>
    <t xml:space="preserve">   Equiparar el crecimiento del PIB del departamento del Quindío al PIB nacional                                                                                          Disminuir la proporción de niños que desertan en educación básica secundaria y media                                                                                                                                                                                                                                                                                                                                                                                                                                                                                                                                                                                                                                                                                                                           </t>
  </si>
  <si>
    <t xml:space="preserve">3,4% (Quindío) Vs. 4,6% (Nacional)                               8,06% EBS 5,77% EM                    </t>
  </si>
  <si>
    <t xml:space="preserve">En la actualidad este valor equivaldría al 4.6%                                    5% EBS   4% EM                   
 </t>
  </si>
  <si>
    <t xml:space="preserve">Apoyar treinta y dos (32) proyectos y/o actividades en gestión, investigación,  protección, divulgación y salvaguardia del patrimonio y diversidad cultural </t>
  </si>
  <si>
    <t>201663000-0049</t>
  </si>
  <si>
    <t>Apoyo al reconocimiento, apropiación y salvaguardia y difusión del patrimonio cultural en todo el Departamento del Quindío.</t>
  </si>
  <si>
    <t>Comunicación, ciudadanía y Sistema Departamental de Cultura</t>
  </si>
  <si>
    <t>32       22</t>
  </si>
  <si>
    <t xml:space="preserve">Reducir la proporción de jóvenes en el sistema de responsabilidad penal con riesgo alto de reincidencia en las conductas delictivas.                                                                                                                                                                     </t>
  </si>
  <si>
    <t xml:space="preserve">6./10          
 </t>
  </si>
  <si>
    <t xml:space="preserve">5./10
 </t>
  </si>
  <si>
    <t xml:space="preserve">Apoyar diez (10) proyectos y/o actividades orientados a fortalecer la articulación comunicación y cultura </t>
  </si>
  <si>
    <t>201663000-0050</t>
  </si>
  <si>
    <t>Fortalecimiento de la comunicación, la ciudadanía  y el sistema departamental de cultura  en el Quindio.</t>
  </si>
  <si>
    <t>Apoyar  dieciséis (16) actividades y/o proyectos  para el afianzamiento del Sistema Departamental de Cultura</t>
  </si>
  <si>
    <t xml:space="preserve">311 Secretaría de Turismo, Industria y Comercio </t>
  </si>
  <si>
    <t>Quindío rural, inteligente, competitivo y empresarial</t>
  </si>
  <si>
    <t>Quindío Prospero y productivo</t>
  </si>
  <si>
    <t>Igualar la tasa de desempleo del departamento al promedio nacional para el 2019</t>
  </si>
  <si>
    <t xml:space="preserve">Crear (1) y fortalecer (3) rutas competitivas </t>
  </si>
  <si>
    <t xml:space="preserve">13. Promoción del Desarrollo </t>
  </si>
  <si>
    <t>201663000-0051</t>
  </si>
  <si>
    <t>Apoyo al mejoramiento de la competitividad a iniciativas  productivas en el  Departamento del Quindío</t>
  </si>
  <si>
    <t xml:space="preserve">Equiparar el crecimiento del PIB del departamento  del Quindio al PIB Nacional </t>
  </si>
  <si>
    <t xml:space="preserve">3.4 </t>
  </si>
  <si>
    <t>4.6</t>
  </si>
  <si>
    <t>Conformar e implementar (3) tres clúster priorizados en el Plan de Competitividad</t>
  </si>
  <si>
    <t xml:space="preserve">Diseño, formulación y puesta en marcha del Centro  para el desarrollo y el  fortalecimiento de la investigación, tecnología,  Ciencia e Innovación .    </t>
  </si>
  <si>
    <t>201663000-0052</t>
  </si>
  <si>
    <t xml:space="preserve"> Fortalecimiento de  la   competitividad  a través de la  gestión de la innovación  y la tecnocología en el Departamento del Quindio</t>
  </si>
  <si>
    <t xml:space="preserve">Apoyar la formulación del proyecto: Red de conocimiento de agro negocios del departamento </t>
  </si>
  <si>
    <t xml:space="preserve">Diseñar y fortalecer un proyecto de I+D+I </t>
  </si>
  <si>
    <t>Hacia el Emprendimiento, Empresarismo, asociatividad y generación de empleo en el Departamento del Quindío</t>
  </si>
  <si>
    <t>Apoyar a doce (12) unidades de emprendimiento para jóvenes emprendedores.</t>
  </si>
  <si>
    <t>201663000-0053</t>
  </si>
  <si>
    <t xml:space="preserve"> Apoyo al emprendimiento, empresarismo, asociatividad y generación de empleo en el departamento del Quindío.</t>
  </si>
  <si>
    <t xml:space="preserve">Equiarar el crecimiento del PIB del departamento  del Quindio al PIB Nacional </t>
  </si>
  <si>
    <t xml:space="preserve">Diseñar un ecosistema Regional de Emprendimiento y Asociatividad                                                                                     </t>
  </si>
  <si>
    <t xml:space="preserve">Disminuir el Procentajes de personas en situción de pobreza </t>
  </si>
  <si>
    <t>31.7 0</t>
  </si>
  <si>
    <t>Apoyar   doce (12) Unidades de emprendimiento de grupos poblacionales con enfoque diferencial.</t>
  </si>
  <si>
    <t>Implementar un programa de gesiton financiera para el desarrollo de emprendimiento, empresarismo y asociatividad</t>
  </si>
  <si>
    <t>Quindío Sin Fronteras</t>
  </si>
  <si>
    <t xml:space="preserve">Igualar la tasa de desempleo del departamento al promedio nacional para el 2019 </t>
  </si>
  <si>
    <t>12.9</t>
  </si>
  <si>
    <t>8.9</t>
  </si>
  <si>
    <t>Fortalecer  doce (12) empresas en procesos internos y externos para la apertura a mercados regionales, nacionales e internacionales</t>
  </si>
  <si>
    <t>201663000-0056</t>
  </si>
  <si>
    <t xml:space="preserve">Fortalecimiento del sector empresarial  hacia mercados globales en el Departamento del Quindio .   </t>
  </si>
  <si>
    <t>Constituir e implementar una agencia de inversión empresarial</t>
  </si>
  <si>
    <t>27.</t>
  </si>
  <si>
    <t xml:space="preserve">Diseñar la  plataforma de servicios logísticos nacionales e internacionales tendiente a lograr del departamento un centro de articulación de occidente. </t>
  </si>
  <si>
    <t>Quindío Potencia Turística de Naturaleza y Diversión</t>
  </si>
  <si>
    <t xml:space="preserve">Fortalecimiento de la oferta de productos y atractivos turísticos </t>
  </si>
  <si>
    <t>5                   8</t>
  </si>
  <si>
    <t xml:space="preserve"> Igualar la tasa de desempleo del Departamento al promedio nacional para el 2019                                                                                                                                                                                                                                                                     Aumentar el 20%, en pesos constantes, el valor de “hoteles, restaurantes, bares y similares” en el PIB.  </t>
  </si>
  <si>
    <t>12.9                                 665</t>
  </si>
  <si>
    <t>8.9                                798</t>
  </si>
  <si>
    <t>Diseñar, crear y/o fortalecer 15 Productos turísticos para ser ofertados</t>
  </si>
  <si>
    <t>201663000-0059</t>
  </si>
  <si>
    <t>Fortalecimiento de la oferta de prestadores de servicos, productos y atractivos turísticos en el Departamento del Quindío.</t>
  </si>
  <si>
    <t xml:space="preserve">Elaborar e implementar  un Plan de Calidad Turística del Destino </t>
  </si>
  <si>
    <t>Mejoramiento de la competitividad del Quindío como destino turístico</t>
  </si>
  <si>
    <t>Gestionar y ejecutar (3) proyectos para mejorar la competitividad del Quindío como destino turístico</t>
  </si>
  <si>
    <t>201663000-0060</t>
  </si>
  <si>
    <t>Apoyo a la competitividad  como destino turístico en el Departamento del Quindío.</t>
  </si>
  <si>
    <t>Promoción nacional e internacional del departamento como destino turístico</t>
  </si>
  <si>
    <t>Construcción del Plan de Mercadeo Turístico</t>
  </si>
  <si>
    <t>201663000-0062</t>
  </si>
  <si>
    <t>Apoyo a la promoción nacional e internacional como destino  turísmo del Departamento del Quindío.</t>
  </si>
  <si>
    <t>312 Secretaría de Agricultura, Desarrollo Rural y Medio Ambiente</t>
  </si>
  <si>
    <t>Generación de entornos favorables y sostenibilidad ambiental</t>
  </si>
  <si>
    <t>Evitar que 15 mil toneladas de material recuperable llegue a los rellenos sanitarios en el departamento</t>
  </si>
  <si>
    <t xml:space="preserve">Implementar un (1)  Sistema de Gestión Ambiental Departamental SIGAD </t>
  </si>
  <si>
    <t xml:space="preserve">10. Ambiental </t>
  </si>
  <si>
    <t>201663000-0064</t>
  </si>
  <si>
    <t>Generación de entornos favorables y sostenibilidad ambiental para el Departamento del Quindío</t>
  </si>
  <si>
    <t>Mantener la oferta hídrica promedio anual  de las Unidades de Manejo de Cuenca (UMC) del departamento del Quindío</t>
  </si>
  <si>
    <t>43,29 m3/s</t>
  </si>
  <si>
    <t xml:space="preserve">Apoyar cuatro (4) planes de manejo de áreas protegidas del departamento </t>
  </si>
  <si>
    <t xml:space="preserve">Apoyar el Plan Departamental  para la Gestión Integral de la Biodiversidad y sus Servicios Ecosistémicos PDGIB 2013-2024  </t>
  </si>
  <si>
    <t>Disminuir la presión por cargas contaminantes, medida por el Índice de Alteración Potencial de la Calidad del Agua (IACAL), a categoría “moderada”</t>
  </si>
  <si>
    <t>Muy Alta</t>
  </si>
  <si>
    <t xml:space="preserve">Desarrollar en (5) cinco de los sectores productivos del departamento, actividades de producción más limpia y Buenas  Prácticas Ambientales (BPA) </t>
  </si>
  <si>
    <t xml:space="preserve">Apoyar a los doce (12) municipios en las acciones de control y vigilancia de la explotación minera en coordinación con la autoridad ambiental </t>
  </si>
  <si>
    <t>Caracterizar los servicios ecosistémicos en seis  (6) cuencas de abastecimiento de los acueductos municipales con sus correspondientes acciones de mejoramiento</t>
  </si>
  <si>
    <t xml:space="preserve">  10.  Ambiental </t>
  </si>
  <si>
    <t>201663000-0067</t>
  </si>
  <si>
    <t>Gestón integral de cuencas hirdográficas en el Departamento del Quindío</t>
  </si>
  <si>
    <t xml:space="preserve">Crear e implementar el Fondo del Agua del departamento del Quindío  </t>
  </si>
  <si>
    <t>Bienes y servicios ambientales para las nuevas generaciones</t>
  </si>
  <si>
    <t xml:space="preserve">2                                             4 </t>
  </si>
  <si>
    <t>Mantener la oferta hídrica promedio anual  de las Unidades de Manejo de Cuenca (UMC) del departamento del Quindío.                                                                                                                                                                             Aumentar a 3000 hectareas el area recuperada  rehabilitada o restaurada  en el Departamento de acuerdo a las areas determinadas para tal efecto en el Plan Nacional de restauración.</t>
  </si>
  <si>
    <t xml:space="preserve">43,29 m3/s                      2.730 Hectareas </t>
  </si>
  <si>
    <t>43,29 m3/s                                      3.000 Hectareas</t>
  </si>
  <si>
    <t xml:space="preserve">Conservar y restaurar seis (6) áreas de importancia estratégica para el recurso hídrico del departamento </t>
  </si>
  <si>
    <t>201663000-0068</t>
  </si>
  <si>
    <t>Aplicación de mecanismos de protección ambiental en el Departamento del Quindío.</t>
  </si>
  <si>
    <t>Conservar para la sostenibilidad ambiental dos (2) cuencas de los municipios con declaratoria de Paisaje Cultural Cafetero PCC</t>
  </si>
  <si>
    <t>201663000-0069</t>
  </si>
  <si>
    <t>Fortalecimiento  y potencialización de los servicios ecosistemicos en el Departamento del Quindío</t>
  </si>
  <si>
    <t xml:space="preserve">Promover la creación y adopción  en los doce (12) municipios del departamento, de herramientas para el estímulo de incentivos a la conservación </t>
  </si>
  <si>
    <t>Restaurar con obras de bioingeniería veinte (20) Ha en áreas o zonas críticas de riesgo.</t>
  </si>
  <si>
    <t>Aumentar a 3000 hectareas el area recuperada  rehabilitada o restaurada  en el Departamento de acuerdo a las areas determinadas para tal efecto en el Plan Nacional de restauración.</t>
  </si>
  <si>
    <t xml:space="preserve">2730 (4.08%) </t>
  </si>
  <si>
    <t>3000 (4.48%)</t>
  </si>
  <si>
    <t>Desarrollar treinta y un (31) estrategias de educación ambiental  en los espacios participativos, comunitarios y educativos del departamento</t>
  </si>
  <si>
    <t>Capacitar a doscientos cincuenta (250)   jóvenes,  mujeres, población vulnerable y con enfoque diferencial como líderes ambientales en el departamento.</t>
  </si>
  <si>
    <t>Innovación para una caficultura sostenible en el departamento del Quindío</t>
  </si>
  <si>
    <t>5                  6                   7</t>
  </si>
  <si>
    <t xml:space="preserve">Igualar la tasa de desempleo del departamento al promedio nacional para el 2019                                                                                                                                                                                                                                                                         Equiparar el crecimiento del PIB del departamento  del Quindio al PIB Nacional .                                                                                                                                                                                                                                                                                            Disminuir el Procentajes de personas en situción de pobreza                                                                                                                                                       </t>
  </si>
  <si>
    <t>12.9                                     3.4                                               31.70</t>
  </si>
  <si>
    <t xml:space="preserve">8.9                                   4.6                            27                     </t>
  </si>
  <si>
    <t>Capacitar a cuatrocientos (400) caficultores del departamento en producción limpia y sostenible con producción de café con taza limpia, catación, tostión y barismo</t>
  </si>
  <si>
    <t>201663000-0072</t>
  </si>
  <si>
    <t>Fortalecimiento e innovación empresarial  de la caficultura en el Departamento del Quindio</t>
  </si>
  <si>
    <t>Crear (6) seis grupos multiplicadores de conocimiento en emprendimiento y calidad del café  para jóvenes y mujeres rurales, campesinas y cafeteras</t>
  </si>
  <si>
    <t>Crear (1) portafolio de café origen Quindío a través de la valoración de 6000 predios</t>
  </si>
  <si>
    <t>Formalizar (1) un convenio interinstitucional para la inserción de los cafés de origen Quindío en los mercados nacionales e internacionales</t>
  </si>
  <si>
    <t>Centros Agroindustriales Regionales para la Paz - CARPAZ</t>
  </si>
  <si>
    <t>Crear e implementar seis (6) núcleos de asistencia técnica y transferencia de tecnología en el sector agropecuario</t>
  </si>
  <si>
    <t>201663000-0176</t>
  </si>
  <si>
    <t>Creacion e implementacion de los centros agroindustriales para  la paz CAPAZ en el Deparamento del Quindio</t>
  </si>
  <si>
    <t>Apoyar cinco (5) sectores productivos agropecuarios del departamento en métodos de mercadeo que propicien innovación en los aspectos comerciales de los productos del Quindío</t>
  </si>
  <si>
    <t>Crear  seis (6) centros logísticos  para la transformación agroindustrial - CARPAZ</t>
  </si>
  <si>
    <t>Capacitar seis (6) unidades agro empresariales de jóvenes y mujeres rurales</t>
  </si>
  <si>
    <t>Crear e implementar el Fondo de Financiamiento de Desarrollo Rural - FIDER</t>
  </si>
  <si>
    <t>Creacion e implementacion del Fondo de Finaanciamiento de Desarrollo Rural FIDER</t>
  </si>
  <si>
    <t>Reactivar un instrumento de prevención por eventos naturales para productos agrícolas.</t>
  </si>
  <si>
    <t>201663000-0175</t>
  </si>
  <si>
    <t>Implementacion de un instrumento para la Prevención de eventos naturales productos agricolas en e Departamento del Quindio</t>
  </si>
  <si>
    <t>Emprendimiento y empleo rural</t>
  </si>
  <si>
    <t xml:space="preserve">Igualar la tasa de desempleo del departamento al promedio nacional para el 2019      </t>
  </si>
  <si>
    <t>Apoyar la formalización de empresas en cuatro (4)  sectores productivos agropecuarios del Departamento</t>
  </si>
  <si>
    <t>201663000-0075</t>
  </si>
  <si>
    <t xml:space="preserve">Fomento al emprendimiento y  al empleo rural en el Departamento del Quindío  </t>
  </si>
  <si>
    <t xml:space="preserve">Equiparar el crecimiento del PIB del departamento  del Quindio al PIB Nacional .                                                                                                                                                                                                                                   </t>
  </si>
  <si>
    <t>Generar un apalancamiento a 100  iniciativas productivas rurales</t>
  </si>
  <si>
    <t xml:space="preserve">      Disminuir el Procentajes de personas en situción de pobreza         </t>
  </si>
  <si>
    <t xml:space="preserve">Capacitar mil doscientos (1200)  jóvenes y mujeres rurales en actividades agrícolas y no agrícolas </t>
  </si>
  <si>
    <t>Beneficiar a  dos mil cuatrocientas  (2400) mujeres rurales campesinas, personas en condición de vulnerabilidad y con enfoque diferencial en formación para el trabajo y el desarrollo humano</t>
  </si>
  <si>
    <t>Impulso a la competitividad productiva y empresarial del sector Rural</t>
  </si>
  <si>
    <t>Apoyar (5) cinco sectores productivos del Departamento en ruedas de negocio</t>
  </si>
  <si>
    <t>201663000-0078</t>
  </si>
  <si>
    <t>Fortalecimiento a la competitividad productiva y empresarial del sector rural en el Departamento del Quindio</t>
  </si>
  <si>
    <t>Realizar (3) tres eventos  de capacitación para acceder a mercados internacionales</t>
  </si>
  <si>
    <t>Diseñar e implementar (1) un instrumento de planificación e información rural para la comercialización de productos transables</t>
  </si>
  <si>
    <t>.</t>
  </si>
  <si>
    <t xml:space="preserve"> INCLUSION SOCIAL</t>
  </si>
  <si>
    <t>Soberanía, seguridad alimentaria y nutricional</t>
  </si>
  <si>
    <t>Fomento a la Agricultura Familiar Campesina, agricultura urbana y mercados campesinos para la soberanía y  Seguridad alimentaria</t>
  </si>
  <si>
    <t>Reducir la proporción de los alimentos importados (frutas y verduras) de otros departamentos</t>
  </si>
  <si>
    <t>Diseñar e implementar un (1) programa de agricultura familiar campesina</t>
  </si>
  <si>
    <t xml:space="preserve">8. Agropecuario </t>
  </si>
  <si>
    <t>201663000-0079</t>
  </si>
  <si>
    <t>Fomento a la agricultura familiar , urbana y  mercados campesinos para la soberanía y  Seguridad alimentaria en el Departamento del Quindio.</t>
  </si>
  <si>
    <t>Apoyar la conformación de cuatro (4) alianzas para contratos de compra anticipada de productos de la agricultura familiar en el departamento del Quindío</t>
  </si>
  <si>
    <t>Sembrar quinientas (500) Ha de productos de la canasta básica familiar para aumentar la disponibilidad de alimentos</t>
  </si>
  <si>
    <t>Mejorar el estado nutricional de 1795 niños menor de 5 años y de 1531 niños de 6 a 18 años  en riesgo de desnutrición en el departamento</t>
  </si>
  <si>
    <t>Beneficiar a 2400 familias urbanas y periurbanas con parcelas de agricultura familiar para autoconsumo y comercio de excedentes</t>
  </si>
  <si>
    <t>313 Oficina Privada</t>
  </si>
  <si>
    <t xml:space="preserve">Elevar el promedio de participación de la ciudadania en los procesos de elección  popular en el cuatrenio </t>
  </si>
  <si>
    <t xml:space="preserve">Realizar 40 eventos  de sensibilización en transparencia , participación, buen gobierno y valores éticos y morales  </t>
  </si>
  <si>
    <t xml:space="preserve">17. Fortalecimiento Institucional </t>
  </si>
  <si>
    <t>201663000-0082</t>
  </si>
  <si>
    <t>Desarrollar y fortalecer la cultura de la transparencia, participación, buen gobierno  y valores éticos y morales en el Departamento del Quindio</t>
  </si>
  <si>
    <t xml:space="preserve">Elevar el promedio de participación de la ciudadania en los procesos de lecció  popular en el cuatrenio </t>
  </si>
  <si>
    <t>Implementar una (1) sala de transparencia "Urna de Cristal" en el Departamento</t>
  </si>
  <si>
    <t>201663000-0083</t>
  </si>
  <si>
    <t>Implementacion de una (1) sala de transparencia "Urna de Cristal" en el Departamento del Quindio</t>
  </si>
  <si>
    <t xml:space="preserve">Desarrollar e implementar una (1) estrategía de comunicaciones </t>
  </si>
  <si>
    <t>201663000-0081</t>
  </si>
  <si>
    <t xml:space="preserve">Implementación de  la estrategia de comunicaciones para  la divulgación de  los programas, proyectos,  actividades y servicios del Departamento del Quindío </t>
  </si>
  <si>
    <t>314 Secretaría de Educación - 1404 Inversión</t>
  </si>
  <si>
    <t>Cobertura Educativa</t>
  </si>
  <si>
    <t>Acceso y Permanencia</t>
  </si>
  <si>
    <t>Aumentar la cobertura neta en la educación secundaria en el departamento del Quindio</t>
  </si>
  <si>
    <t>Implementar un (1) plan, programa y/o proyecto para el acceso de niños, niñas y jóvenes en las instituciones educativas</t>
  </si>
  <si>
    <t xml:space="preserve">1. Educación </t>
  </si>
  <si>
    <t>201663000-0084</t>
  </si>
  <si>
    <t xml:space="preserve"> Fortalecimiento de las estrategias para el acceso,  permanencia y seguridad  de los niños, niñas y jóvenes en el  sistema  educativo del Departamento del Quindio. </t>
  </si>
  <si>
    <t xml:space="preserve">Disminuir la proporción de niños que desertan en educación básica secundaria y media </t>
  </si>
  <si>
    <t xml:space="preserve">      8.06  EBS                                            5.77 EM </t>
  </si>
  <si>
    <t xml:space="preserve">     5  EBS                                                        4 EM</t>
  </si>
  <si>
    <t>Implementar el Programa de Alimentación Escolar (PAE) en el departamento del Quindío</t>
  </si>
  <si>
    <t>Declarar al Departamento  libre de analfabetismo</t>
  </si>
  <si>
    <t>Implementar el programa de transporte escolar en el departamento del Quindío</t>
  </si>
  <si>
    <t>Educación inclusiva con acceso y permanencia para poblaciones vulnerables - diferenciales</t>
  </si>
  <si>
    <t>Atender cuatro mil quinientos (4.500)  personas de la población adulta del departamento (jóvenes y adultos, madres cabeza de hogar)</t>
  </si>
  <si>
    <t>201663000-0086</t>
  </si>
  <si>
    <t>Implementación de estrategias de inclusión para garantizar la atención educativa a población vulnerable en el  Departamento del  Quindío.</t>
  </si>
  <si>
    <t>Diseñar e implementar una estrategia que permita disminuir la tasa de analfabetismo en los municipios del Departamento del Quindío</t>
  </si>
  <si>
    <t xml:space="preserve">                                            8.06   EBS                                5.77 EM </t>
  </si>
  <si>
    <t xml:space="preserve">                                    5 EBS                        4 EM</t>
  </si>
  <si>
    <t>Atender cuatrocientos noventa (490) personas de la población étnica (Afro descendientes e indígenas)  en el sistema educativo en los diferentes niveles.</t>
  </si>
  <si>
    <t xml:space="preserve">Aumentar la cobertura de adultos mayores atendidos </t>
  </si>
  <si>
    <t xml:space="preserve">Atender dos mil quinientos setenta estudiantes (2570) en condición de población  victima del conflicto, residentes en el departamento del Quindío </t>
  </si>
  <si>
    <t>Atender  cuatrocientos cincuenta y cinco (455)  menores y/o adultos  que se encuentran en riesgo social    en conflicto con la ley penal,  iletrados, habitantes de frontera y/o menores  trabajadores.</t>
  </si>
  <si>
    <t>Diseñar e implementar un plan para la caracterización y atención de la población en condiciones especiales y excepcionales del departamento</t>
  </si>
  <si>
    <t xml:space="preserve">14                                        15                                19 </t>
  </si>
  <si>
    <t xml:space="preserve">Declarar al Departamento  libre de analfabetismo                                                                                                                                                                                                                                                                                                                                                     Aumentar la cobertura neta en la educación secundaria en el departamento del Quindio.                                                                                                                                                                                                                                                        Disminuir la proporción de niños que desertan en educación básica secundaria y media.                                                                                                      </t>
  </si>
  <si>
    <t xml:space="preserve">6.20                                               73.23                                                       8.06 EBS                                          5.77 EM         </t>
  </si>
  <si>
    <t xml:space="preserve">3                                                                                             78                                                                    5 EBS                                                                            4 EM </t>
  </si>
  <si>
    <t>Sostener dos mil doscientos treinta y dos (2.232) docentes, directivos docentes y administrativos viabilizados por el ministerio de educación nacional vinculados a la secretaria de educación departamental</t>
  </si>
  <si>
    <t>201663000-0087</t>
  </si>
  <si>
    <t>Aplicación funcionamiento y prestación del servicio educativo de las instituciones educativas</t>
  </si>
  <si>
    <t>Calidad Educativa</t>
  </si>
  <si>
    <t>Calidad Educativa para la Paz</t>
  </si>
  <si>
    <t xml:space="preserve">Mejorar el  índice sintético de calidad educativa (ISCE) en el nivel de básica primaria,  por encima del promedio nacional, en treinta  y seis  (36)  Instituciones Educativas oficiales </t>
  </si>
  <si>
    <t>201663000-0089</t>
  </si>
  <si>
    <t xml:space="preserve">
Implementación de  estrategias para el mejoramiento continuo del indice sintetico de calidad educativa en los niveles de básica primaria, básica secundaria y nivel de media en el Departamento del Quindio 
</t>
  </si>
  <si>
    <t>Capacitar a mil doscientos (1.200) docentes en estrategias para el mejoramiento del ISCE en el Departamento del Quindío</t>
  </si>
  <si>
    <t xml:space="preserve"> Duplicar el número de instituciones educativas oficiales del departamento con el índice sintetico de calidad educativa (ISCE) en el nivel de básica primaria, secundaria y media por encima del promedio nacional</t>
  </si>
  <si>
    <t>Beneficiar a ochenta (80) docentes  con becas de posgrado</t>
  </si>
  <si>
    <t xml:space="preserve">Apoyar quince (15) instituciones educativas participando en el programa todo a aprender </t>
  </si>
  <si>
    <t xml:space="preserve">Disminuir las Instituciones de Educación que fueron calificadas en el nivel C por resultados obtenidos en pruebas saber 11 </t>
  </si>
  <si>
    <t>Brindar acompañamiento a doscientos treinta (230) docentes con  tutores PTA</t>
  </si>
  <si>
    <t>Beneficiar a 4.700  estudiantes con el  Programas Todos  a Aprender</t>
  </si>
  <si>
    <t xml:space="preserve">Mejorar el  índice sintético de calidad educativa (ISCE) en el nivel de básica secundaria,  por encima del promedio nacional, en cuarenta  y un  (41)  Instituciones Educativas oficiales </t>
  </si>
  <si>
    <t xml:space="preserve">Mejorar el  índice sintético de calidad educativa (ISCE) en el nivel de media,  por encima del promedio nacional, en cuarenta  (40)  Instituciones Educativas oficiales </t>
  </si>
  <si>
    <t>Educación, Ambientes Escolares y Cultura para la Paz</t>
  </si>
  <si>
    <t xml:space="preserve">Fortalecer cincuenta y cuatro (54) comités de convivencia escolar de las instituciones educativas </t>
  </si>
  <si>
    <t>201663000-0090</t>
  </si>
  <si>
    <t>Mejoramiento de ambientes escolares y  fortalecimiento de modelos educativos articuladores de la ciencia, los lenguajes, las artes y el deporte en el Departamento del Quindio</t>
  </si>
  <si>
    <t>Diseñar y ejecutar treinta (30)  proyectos educativos institucionales resignificados en el contexto de la paz y la jornada única</t>
  </si>
  <si>
    <t xml:space="preserve">Diseñar e implementar la estrategia "escuela de padres" en treinta (30) instituciones educativas  </t>
  </si>
  <si>
    <t>Conformar y dotar   grupos culturales y artísticos en treinta (30)  instituciones educativas con  protagonismo en cada uno de los municipios</t>
  </si>
  <si>
    <t>Implementar el proyecto PRAE en treinta y seis (36)  instituciones educativas del departamento</t>
  </si>
  <si>
    <t xml:space="preserve">        8.06   EBS                                5.77 EM </t>
  </si>
  <si>
    <t xml:space="preserve">     5 EBS                                                                       4 EM</t>
  </si>
  <si>
    <t>Realizar ocho (8) eventos académicos, investigativos y culturales</t>
  </si>
  <si>
    <t xml:space="preserve">Implementar el  programa de  jornada única con el acceso y permanencia de veinte mil (20.000) estudiantes </t>
  </si>
  <si>
    <t xml:space="preserve">Mantener, adecuar y/o construir la infraestructura ciento treinta (130) sedes de las instituciones educativas  </t>
  </si>
  <si>
    <t xml:space="preserve">Dotar cincuenta y cuatro (54) instituciones educativas con material didáctico, mobiliario escolar y/o infraestructura tecnológica  </t>
  </si>
  <si>
    <t xml:space="preserve">Implementar la jornada complementaria y/o única que articule arte, deporte y cultura, en seis municipios declarados en el Sistema de Alertas Tempranas de la Defensoria del Pueblo </t>
  </si>
  <si>
    <t>Plan Departamental del Lectura y Escritura</t>
  </si>
  <si>
    <t xml:space="preserve">Implementar el programa "pásate a la biblioteca"  en treinta y seis (36)  instituciones educativas </t>
  </si>
  <si>
    <t>201663000-0091</t>
  </si>
  <si>
    <t>Implementación de  estrategias educativas en  lectura y escritura en las instituciones educativas en el Departamento del Quindío.</t>
  </si>
  <si>
    <t xml:space="preserve">Dotar ciento cuarenta (140) sedes educativas con la colección semilla </t>
  </si>
  <si>
    <t xml:space="preserve">   8.06   EBS                                5.77 EM </t>
  </si>
  <si>
    <t xml:space="preserve">       5   EBS                                                          4 EM</t>
  </si>
  <si>
    <t>Apoyar los  procesos de capacitación  de quinientos (500) docentes del departamento</t>
  </si>
  <si>
    <t xml:space="preserve">Realizar seis (6)  festivales o encuentros de literatura y escritura el departamento </t>
  </si>
  <si>
    <t>Funcionamiento de las Instituciones Educativas</t>
  </si>
  <si>
    <t xml:space="preserve">6.20                        73.23                                   8.06 EBS                  5.77 EM         </t>
  </si>
  <si>
    <t xml:space="preserve">3                                      78                              5 EBS                                       4 EM </t>
  </si>
  <si>
    <t>201663000-0093</t>
  </si>
  <si>
    <t>Mejoramiento de estrategias que permitan una mayor eficiencia en la gestion de procesos y proyectos de las instituciones educativas del Departamento del Quindio.</t>
  </si>
  <si>
    <t>Pertinencia e Innovación</t>
  </si>
  <si>
    <t>Quindío Bilingüe</t>
  </si>
  <si>
    <t>Apoyar cincuenta y cinco (55) docentes licenciados en lenguas modernas formados en ingles con  dominio B2</t>
  </si>
  <si>
    <t>201663000-0094</t>
  </si>
  <si>
    <t>Implementación de estrategias para el mejoramiento de las competencias en lengua extranjera en estudiantes y docentes de las instituciones educativas del Departamento del Quindío</t>
  </si>
  <si>
    <t xml:space="preserve"> Duplicar el número de instituciones educativas oficiales del departamento con el índice sintetico de calidad educativa (ISCE) en el nivel de básica primaria, secundaria y media por encima del promedio nacional.         </t>
  </si>
  <si>
    <t>Cualificar la formación de ciento cincuenta (150) docentes de preescolar y básica primaria en inglés con dominio A2 y B1 y metodología para la enseñanza</t>
  </si>
  <si>
    <t>Iniciar el proceso de bilinguismo  en niños  entre pre-escolar - quinto grado de primaria de colegios públicos en seis (6) municipios</t>
  </si>
  <si>
    <t>Dotar cincuenta y cuatro (54) instituciones educativas con herramientas audiovisuales para la enseñanza del ingles</t>
  </si>
  <si>
    <t>Realizar siete (7)  concursos  para evaluar las competencias comunicativas en ingles de los estudiantes</t>
  </si>
  <si>
    <t>Fortalecimiento de la Media Técnica</t>
  </si>
  <si>
    <t>Desarrollar doce (12) talleres para docentes en el uso de las TICs</t>
  </si>
  <si>
    <t>201663000-0095</t>
  </si>
  <si>
    <t xml:space="preserve">Fortalecimiento de los niveles de educación  básica y media para la articulación con la educación terciaria en el Departamento del Quindio </t>
  </si>
  <si>
    <t xml:space="preserve">Disminuir las Instituciones de Educación que fueron calificadas en el nivel C por resultados obtenidos en pruebas saber 11 .    </t>
  </si>
  <si>
    <t>Fortalecer cincuenta (50)   instituciones educativas en competencias básicas</t>
  </si>
  <si>
    <t xml:space="preserve"> Duplicar los programas en la educación superior acreditados en alta calidad.   </t>
  </si>
  <si>
    <t>Fortalecer cuarenta y siete (47) instituciones educativas con el programa de articulación con la educación superior y ETDH</t>
  </si>
  <si>
    <t xml:space="preserve">Disminuir la proporción de estudiantes que desertan en educación superior  </t>
  </si>
  <si>
    <t>8.8                                                                    DE CADA 100</t>
  </si>
  <si>
    <t>7                                                                   DE CADA 100</t>
  </si>
  <si>
    <t xml:space="preserve">Implementar un Programa de Alimentación Escolar Universitario PAEU para estudiantes universitarios </t>
  </si>
  <si>
    <t>Implementar el programa de acceso y permanencia de la educación técnica, tecnologica y superior en el departamento del Quindío</t>
  </si>
  <si>
    <t>Eficiencia educativa</t>
  </si>
  <si>
    <t>Eficiencia y modernización administrativa</t>
  </si>
  <si>
    <t>Fortalecer, hacer seguimiento y auditar cuatro (4)  procesos certificados con que cuenta la Secretaria de Educación Departamental</t>
  </si>
  <si>
    <t>201663000-0096</t>
  </si>
  <si>
    <t xml:space="preserve">Fortalecimiento de los niveles de eficiencia administrativa en la Secretaría de Educación Departamental del Quindío </t>
  </si>
  <si>
    <t>Crear e implementar  en cincuenta y dos (52) instituciones educativas procesos presupuestales y financieros integrados</t>
  </si>
  <si>
    <t>Otros proyectos de conectividad</t>
  </si>
  <si>
    <t>15           16                 17</t>
  </si>
  <si>
    <t xml:space="preserve">Aumentar la cobertura neta en educacion secundaria en el Departamento del Quindio                                                                                                                                                                                                                                                      Duplicar el número de instituciones educativas oficiales del departamento con el índice sintetico de calidad educativa (ISCE) en el nivel de básica primaria, secundaria y media por encima del promedio nacional.                                                                                                                                                    Disminuir las Instituciones de Educación que fueron calificadas en el nivel C por resultados obtenidos en pruebas saber 11 .  </t>
  </si>
  <si>
    <t>73.23%                                                                 45                                                              63.27%</t>
  </si>
  <si>
    <t>78%                                                                  90                                                            50%</t>
  </si>
  <si>
    <t>Implementar y/o mejorar el sistema de conectividad en 200 sedes educativas oficiales en el departamento.</t>
  </si>
  <si>
    <t>201663000-0097</t>
  </si>
  <si>
    <t xml:space="preserve">Fortalecimiento de las herramientas tecnológicas en las Instituciones Educativas del Departamento del Quindío </t>
  </si>
  <si>
    <t>Realizar el pago oportuno al 100% de los funcionarios de la planta de  administrativos, docentes y directivos docentes del sector central</t>
  </si>
  <si>
    <t>201663000-0098</t>
  </si>
  <si>
    <t>Funcionamiento y Prestación de Servicios del Sector Educativo del nivel Central  en el Departamento del Quindio</t>
  </si>
  <si>
    <t>Eficiencia administrativa y docente en la  gestión del bienestar laboral</t>
  </si>
  <si>
    <t>Realizar el reconocimiento a sesenta (60) docentes, directivos docentes y/o personal administrativo</t>
  </si>
  <si>
    <t>201663000-0100</t>
  </si>
  <si>
    <t>Mejoramiento  de la gestión admnistrativa y docente para la eficiencia del bienestar laboral   del Departamento del Quindio</t>
  </si>
  <si>
    <t>Realizar (ocho) 8 eventos y actividades culturales y recreativas, desarrolladas para los funcionarios del servicio educativo del departamento del Quindío</t>
  </si>
  <si>
    <t>Atención Integral a la Primera Infancia</t>
  </si>
  <si>
    <t xml:space="preserve">Educación Inicial Integral </t>
  </si>
  <si>
    <t>24                                                 25                                                 29                                    30                                         33</t>
  </si>
  <si>
    <t>Disminuir o mantener la proporción de niños menores de 5 años en riesgo de desnutrición moderada o severa aguda.                                                                                                                                                                                        Reducir la mortalidad de niños menores de 5 años por ERA.                                                                                                                                                                                                                                                                                                                Disminuir o mantener mortalidad en menores de 1 año.                                                                                                                                                                                                                                                                                                                                                                    Disminuir o mantener la mortalidad en menores de 5 años.                                                                                                                                                                                                                                                                                                                     Sostener la tasa de mortalidad materna por causas directas</t>
  </si>
  <si>
    <t xml:space="preserve">2.1/100                    13/100.000                                    8.8/1000                 11.34/1000                 0                      </t>
  </si>
  <si>
    <t xml:space="preserve"> 2.1/100                                         10/100.000                           8.8/1000                               11.34/1000                                 0</t>
  </si>
  <si>
    <t>Implementar  un (1)  programa de educación integral  a la primera infancia</t>
  </si>
  <si>
    <t>201663000-0101</t>
  </si>
  <si>
    <t xml:space="preserve">Implementación del modelo de atención integral de la educación inicial en el Departamento del  Quindio. </t>
  </si>
  <si>
    <t>316 Secretaría de Familia</t>
  </si>
  <si>
    <t>Niños y Niñas en entornos Protectores-semillas infantiles-</t>
  </si>
  <si>
    <t>Implementar  un modelo intersectorial  de atención  integral  y entornos protectores (hogar,  educativo, salud, espacio público e institucionales)   implementado.</t>
  </si>
  <si>
    <t xml:space="preserve">14. Atención a grupos vulnerables - Promoción Social </t>
  </si>
  <si>
    <t>201663000-0102</t>
  </si>
  <si>
    <t>Implementación de un modelo de atención integral a niños y niñas en entornos protectores en el Departamento del Quindìo</t>
  </si>
  <si>
    <t>Apoyar la creación y/o implementación de Rutas integrales de Atención a la primera infancia.</t>
  </si>
  <si>
    <t>Promoción y  Protección  de la Familia</t>
  </si>
  <si>
    <t xml:space="preserve">Familias para la Construcción  del Quindío como  territorio de paz. </t>
  </si>
  <si>
    <t>    Disminuir incidencia de violencia intrafamiliar</t>
  </si>
  <si>
    <t>174.7/100.000</t>
  </si>
  <si>
    <t>150/100.000</t>
  </si>
  <si>
    <t xml:space="preserve">Formular  e implementar  la política pública departamental de familias para la construcción  del Quindío como  territorio de paz. </t>
  </si>
  <si>
    <t>201663000-0103</t>
  </si>
  <si>
    <t>Formulación e implementación de  la politica pública  de la familia en el departamento del Quindio</t>
  </si>
  <si>
    <t xml:space="preserve">Quindío departamento de derechos  de niñas, niños y adolescentes </t>
  </si>
  <si>
    <t>22                31          32</t>
  </si>
  <si>
    <t>Disminuir incidencia de violencia intrafamiliar.                                                                                                                                                                                                                                                                                                                                               Disminuir la incidencia de embarazo en adolescentes                                                                                                                                                                                                                                                                                                                                                 Reducir la proporción de jóvenes en el sistema de responsabilidad penal con riesgo alto de reiincidencia en las conductas delicitivas</t>
  </si>
  <si>
    <t>174,7 x 100 mil habitantes.      24.90.                        6 de cada 10</t>
  </si>
  <si>
    <t>150 x 1000 habitantes.    20%     5 de cada 10</t>
  </si>
  <si>
    <t>Implementar la política pública de primera infancia, infancia y adolescencia</t>
  </si>
  <si>
    <t>201663000-0109</t>
  </si>
  <si>
    <t>Implementación de la  política de primera infancia, infancia y adolescencia en el Departamento del Quindio</t>
  </si>
  <si>
    <t>Implementar  una estrategia de prevención y atención de embarazos y segundos embarazos a temprana edad.</t>
  </si>
  <si>
    <t xml:space="preserve">Implementar una  estrategia  de prevención y atención de la erradicación del abuso, explotación sexual comercial, trabajo infantil y peores formas de trabajo, y actividades delictivas. </t>
  </si>
  <si>
    <t xml:space="preserve"> "Sí para ti" atención integral a adolescentes y jóvenes </t>
  </si>
  <si>
    <t>Disminuir incidencia de violencia intrafamiliar</t>
  </si>
  <si>
    <t>174,7 x 100 mil habitantes</t>
  </si>
  <si>
    <t>150 x 1000 habitantes</t>
  </si>
  <si>
    <t>Revisar, ajustar e implementar la política pública de juventud del departamento</t>
  </si>
  <si>
    <t>201663000-0110</t>
  </si>
  <si>
    <t>Desarrollo de acciones encaminadas a la atención integral  de los adolescentes y jóvenes del Departamento del Quindio</t>
  </si>
  <si>
    <t xml:space="preserve"> Disminuir la incidencia de embarazo en adolescentes</t>
  </si>
  <si>
    <t>Implementar  dos (2) estrategias de prevención para adolescentes y jóvenes en riesgo social y/o vinculados a la Ley de responsabilidad  penal</t>
  </si>
  <si>
    <t>6 de cada 10</t>
  </si>
  <si>
    <t xml:space="preserve">5 de cada 10 </t>
  </si>
  <si>
    <t>Desarrollar e implementar una estrategia de prevención del consumo de sustancias psico activas  (SPA)  dirigida a adolescentes y jóvenes del departamento.</t>
  </si>
  <si>
    <t xml:space="preserve">Capacidad sin limites. </t>
  </si>
  <si>
    <t xml:space="preserve"> Aumentar el % de personas discapacitadas atendidas</t>
  </si>
  <si>
    <t>Revisar, ajustar  e implementar   la política pública departamental de discapacidad  "Capacidad sin limites",</t>
  </si>
  <si>
    <t>201663000-0114</t>
  </si>
  <si>
    <t>Actualización e implementación  de   la política pública departamental de discapacidad  "Capacidad sin limites" en el Quindio.</t>
  </si>
  <si>
    <t>Genero, Poblaciones vulnerables y con enfoque diferencial</t>
  </si>
  <si>
    <t>Prevención y Atención a la población en estado de vulnerabilidad  extrema y migrantes.</t>
  </si>
  <si>
    <t>Diseñar e implementar una estrategia  para la atención de la población en situación de vulnerabilidad extrema del departamento. (habitantes de calle, trabajo sexual,    reincidencia delictiva, drogadicción, bandas delincuenciales, entre otras)</t>
  </si>
  <si>
    <t>201663000-0117</t>
  </si>
  <si>
    <t xml:space="preserve">Diseño e implementación  de una estrategia para la atención de la  población  en vulnerabiliada extrema  en el Departamento del Quindio  </t>
  </si>
  <si>
    <t>implementar  un  programa  departamental para la atención y acompañamiento a la población migrante  y de repatriación .</t>
  </si>
  <si>
    <t>201663000-0118</t>
  </si>
  <si>
    <t>Implementación del programa  para la atención y acompañamiento  del ciudadano migrante  y de repatración en el Departamento del Quindio.</t>
  </si>
  <si>
    <t xml:space="preserve">Pervivencia de los pueblos indígenas en el marco de la Paz </t>
  </si>
  <si>
    <t>Apoyar el plan de vida para el resguardo indígena Dachi Agore Drua del municipio de Calarcá</t>
  </si>
  <si>
    <t>201663000-0121</t>
  </si>
  <si>
    <t>Fortalecimiento resguardo  indígena DACHI AGORE DRUA del municipio de Calarcá del Departamento del Quindío.</t>
  </si>
  <si>
    <t>Apoyar   y fortalecer  la elaboración y puesta en marcha  de  planes de vida de los pueblos indígenas asentados en el Departamento del Quindío.</t>
  </si>
  <si>
    <t>201663000-0122</t>
  </si>
  <si>
    <t xml:space="preserve">Apoyo  a la elaboración y puesta marcha de Planes de Vida  de los cabildos indigenas en el departamento del Quindio  </t>
  </si>
  <si>
    <t xml:space="preserve">Población afro descendiente por el camino de la paz </t>
  </si>
  <si>
    <t xml:space="preserve">Elevar el promedio de la participación de la ciudadanía en los procesos de elección popular en el cuatrienio </t>
  </si>
  <si>
    <t>54,61%</t>
  </si>
  <si>
    <t xml:space="preserve">Implementar  un programa  articulado interinstitucional para la atención integral con enfoque diferencial  a la población afro descendiente del Departamento del Quindío en sus diferentes formas organizativas </t>
  </si>
  <si>
    <t>201663000-0124</t>
  </si>
  <si>
    <t xml:space="preserve">Implementación de un  programa de atención integral a la población  afrodescendiente en el Departamento del Quindio </t>
  </si>
  <si>
    <t>Sí a la diversidad sexual e identidad de género y su familia.</t>
  </si>
  <si>
    <t>30.7%                                          174,7/1000</t>
  </si>
  <si>
    <t>27%                            150/1000</t>
  </si>
  <si>
    <t>Formular  la política pública departamental de diversidad sexual e identidad de género</t>
  </si>
  <si>
    <t>201663000-0125</t>
  </si>
  <si>
    <t>Fomulación e implementación de la politca pública  de diversidad sexual en el Departamento del Quindio</t>
  </si>
  <si>
    <t>Mujeres constructoras de Familia y de paz.</t>
  </si>
  <si>
    <t>30.7%</t>
  </si>
  <si>
    <t>Revisar, ajustar  e  implementar  la política publica de equidad de género para la  mujer del departamento</t>
  </si>
  <si>
    <t>201663000-0128</t>
  </si>
  <si>
    <t>Implementación de la polìtica pùblica de equidad de género para la mujer en el Departamento del Quindìo</t>
  </si>
  <si>
    <t>Atención integral al Adulto Mayor</t>
  </si>
  <si>
    <t xml:space="preserve">Quindío para todas las edades </t>
  </si>
  <si>
    <t>Aumentar la cobertura de adultos mayores atendidos</t>
  </si>
  <si>
    <t>23 mil adultos mayores atendidos</t>
  </si>
  <si>
    <t>24 mil adultos mayores atendidos</t>
  </si>
  <si>
    <t>Revisar, ajustar  e implementar  la política pública departamental "Un Quindío para todas las edades 2010-2020"</t>
  </si>
  <si>
    <t>201663000-0129</t>
  </si>
  <si>
    <t xml:space="preserve">Apoyo y bienestar integral a las personas mayores del Departamento del Quindio </t>
  </si>
  <si>
    <t>Crear el cabildo de adulto mayor del Departamento y apoyar la creación en once municipios del Quindío</t>
  </si>
  <si>
    <t xml:space="preserve">Apoyar 12 centros de bienestar del departamento </t>
  </si>
  <si>
    <t xml:space="preserve">Apoyar 14 centros vida del departamento </t>
  </si>
  <si>
    <t>317 Secretaría de Representación Judicial</t>
  </si>
  <si>
    <t xml:space="preserve"> Elevar el promedio de la participación de la ciudadanía en los procesos de elección popular en el cuatrienio </t>
  </si>
  <si>
    <t>Establecer y socializar veinte (20)  políticas desde la cultura de la legalidad y  la prevención de daño antijurídico en los municipios del departamento</t>
  </si>
  <si>
    <t>201663000-0131</t>
  </si>
  <si>
    <t>Formulación adopción e implementación de políticas de prevención del daño antijurídico en el Departamento del Quindío</t>
  </si>
  <si>
    <t>318 Secretaría de Salud - 1801- Régimen Subsidiado - 1802 Prestación de Servicios -1803 Salud Pública - 1804 Otros Gastos en Salud</t>
  </si>
  <si>
    <t xml:space="preserve">Fortalecimiento a la vigilancia en  la seguridad alimentaria y nutricional del Quindío. </t>
  </si>
  <si>
    <t>Implementar una estrategia que determine de forma oportuna el  número de brotes de enfermedades transmitidas por alimentos (ETA) con agente etiológico identificado en alimentos de mayor consumo.</t>
  </si>
  <si>
    <t xml:space="preserve">2. Salud </t>
  </si>
  <si>
    <t>201663000-0132</t>
  </si>
  <si>
    <t>Aprovechamiento biológico y consumo de  alimentos idóneos  en el Departamento del Quindio</t>
  </si>
  <si>
    <t xml:space="preserve"> Disminuir o mantener la proporción de niños menores de 5 años en riesgo de desnutrición moderada o severa aguda</t>
  </si>
  <si>
    <t>2,1 de cada 100</t>
  </si>
  <si>
    <t xml:space="preserve">Ejecutar el plan decenal de lactancia materna </t>
  </si>
  <si>
    <t>Fortalecer la atención integral  en seis (6) poblaciones vulnerables (etnias)  en menores de cinco años con casos de desnutrición</t>
  </si>
  <si>
    <t>Salud Pública para un Quindío saludable y posible</t>
  </si>
  <si>
    <t>Salud ambiental</t>
  </si>
  <si>
    <t>Formular, aprobar y divulgar  la Política Integral de Salud Ambiental (PISA)</t>
  </si>
  <si>
    <t>201663000-0133</t>
  </si>
  <si>
    <t>Control Salud Ambiental Departamento del Quindío.</t>
  </si>
  <si>
    <t xml:space="preserve">Generar los mapas de riesgo y vigilancia de la calidad de agua para consumo humano en  los doce (12) municipios del departamento </t>
  </si>
  <si>
    <t>Sexualidad, derechos sexuales y reproductivos</t>
  </si>
  <si>
    <t xml:space="preserve"> Disminuir incidencia de violencia intrafamiliar</t>
  </si>
  <si>
    <t>150 x 100 mil  habitantes</t>
  </si>
  <si>
    <t>Lograr que ocho (8) municipios del departamento operen el sistema de vigilancia en salud pública de la violencia intrafamiliar.</t>
  </si>
  <si>
    <t>201663000-0134</t>
  </si>
  <si>
    <t>Fortalecimiento de acciones de intervención inherentes a los derechos sexuales y reproductivos  en el Departamento del Quindio.</t>
  </si>
  <si>
    <t>Desarrollar acciones articuladas intersectorialmente en los doce (12) municipios del departamento, con enfoque de derechos en colectivos LGTBI, jóvenes, mujeres gestantes adolescentes.</t>
  </si>
  <si>
    <t>Sostener la tasa de Mortalidad Materna por causas directas.</t>
  </si>
  <si>
    <t>Vincular cuatro mil ochocientos (4.800) mujeres gestantes al programa de control prenatal antes de la semana 12 de edad gestacional.</t>
  </si>
  <si>
    <t>Canalizar acciones de promoción de la salud en el desarrollo de la política Nacional de sexualidad, derechos sexuales y reproductivos</t>
  </si>
  <si>
    <t>Convivencia social y salud mental</t>
  </si>
  <si>
    <t>Ajustar e implementar  la política de salud mental en los 12 municipios del Departamento, conforme a los lineamientos y desarrollos técnicos definidos por el Ministerio de Salud y Protección Social.</t>
  </si>
  <si>
    <t>201663000-0135</t>
  </si>
  <si>
    <t>Fortalecimiento, promoción de la salud y prevención primaria en salud mental en el Departamento del Quindío.</t>
  </si>
  <si>
    <t>Adoptar  e implementar en los doce (12) municipios el plan departamental de la reducción del consumo de sustancias psicoactivas SPA conforme a lineamientos y desarrollos técnicos entorno a la demanda.</t>
  </si>
  <si>
    <t>Estilos de vida saludable y condiciones no-transmisibles</t>
  </si>
  <si>
    <t>Aumentar la utilización de escenarios deportivos como coliseos y canchas de fútbol</t>
  </si>
  <si>
    <t>Implementar la estrategia  denominada "Cuatro por cuatro" para la promoción de la alimentación saludable</t>
  </si>
  <si>
    <t>201663000-0138</t>
  </si>
  <si>
    <t xml:space="preserve">Control y vigilancia en las acciones de condiciones no transmisibles y promoción de estilos de vida saludable en el Quindio  </t>
  </si>
  <si>
    <t>PTS</t>
  </si>
  <si>
    <t>Implementar una estrategia de ambiente libres de humo de tabaco en los municipios del Quindío</t>
  </si>
  <si>
    <t>Implementar una estrategia de ambientes libres de humo de tabaco en los  municipios.</t>
  </si>
  <si>
    <t>Implementar una estrategia para mantener la edad de inicio de consumo de tabaco en los adolescentes escolarizados.</t>
  </si>
  <si>
    <t>Vida saludable y enfermedades transmisibles</t>
  </si>
  <si>
    <t>Incidencia de  afectados  por Enfermedad Diarreica Aguda –EDA-</t>
  </si>
  <si>
    <t>76, 1 x 1000 habitantes</t>
  </si>
  <si>
    <t>60 X 1000 habitantes</t>
  </si>
  <si>
    <t xml:space="preserve">Diseñar y desarrollar planes y/o programas en los doce (12) entes territoriales municipales de promoción y prevención de las enfermedades transmitidas por agua, suelo y alimentos </t>
  </si>
  <si>
    <t>201663000-0139</t>
  </si>
  <si>
    <t>Fortalecimiento de las acciones de la prevención y protección en la población infantil en el Departamento del Quindío</t>
  </si>
  <si>
    <t>Disminuir o mantener mortalidad en menores de 5 años</t>
  </si>
  <si>
    <t>11,34*1000</t>
  </si>
  <si>
    <t>Implementar una estrategia que permita garantizar el adecuado funcionamiento de la red de frío para el almacenamiento  de los biológicos del Programa ampliado de inmunización (PAI).</t>
  </si>
  <si>
    <t>Disminuir por debajo del 10% la Letalidad por dengue.</t>
  </si>
  <si>
    <t>&lt;10</t>
  </si>
  <si>
    <t>Implementar  la estrategia de gestión integral-enfermedades de transmisión vectorial (EGI ETV) en los 5 municipios hiperendémicos para enfermedades de transmisión vectorial</t>
  </si>
  <si>
    <t>201663000-0141</t>
  </si>
  <si>
    <t xml:space="preserve">Fortalecimiento de estrategia de gestión integral, vectores, cambio climático y zoonosis en el Departamento  del Quindio </t>
  </si>
  <si>
    <t>Alcanzar coberturas útiles de vacunación para rabia en animales (perros y gatos)</t>
  </si>
  <si>
    <t>60.1%</t>
  </si>
  <si>
    <t xml:space="preserve">Implementar la estrategia  para ampliar coberturas útiles de vacunación antirrábica en animales (perros y gatos). </t>
  </si>
  <si>
    <t>Incrementar  la proporción de personas curadas de tuberculosis pulmonar en un 5 %</t>
  </si>
  <si>
    <t>Implementar el plan estratégico hacia el fin de la tuberculosis</t>
  </si>
  <si>
    <t>201663000-0142</t>
  </si>
  <si>
    <t xml:space="preserve">Fortalecimiento de la inclusión social para la disminución de riesgos de contraer enfermedades transmisibles  en el Departamento del Quindio </t>
  </si>
  <si>
    <t>Salud publica en emergencias y desastres</t>
  </si>
  <si>
    <t>Realizar catorce (14) simulacros de atención a emergencias en la Red Pública Hospitalaria</t>
  </si>
  <si>
    <t>201663000-0143</t>
  </si>
  <si>
    <t>Prevención en emergencias y desastres de eventos relacionados con la salud pública en el Departamento del  Quindio</t>
  </si>
  <si>
    <t>Mejorar el índice de seguridad hospitalaria en once (11) empresas sociales del estado (ESE) del departamento del nivel  I y II.</t>
  </si>
  <si>
    <t>Salud en el entorno laboral</t>
  </si>
  <si>
    <t>Mantener la tasa de accidentalidad en el trabajo</t>
  </si>
  <si>
    <t>1.5</t>
  </si>
  <si>
    <t>1.7</t>
  </si>
  <si>
    <t>Fomentar en 8 municipios un programa de cultura preventiva en el trabajo formal e informal y entornos laborales saludables.</t>
  </si>
  <si>
    <t>201663000-0145</t>
  </si>
  <si>
    <t xml:space="preserve"> Prevención vigilancia y control de eventos de origen laboral en el Departamento del Quindío.</t>
  </si>
  <si>
    <t xml:space="preserve"> Incrementar el % IPS con seguimiento por parte del departamento</t>
  </si>
  <si>
    <t>Implementación en las 14 empresas sociales del estado (ESE) departamentales y de primer nivel, el Sistema de Gestión de la Seguridad y Salud en el Trabajo</t>
  </si>
  <si>
    <t>Fortalecimiento de la autoridad sanitaria</t>
  </si>
  <si>
    <t>Consolidación y desarrollo del sistema de vigilancia en salud públicaintegrado al sistema de vigilancia de control sanitario e inspección vigilancia y control de S.G.S.S.S.</t>
  </si>
  <si>
    <t>Consolidar y desarrollar en los 12 municipios del departamento el Sistema de Vigilancia en salud pública (SVSP), integrado al sistema de vigilancia y control sanitario e inspección vigilancia y control de (S.G.S.S.S).</t>
  </si>
  <si>
    <t>201663000-0146</t>
  </si>
  <si>
    <t xml:space="preserve">Fortalecimiento de la autoridad sanitaria en el Departamento del Quindio </t>
  </si>
  <si>
    <t>Implementar  una estrategia oportuna de atención a sujetos de atención,  objetos de procesos de  inspección, vigilancia y control sanitario</t>
  </si>
  <si>
    <t>Promoción social y gestión diferencial de poblaciones vulnerables.</t>
  </si>
  <si>
    <t xml:space="preserve">Implementar  5  programas de participación social en salud, orientados a promover los derechos de las poblaciones vulnerables y diferenciales, acorde a las políticas públicas </t>
  </si>
  <si>
    <t>201663000-0148</t>
  </si>
  <si>
    <t>Implementación de programas de promoción social en poblaciones  especiales en el Departamento del Quindío.</t>
  </si>
  <si>
    <t>Implementar el  Programa de atención psicosocial y salud integral a víctimas del conflicto armado.</t>
  </si>
  <si>
    <t>24            25            26        29          30</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</si>
  <si>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t>
  </si>
  <si>
    <t>2,1 de cada 100              13 x 100 mil habitantes            76, 1 x 1000 habitantes                8,8 x 1000 nacidos             11,34 x 1000</t>
  </si>
  <si>
    <t>2,1 de cada 100     10 x 100 mil habitantes          60 X 1000 habitantes            8,8 x 1000 nacidos                11,34 x 1000</t>
  </si>
  <si>
    <t>Fortalecimiento de  la estrategia AIEPI en los 12 municipios del Departamento</t>
  </si>
  <si>
    <t>Fortalecer en los doce (12) municipios del departamento los  comités municipales de discapacidad</t>
  </si>
  <si>
    <t>Plan de intervenciones colectivas en el modelo de APS</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</si>
  <si>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Incrementar el % IPS con seguimiento por parte del departamento</t>
  </si>
  <si>
    <t>2,1 de cada 100              13 x 100 mil habitantes            76, 1 x 1000 habitantes                8,8 x 1000 nacidos             11,34 x 1000                     50%</t>
  </si>
  <si>
    <t>2,1 de cada 100     10 x 100 mil habitantes                                60 X 1000 habitantes            8,8 x 1000 nacidos                        11,34 x 1000         100%</t>
  </si>
  <si>
    <t>Evaluar en  once (11)   empresas sociales del estado (ESE)  Municipales la implementación del Plan de intervenciones colectivas (PIC).</t>
  </si>
  <si>
    <t>201663000-0150</t>
  </si>
  <si>
    <t xml:space="preserve">Asistencia atención a las personas y prioridades en salud pública en el  Departamento del Quindío- Plan de Intervenciones Colectivas PIC. </t>
  </si>
  <si>
    <t>Auditoria a 8  planes de mejoramiento instaurados con la red pública ejecutora del Plan de Intervenciones Colectivas.</t>
  </si>
  <si>
    <t>Vigilancia en salud publica y del laboratorio departamental.</t>
  </si>
  <si>
    <t xml:space="preserve">Incidencia de  afectados  por Enfermedad Diarreica Aguda –EDA-                                                                                                                                               </t>
  </si>
  <si>
    <t xml:space="preserve"> 60 X 1000 habitantes     </t>
  </si>
  <si>
    <t xml:space="preserve">Realizar  la vigilancia sanitaria a 300 establecimientos de consumo (Aguas, Alimentos y Bebidas Alcohólicas) </t>
  </si>
  <si>
    <t>201663000-0151</t>
  </si>
  <si>
    <t xml:space="preserve">Fortalecimiento de las actividades de vigilancia y control del laboratorio de salud pública en el Departamento del Quindio </t>
  </si>
  <si>
    <t>24            25            26        29          30     PTS</t>
  </si>
  <si>
    <t xml:space="preserve">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Mantener el número de UPGD que integra el sistema de vigilancia en salud pública                                                                                                                                                                          </t>
  </si>
  <si>
    <t>2,1 de cada 100              13 x 100 mil habitantes            76, 1 x 1000 habitantes                8,8 x 1000 nacidos             11,34 x 1000                 83%</t>
  </si>
  <si>
    <t>2,1 de cada 100     10 x 100 mil habitantes   60 X 1000 habitantes            8,8 x 1000 nacidos        11,34 x 1000          83%</t>
  </si>
  <si>
    <t>Crear diez (10) y fortalecer noventa (90) Comités de Vigilancia 
Epidemiológica  Comunitaria 
(COVECOM) municipales.</t>
  </si>
  <si>
    <t>201663000-0152</t>
  </si>
  <si>
    <t>Fortalecimiento del sistema de vigilancia en salud pública en el Departamento del Quindío.</t>
  </si>
  <si>
    <t>Sostener 83 Unidades Primarias Generadoras de Datos (UPGD) que integran el sistema de Vigilancia en Salud Publica.</t>
  </si>
  <si>
    <t>Universalidad  del aseguramiento en salud para un bien común</t>
  </si>
  <si>
    <t>Garantizar  la promoción de la afiliación al sistema de seguridad social</t>
  </si>
  <si>
    <t>Incrementar cobertura de afiliación al sistema general de seguridad social en salud</t>
  </si>
  <si>
    <t>Fortalecer en los 12 municipios del departamento  los procesos de identificación de la población no sisbenizada y no afiliada.</t>
  </si>
  <si>
    <t>201663000-0153</t>
  </si>
  <si>
    <t>Subsidio afiliación al régimen subsidiado del Sistema General de Seguridad Social en Salud en el Departamento del Quindío.</t>
  </si>
  <si>
    <t xml:space="preserve">Garantizar la cofinanciación para el régimen subsidiado en el departamento del Quindío </t>
  </si>
  <si>
    <t>Cofinanciar la continuidad del  régimen subsidiado en salud en los 12 municipios del departamento, de conformidad con la directrices del Ministerio de Salud y Protección Social.</t>
  </si>
  <si>
    <t>Asistencia técnica  a los actores del sistema en el proceso de aseguramiento de la población</t>
  </si>
  <si>
    <t>Brindar asistencia técnica a 12 Municipios del departamento,  en los procesos del régimen subsidiado</t>
  </si>
  <si>
    <t>Inclusión social en la prestación y desarrollo de servicios de salud</t>
  </si>
  <si>
    <t>Mejoramiento del Sistema de Calidad  de los Servicios y la Atención de los Usuarios</t>
  </si>
  <si>
    <t>Implementar la estrategia de atención primaria en salud,  fortaleciendo los procesos de inspección , vigilancia y control en el acceso de los afiliados  a la red de servicios de salud.</t>
  </si>
  <si>
    <t>201663000-0154</t>
  </si>
  <si>
    <t>Prestación de Servicios a la Población no Afiliada al Sistema General de Seguridad Social en Salud  y en los no POS  a la Población Afiliada al Régimen Subsidiado.</t>
  </si>
  <si>
    <t>Mantener la contratación con la red pública y privada (15)  para la atención de la población no afiliada.</t>
  </si>
  <si>
    <t>Realizar asistencia técnica en la construcción y ejecución del plan bienal de inversiones, a catorce (14) Empresas sociales del estado (ESE) del departamento.</t>
  </si>
  <si>
    <t>Fortalecimiento de la  gestión de la entidad territorial municipal</t>
  </si>
  <si>
    <t>Incrementar la asistencia técnica de los municipios relacionada con la capacidad de gestión en salud.</t>
  </si>
  <si>
    <t>Realizar asistencia Técnica  en los 12 municipios, en la capacidad de gestión en salud</t>
  </si>
  <si>
    <t>201663000-0155</t>
  </si>
  <si>
    <t xml:space="preserve">Asistencia técnica para el fortalecimiento de la gestión de las entidades territoriales del Departamento del Quindio </t>
  </si>
  <si>
    <t>Garantizar red de servicios en eventos de emergencias</t>
  </si>
  <si>
    <t>Incrementar el % IPS con seguimiento por parte del departamento</t>
  </si>
  <si>
    <t xml:space="preserve">Ajustar los 14 planes de emergencia de las instituciones prestadoras de salud de todo el Departamento.  
</t>
  </si>
  <si>
    <t>201663000-0156</t>
  </si>
  <si>
    <t>Servicio de salud en alerta en el Departamento del Quindío</t>
  </si>
  <si>
    <t>Ajustar un (1) Plan de Emergencias en Salud Departamental.</t>
  </si>
  <si>
    <t>201663000-0157</t>
  </si>
  <si>
    <t xml:space="preserve">Fortalecimiento de la red de urgencias y emergencias en el Departamento del Quindio </t>
  </si>
  <si>
    <t>Garantizar el Sistema Obligatorio de Garantía de Calidad SOGC en las IPS del departamento</t>
  </si>
  <si>
    <t>Verificar el sistema de evaluación de los Plan de auditoria para el mejoramiento de la calidad (PAMEC)  de siete (7) instituciones prestadoras de salud (IPS) hospitalarias  en el departamento del Quindío.</t>
  </si>
  <si>
    <t>201663000-0158</t>
  </si>
  <si>
    <t>Apoyo al proceso del sistema obligatorio de garantía de calidad a los prestadores de salud en el Departamento del Quindio.</t>
  </si>
  <si>
    <t>Realizar visitas de verificación de los requisitos de habilitación a 150 prestadores de servicios de salud.</t>
  </si>
  <si>
    <t>Fortalecimiento financiero de la red de servicios publica</t>
  </si>
  <si>
    <t>Evaluar semestralmente los indicadores de monitoreo del sistema de catorce (14) ESE´s del nivel I, II y III</t>
  </si>
  <si>
    <t>201663000-0159</t>
  </si>
  <si>
    <t>Fortalecimiento de la red de prestación de servicios pública  del Departamento del Quindío</t>
  </si>
  <si>
    <t>Apoyar 2 programas  de saneamiento fiscal y financiero a las IPS categorizadas en riesgo por el Ministerio de Salud</t>
  </si>
  <si>
    <t>Gestión Posible</t>
  </si>
  <si>
    <t>Apoyo y Fortalecimiento Institucional</t>
  </si>
  <si>
    <t>Evaluar la totalidad de municipios certificados</t>
  </si>
  <si>
    <t>Evaluar los municipios de Armenia y Calarcá que se encuentran  certificados en salud</t>
  </si>
  <si>
    <t>201663000-0160</t>
  </si>
  <si>
    <t>Apoyo Operativo a la inversión social en salud en el Departamento del Quindio</t>
  </si>
  <si>
    <t>Lograr que los procesos misionales y estratégicos de la Secretaría de Salud, que así lo requieran cuente con el apoyo y gestión de la Dirección Estratégica.</t>
  </si>
  <si>
    <t>apoyar y gestionar  3 procesos administrativos y misionales por parte de la Dirección estratégica.</t>
  </si>
  <si>
    <t>Mejorar el % de ejecución presupuestal</t>
  </si>
  <si>
    <t>Seguimiento trimestral a la ejecución presupuestal de los recursos del Sector Salud</t>
  </si>
  <si>
    <t>319 Indeportes Quindío</t>
  </si>
  <si>
    <t>Apoyo al deporte asociado</t>
  </si>
  <si>
    <t>Ligas deportivas del departamento del Quindío</t>
  </si>
  <si>
    <t xml:space="preserve"> Aumentar la utilización de escenarios deportivos como coliseos y canchas de fútbol</t>
  </si>
  <si>
    <t xml:space="preserve">Apoyar  y fortalecer veintitrés (23) ligas deportivas   </t>
  </si>
  <si>
    <t xml:space="preserve">4. Deporte </t>
  </si>
  <si>
    <t>201663000-0161</t>
  </si>
  <si>
    <t>Apoyo al deporte asociado en el Departamento del Quindio</t>
  </si>
  <si>
    <t>apoyar  a veinte  (20) deportistas en nivel de talento, de proyección y de altos logros con el programa de incentivos económicos a deportistas.</t>
  </si>
  <si>
    <t xml:space="preserve">Apoyo a eventos deportivos </t>
  </si>
  <si>
    <t>Apoyar trece (13)  ligas en   los eventos deportivos de carácter federado  nacional y departamental.</t>
  </si>
  <si>
    <t xml:space="preserve">Juegos intercolegiados </t>
  </si>
  <si>
    <t>Desarrollar cuatro (4) juegos Intercolegiados  en sus diferentes fases.</t>
  </si>
  <si>
    <t>201663000-0162</t>
  </si>
  <si>
    <t>Apoyo a los juegos intercolegiados en el Deparrtamento del Quindìo</t>
  </si>
  <si>
    <t>Deporte formativo, deporte social comunitario y juegos  tradicionales.</t>
  </si>
  <si>
    <t>Asesorar  los doce (12) municipios del departamento del Quindío asesorados mediante   solicitudes de carácter técnico, administrativo y financiero para   las escuelas deportivas,  según los requerimientos.</t>
  </si>
  <si>
    <t>201663000-0163</t>
  </si>
  <si>
    <t>Apoyo al Deporte formativo, deporte social comunitario y juegos  tradicionales en el Departamento del Quindío</t>
  </si>
  <si>
    <t>Desarrollar  4 eventos de deporte social y comunitario.</t>
  </si>
  <si>
    <t>Apoyar  técnicamente un 1  evento de  Juegos Comunales en la fase Departamental</t>
  </si>
  <si>
    <t>Si Recreación y actividad física para ti</t>
  </si>
  <si>
    <t xml:space="preserve"> Recreación,  para el Bien Común</t>
  </si>
  <si>
    <t>Apoyar de forma articulada el desarrollo del programa (1) "Campamentos Juveniles"</t>
  </si>
  <si>
    <t>201663000-0164</t>
  </si>
  <si>
    <t xml:space="preserve"> Apoyo a la Recreación,  para el Bien Común en el Departamento del Quindío</t>
  </si>
  <si>
    <t>Apoyar de forma articulada el programa nuevo comienzo "Otro Motivo para Vivir" (1).</t>
  </si>
  <si>
    <t>Crear y desarrollar una estrategia para articular la actividad recreativa social comunitaria desde la primera infancia hasta las personas mayores.</t>
  </si>
  <si>
    <t>Actividad física, hábitos y estilos de vida saludables</t>
  </si>
  <si>
    <t xml:space="preserve">implementar un (1) programa que permita ejecutar proyectos  de actividad física para la promoción de hábitos y estilos de vida saludables </t>
  </si>
  <si>
    <t>201663000-0165</t>
  </si>
  <si>
    <t>Deporte, recreación, actividad fisica en los municipios del departamento del Quindío</t>
  </si>
  <si>
    <t>Implementación y apoyo a los proyectos deportivos, recreativos y de actividad fisica en los municipios del Departamento del Quindío</t>
  </si>
  <si>
    <t>Apoyar doce (12) municipios en proyectos deportivos, recreactivos y de actividad fisica</t>
  </si>
  <si>
    <t>201663000-0166</t>
  </si>
  <si>
    <t>Apoyo a proyectos deportivos, recreativos y de actividad fisica, en el Departamento del Quindìo</t>
  </si>
  <si>
    <t>320 Promotora de Vivienda</t>
  </si>
  <si>
    <t>Disminuir el porcentaje de personas en situación de pobreza</t>
  </si>
  <si>
    <t>9. Transporte</t>
  </si>
  <si>
    <t>201663000-0171</t>
  </si>
  <si>
    <t xml:space="preserve">Apoyo en la formulación y ejecucion de proyectos de vivienda, infraestructura y equipamientos colectivos y comunitarios en el Departamento del Quindio </t>
  </si>
  <si>
    <t xml:space="preserve">321 Instituto Departamental de Transito </t>
  </si>
  <si>
    <t xml:space="preserve"> SEGURIDAD HUMANA</t>
  </si>
  <si>
    <t>Fortalecimiento de la seguridad vial Departamental</t>
  </si>
  <si>
    <t xml:space="preserve"> Reducir lesiones fatales en accidente de tránsito</t>
  </si>
  <si>
    <t>95 x 100 mil</t>
  </si>
  <si>
    <t>80 x 100 mil</t>
  </si>
  <si>
    <t>Implementar un programa para disminuir la accidentalidad en las vías del departamento</t>
  </si>
  <si>
    <t>201663000-0172</t>
  </si>
  <si>
    <t>Fortalecimiento de la seguridad vial  en el Departamento del Quindío</t>
  </si>
  <si>
    <t xml:space="preserve">Formular e implementar el Plan de Seguridad Vial del Departamento </t>
  </si>
  <si>
    <t xml:space="preserve">Apoyar la implementación del programa: Ciclorutas en el departamento del Quindío </t>
  </si>
  <si>
    <t>201663000-0177</t>
  </si>
  <si>
    <t>Consolidación y desarrollo del Sistema de inspección vigilancia y control a los establecimientos farmacéuticos del departamento.</t>
  </si>
  <si>
    <t xml:space="preserve">Consolidar y desarrollar  el sistema de inspección vigilancia y control (SIVC)  en 150 establecimientos farmacéuticos del departamento. </t>
  </si>
  <si>
    <t>Apoyo a la actividad fisica, salud y productividad en el Deptp del Quindio</t>
  </si>
  <si>
    <t>Funcionamiento y prestación de servicios del sector educativo del nivel central 1400-1401</t>
  </si>
  <si>
    <t>Funcionamiento y prestación del servicio educativo de las instituciones educativas 1402-1403</t>
  </si>
  <si>
    <t>NACIÓN  - COFINANCIACIÓN</t>
  </si>
  <si>
    <t>SGP SALUD PUBLICA (61-98)</t>
  </si>
  <si>
    <t>Adquirir  un (1) bien inmueble para adelantar acciones de cara al servicio de la comunidad</t>
  </si>
  <si>
    <t>SGP APORTES PATRONALES -EDUCACION -09</t>
  </si>
  <si>
    <t>MONOPOLIO 51% DESTINACION ESPECIFICA  (35-091)</t>
  </si>
  <si>
    <t>EXTRACCION MATERIAL DE RIO MINAS Y OTROS (134)</t>
  </si>
  <si>
    <t>FONDO DE EDUCACION,  PAE, CONVENIO MEN  (25-80-81-137)</t>
  </si>
  <si>
    <t>P</t>
  </si>
  <si>
    <t>PRESUPUESTADO</t>
  </si>
  <si>
    <t xml:space="preserve">CODIGO:  </t>
  </si>
  <si>
    <t xml:space="preserve">VERSIÓN: </t>
  </si>
  <si>
    <t xml:space="preserve">FECHA: </t>
  </si>
  <si>
    <t>PÁGINA:</t>
  </si>
  <si>
    <t>1 de 1</t>
  </si>
  <si>
    <r>
      <t xml:space="preserve"> </t>
    </r>
    <r>
      <rPr>
        <sz val="7"/>
        <rFont val="Times New Roman"/>
        <family val="1"/>
      </rPr>
      <t xml:space="preserve"> </t>
    </r>
    <r>
      <rPr>
        <sz val="10"/>
        <rFont val="Arial"/>
        <family val="2"/>
      </rPr>
      <t>Reducir la proporción de jóvenes en el sistema de responsabilidad penal con riesgo alto de reincidencia en las conductas delictivas</t>
    </r>
  </si>
  <si>
    <r>
      <t xml:space="preserve"> </t>
    </r>
    <r>
      <rPr>
        <sz val="7"/>
        <rFont val="Times New Roman"/>
        <family val="1"/>
      </rPr>
      <t xml:space="preserve"> </t>
    </r>
    <r>
      <rPr>
        <sz val="10"/>
        <rFont val="Arial"/>
        <family val="2"/>
      </rPr>
      <t>Disminuir el porcentaje de mujeres amenazadas por sus compañeros sentimentales                                                                                             Disminuir incidencia de violencia intrafamiliar</t>
    </r>
  </si>
  <si>
    <r>
      <t xml:space="preserve"> </t>
    </r>
    <r>
      <rPr>
        <sz val="7"/>
        <rFont val="Times New Roman"/>
        <family val="1"/>
      </rPr>
      <t xml:space="preserve"> </t>
    </r>
    <r>
      <rPr>
        <sz val="10"/>
        <rFont val="Arial"/>
        <family val="2"/>
      </rPr>
      <t>Disminuir el porcentaje de mujeres amenazadas por sus compañeros sentimentales</t>
    </r>
  </si>
  <si>
    <r>
      <rPr>
        <sz val="7"/>
        <rFont val="Times New Roman"/>
        <family val="1"/>
      </rPr>
      <t xml:space="preserve"> </t>
    </r>
    <r>
      <rPr>
        <sz val="10"/>
        <rFont val="Arial"/>
        <family val="2"/>
      </rPr>
      <t>Disminuir la incidencia de embarazo en adolescentes</t>
    </r>
  </si>
  <si>
    <r>
      <rPr>
        <sz val="7"/>
        <rFont val="Times New Roman"/>
        <family val="1"/>
      </rPr>
      <t xml:space="preserve"> </t>
    </r>
    <r>
      <rPr>
        <sz val="10"/>
        <rFont val="Arial"/>
        <family val="2"/>
      </rPr>
      <t>Incrementar el % IPS con seguimiento por parte del departamento</t>
    </r>
  </si>
  <si>
    <r>
      <rPr>
        <sz val="7"/>
        <rFont val="Times New Roman"/>
        <family val="1"/>
      </rPr>
      <t xml:space="preserve"> </t>
    </r>
    <r>
      <rPr>
        <sz val="10"/>
        <rFont val="Arial"/>
        <family val="2"/>
      </rPr>
      <t>Aumentar el porcentaje de cumplimiento de la Ley 1448 del 2011 de atención a víctimas</t>
    </r>
  </si>
  <si>
    <r>
      <rPr>
        <sz val="7"/>
        <rFont val="Times New Roman"/>
        <family val="1"/>
      </rPr>
      <t xml:space="preserve">  </t>
    </r>
    <r>
      <rPr>
        <sz val="10"/>
        <rFont val="Arial"/>
        <family val="2"/>
      </rPr>
      <t>Aumentar el % de personas discapacitadas atendidas</t>
    </r>
  </si>
  <si>
    <t>NUEVO IVA DE LICORES CEDIDO 30% DEPORTE
CIGARRILLOS NALES Y EXTRANJEROS (DEPORTE)</t>
  </si>
  <si>
    <t>Implementación de un fondo de apoyo Departamental para el acceso y la permanencia de la educacion tecnica, tecnologica y superior en el Departamento del Quindio.</t>
  </si>
  <si>
    <t>7                                                                  DE CADA 100</t>
  </si>
  <si>
    <t>Atender en los doce  (12) municipios del Departamento, los eventos de emergencia y urgencia, y el sistema de refertencia y contrareferencia de la población no afiliada</t>
  </si>
  <si>
    <t xml:space="preserve">TOTAL JUNIO-2017 </t>
  </si>
  <si>
    <t>37 
38</t>
  </si>
  <si>
    <t>37
 38</t>
  </si>
  <si>
    <t>24
25
29
30 
33</t>
  </si>
  <si>
    <t xml:space="preserve">8.9
4.6
27                     </t>
  </si>
  <si>
    <t>Apoyar la construcción, el mantenimiento, el mejoramiento y/o la rehabilitación de la infraestructura de doce (12) equipamientos públicos y colectivos del Departamento del Quindío.</t>
  </si>
  <si>
    <t>Diseñay ejecutar una politica Departamental de uso racional de resiudos solidos y uso eficiente de energia</t>
  </si>
  <si>
    <t>Adoptar e implementar el modelo de Atención primaria en Salud Mental (APS) en todos los municipios Quindianos</t>
  </si>
  <si>
    <t>Formular e implementar la política pública departamental de libertad religiosa en desarrollo del artículo 244 de la ley 1753 "Por medio de la cual se expide el Plan Nacional de Desarrollo 2014-2018 TODOS POR UN NUEVO PAÍS"</t>
  </si>
  <si>
    <t xml:space="preserve">Fortalecer el programa de sostenibilidad de las  Tecnologias de la Información y las Comunicaciones de la Gobernación del Quindio </t>
  </si>
  <si>
    <t>TOTAL ADMINISTRACIÓN CENTRAL:</t>
  </si>
  <si>
    <t xml:space="preserve">GRAN TOTAL </t>
  </si>
  <si>
    <t xml:space="preserve">     Elevar el promedio de la participación de la ciudadania en los procesos de elección popular en el cuatrenio 
Consolidar mecanismos de integración regional y municipal                                   </t>
  </si>
  <si>
    <t>Elevar el promedio de la participación de la ciudadania en los procesos de elección popular en el cuatrenio 
Consolidar mecanismos de integración regional y municipal</t>
  </si>
  <si>
    <t>Contar con cincuenta y dos (52) instituciones educativas con  mayor eficiencia en la gestión de sus procesos y proyectos  ante la entidad  territorial y la Secretaria de Educación Departamental.</t>
  </si>
  <si>
    <t>24
25
26
29
30
28</t>
  </si>
  <si>
    <t>21
22</t>
  </si>
  <si>
    <t xml:space="preserve">CONTRIBUCION ESPECIAL 
(FONDO DE SEGURIDAD 5%) </t>
  </si>
  <si>
    <t>F-PLA-42</t>
  </si>
  <si>
    <t>Agosto 1 de 2016</t>
  </si>
  <si>
    <t>PLAN OPERATIVO ANUAL DE INVERSIONES   -POAI-
A JUNIO 30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</si>
</sst>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1" formatCode="_(* #,##0_);_(* \(#,##0\);_(* &quot;-&quot;_);_(@_)"/>
    <numFmt numFmtId="44" formatCode="_(&quot;$&quot;\ * #,##0.00_);_(&quot;$&quot;\ * \(#,##0.00\);_(&quot;$&quot;\ * &quot;-&quot;??_);_(@_)"/>
    <numFmt numFmtId="43" formatCode="_(* #,##0.00_);_(* \(#,##0.00\);_(* &quot;-&quot;??_);_(@_)"/>
    <numFmt numFmtId="164" formatCode="_-* #,##0_-;\-* #,##0_-;_-* &quot;-&quot;_-;_-@_-"/>
    <numFmt numFmtId="165" formatCode="_-* #,##0.00_-;\-* #,##0.00_-;_-* &quot;-&quot;??_-;_-@_-"/>
    <numFmt numFmtId="166" formatCode="_-* #,##0.00\ &quot;€&quot;_-;\-* #,##0.00\ &quot;€&quot;_-;_-* &quot;-&quot;??\ &quot;€&quot;_-;_-@_-"/>
    <numFmt numFmtId="167" formatCode="_-* #,##0.00\ _€_-;\-* #,##0.00\ _€_-;_-* &quot;-&quot;??\ _€_-;_-@_-"/>
    <numFmt numFmtId="168" formatCode="_-&quot;$&quot;* #,##0_-;\-&quot;$&quot;* #,##0_-;_-&quot;$&quot;* &quot;-&quot;_-;_-@_-"/>
    <numFmt numFmtId="169" formatCode="_-&quot;$&quot;* #,##0.00_-;\-&quot;$&quot;* #,##0.00_-;_-&quot;$&quot;* &quot;-&quot;??_-;_-@_-"/>
    <numFmt numFmtId="170" formatCode="_(* #,##0_);_(* \(#,##0\);_(* &quot;-&quot;??_);_(@_)"/>
    <numFmt numFmtId="171" formatCode="#,##0.00_);\-#,##0.00"/>
    <numFmt numFmtId="172" formatCode="_-* #,##0_-;\-* #,##0_-;_-* &quot;-&quot;??_-;_-@_-"/>
    <numFmt numFmtId="173" formatCode="_-[$$-240A]* #,##0.00_-;\-[$$-240A]* #,##0.00_-;_-[$$-240A]* &quot;-&quot;??_-;_-@_-"/>
    <numFmt numFmtId="174" formatCode="_ [$€-2]\ * #,##0.00_ ;_ [$€-2]\ * \-#,##0.00_ ;_ [$€-2]\ * &quot;-&quot;??_ "/>
    <numFmt numFmtId="175" formatCode="&quot;$&quot;\ #,##0"/>
    <numFmt numFmtId="177" formatCode="00"/>
    <numFmt numFmtId="180" formatCode="_ &quot;$&quot;\ * #,##0.00_ ;_ &quot;$&quot;\ * \-#,##0.00_ ;_ &quot;$&quot;\ * &quot;-&quot;??_ ;_ @_ "/>
    <numFmt numFmtId="181" formatCode="#."/>
    <numFmt numFmtId="182" formatCode="_ * #,##0.00_ ;_ * \-#,##0.00_ ;_ * &quot;-&quot;??_ ;_ @_ "/>
    <numFmt numFmtId="183" formatCode="_-[$€-2]* #,##0.00_-;\-[$€-2]* #,##0.00_-;_-[$€-2]* &quot;-&quot;??_-"/>
    <numFmt numFmtId="184" formatCode="_(* #.##0.00_);_(* \(#.##0.00\);_(* &quot;-&quot;??_);_(@_)"/>
    <numFmt numFmtId="185" formatCode="_-* #,##0.00\ _P_t_a_-;\-* #,##0.00\ _P_t_a_-;_-* &quot;-&quot;??\ _P_t_a_-;_-@_-"/>
    <numFmt numFmtId="186" formatCode="&quot;$&quot;\ #,##0;&quot;$&quot;\ \-#,##0"/>
  </numFmts>
  <fonts count="54" x14ac:knownFonts="1">
    <font>
      <sz val="11"/>
      <color theme="1"/>
      <name val="Calibri"/>
      <family val="2"/>
      <scheme val="minor"/>
    </font>
    <font>
      <sz val="11"/>
      <color theme="1"/>
      <name val="Calibri"/>
      <family val="2"/>
      <scheme val="minor"/>
    </font>
    <font>
      <sz val="11"/>
      <color indexed="8"/>
      <name val="Calibri"/>
      <family val="2"/>
    </font>
    <font>
      <b/>
      <sz val="11"/>
      <name val="Arial"/>
      <family val="2"/>
    </font>
    <font>
      <b/>
      <sz val="12"/>
      <name val="Arial"/>
      <family val="2"/>
    </font>
    <font>
      <sz val="11"/>
      <name val="Arial"/>
      <family val="2"/>
    </font>
    <font>
      <sz val="11"/>
      <name val="Calibri"/>
      <family val="2"/>
      <scheme val="minor"/>
    </font>
    <font>
      <sz val="12"/>
      <name val="Arial"/>
      <family val="2"/>
    </font>
    <font>
      <sz val="10"/>
      <name val="Arial"/>
      <family val="2"/>
    </font>
    <font>
      <b/>
      <sz val="16"/>
      <name val="Arial"/>
      <family val="2"/>
    </font>
    <font>
      <sz val="11"/>
      <name val="Calibri"/>
      <family val="2"/>
    </font>
    <font>
      <sz val="12"/>
      <name val="Calibri"/>
      <family val="2"/>
      <scheme val="minor"/>
    </font>
    <font>
      <sz val="9"/>
      <name val="Arial"/>
      <family val="2"/>
    </font>
    <font>
      <b/>
      <sz val="9"/>
      <name val="Arial"/>
      <family val="2"/>
    </font>
    <font>
      <b/>
      <sz val="10"/>
      <name val="Arial"/>
      <family val="2"/>
    </font>
    <font>
      <b/>
      <sz val="11"/>
      <name val="Calibri"/>
      <family val="2"/>
    </font>
    <font>
      <sz val="7"/>
      <name val="Times New Roman"/>
      <family val="1"/>
    </font>
    <font>
      <sz val="10"/>
      <name val="Arial"/>
      <family val="1"/>
    </font>
    <font>
      <b/>
      <sz val="18"/>
      <name val="Arial"/>
      <family val="2"/>
    </font>
    <font>
      <sz val="11"/>
      <name val="Arial Narrow"/>
      <family val="2"/>
    </font>
    <font>
      <sz val="9"/>
      <name val="Arial Narrow"/>
      <family val="2"/>
    </font>
    <font>
      <sz val="14"/>
      <name val="Calibri"/>
      <family val="2"/>
    </font>
    <font>
      <b/>
      <sz val="11"/>
      <name val="Calibri"/>
      <family val="2"/>
      <scheme val="minor"/>
    </font>
    <font>
      <sz val="11"/>
      <color rgb="FFFF0000"/>
      <name val="Arial"/>
      <family val="2"/>
    </font>
    <font>
      <sz val="11"/>
      <color theme="1"/>
      <name val="Arial Narrow"/>
      <family val="2"/>
    </font>
    <font>
      <sz val="11"/>
      <color theme="1"/>
      <name val="Arial"/>
      <family val="2"/>
    </font>
    <font>
      <sz val="10"/>
      <name val="MS Sans Serif"/>
    </font>
    <font>
      <sz val="11"/>
      <color rgb="FF000000"/>
      <name val="Calibri"/>
      <family val="2"/>
    </font>
    <font>
      <sz val="1"/>
      <color indexed="16"/>
      <name val="Courier"/>
      <family val="3"/>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10"/>
      <name val="Calibri"/>
      <family val="2"/>
    </font>
    <font>
      <b/>
      <sz val="11"/>
      <color indexed="9"/>
      <name val="Calibri"/>
      <family val="2"/>
    </font>
    <font>
      <sz val="11"/>
      <color indexed="10"/>
      <name val="Calibri"/>
      <family val="2"/>
    </font>
    <font>
      <sz val="11"/>
      <color indexed="52"/>
      <name val="Calibri"/>
      <family val="2"/>
    </font>
    <font>
      <b/>
      <sz val="11"/>
      <color indexed="6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19"/>
      <name val="Calibri"/>
      <family val="2"/>
    </font>
    <font>
      <sz val="11"/>
      <color indexed="60"/>
      <name val="Calibri"/>
      <family val="2"/>
    </font>
    <font>
      <b/>
      <sz val="11"/>
      <color indexed="63"/>
      <name val="Calibri"/>
      <family val="2"/>
    </font>
    <font>
      <b/>
      <sz val="18"/>
      <color indexed="56"/>
      <name val="Cambria"/>
      <family val="2"/>
    </font>
    <font>
      <b/>
      <sz val="15"/>
      <color indexed="62"/>
      <name val="Calibri"/>
      <family val="2"/>
    </font>
    <font>
      <b/>
      <sz val="13"/>
      <color indexed="62"/>
      <name val="Calibri"/>
      <family val="2"/>
    </font>
    <font>
      <b/>
      <sz val="18"/>
      <color indexed="62"/>
      <name val="Cambria"/>
      <family val="2"/>
    </font>
    <font>
      <b/>
      <sz val="11"/>
      <color indexed="8"/>
      <name val="Calibri"/>
      <family val="2"/>
    </font>
    <font>
      <sz val="10"/>
      <name val="Arial Narrow"/>
      <family val="2"/>
    </font>
    <font>
      <b/>
      <sz val="8"/>
      <name val="Arial"/>
      <family val="2"/>
    </font>
    <font>
      <b/>
      <sz val="8"/>
      <name val="Calibri"/>
      <family val="2"/>
    </font>
  </fonts>
  <fills count="42">
    <fill>
      <patternFill patternType="none"/>
    </fill>
    <fill>
      <patternFill patternType="gray125"/>
    </fill>
    <fill>
      <patternFill patternType="solid">
        <fgColor theme="0"/>
        <bgColor indexed="64"/>
      </patternFill>
    </fill>
    <fill>
      <patternFill patternType="solid">
        <fgColor indexed="49"/>
        <bgColor indexed="64"/>
      </patternFill>
    </fill>
    <fill>
      <patternFill patternType="solid">
        <fgColor indexed="46"/>
        <bgColor indexed="64"/>
      </patternFill>
    </fill>
    <fill>
      <patternFill patternType="solid">
        <fgColor rgb="FF00B0F0"/>
        <bgColor indexed="64"/>
      </patternFill>
    </fill>
    <fill>
      <patternFill patternType="solid">
        <fgColor theme="9" tint="0.39997558519241921"/>
        <bgColor indexed="64"/>
      </patternFill>
    </fill>
    <fill>
      <patternFill patternType="solid">
        <fgColor indexed="47"/>
        <bgColor indexed="64"/>
      </patternFill>
    </fill>
    <fill>
      <patternFill patternType="solid">
        <fgColor indexed="29"/>
        <bgColor indexed="64"/>
      </patternFill>
    </fill>
    <fill>
      <patternFill patternType="solid">
        <fgColor theme="5" tint="0.39997558519241921"/>
        <bgColor indexed="64"/>
      </patternFill>
    </fill>
    <fill>
      <patternFill patternType="solid">
        <fgColor indexed="9"/>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indexed="31"/>
        <bgColor indexed="64"/>
      </patternFill>
    </fill>
    <fill>
      <patternFill patternType="solid">
        <fgColor theme="2"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theme="4" tint="0.79998168889431442"/>
        <bgColor indexed="64"/>
      </patternFill>
    </fill>
  </fills>
  <borders count="226">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auto="1"/>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style="thin">
        <color indexed="64"/>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361">
    <xf numFmtId="0" fontId="0" fillId="0" borderId="0"/>
    <xf numFmtId="165"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8" fillId="0" borderId="0"/>
    <xf numFmtId="174" fontId="1" fillId="0" borderId="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74" fontId="1" fillId="0" borderId="0"/>
    <xf numFmtId="0" fontId="2" fillId="24" borderId="120" applyNumberFormat="0" applyFont="0" applyAlignment="0" applyProtection="0"/>
    <xf numFmtId="0" fontId="50" fillId="0" borderId="138" applyNumberFormat="0" applyFill="0" applyAlignment="0" applyProtection="0"/>
    <xf numFmtId="44" fontId="2" fillId="0" borderId="0" applyFont="0" applyFill="0" applyBorder="0" applyAlignment="0" applyProtection="0"/>
    <xf numFmtId="41" fontId="2" fillId="0" borderId="0" applyFont="0" applyFill="0" applyBorder="0" applyAlignment="0" applyProtection="0"/>
    <xf numFmtId="180" fontId="27" fillId="0" borderId="0"/>
    <xf numFmtId="43" fontId="2" fillId="0" borderId="0" applyFont="0" applyFill="0" applyBorder="0" applyAlignment="0" applyProtection="0"/>
    <xf numFmtId="0" fontId="50" fillId="0" borderId="159" applyNumberFormat="0" applyFill="0" applyAlignment="0" applyProtection="0"/>
    <xf numFmtId="166" fontId="2" fillId="0" borderId="0" applyFont="0" applyFill="0" applyBorder="0" applyAlignment="0" applyProtection="0"/>
    <xf numFmtId="9" fontId="2" fillId="0" borderId="0" applyFont="0" applyFill="0" applyBorder="0" applyAlignment="0" applyProtection="0"/>
    <xf numFmtId="0" fontId="8" fillId="0" borderId="0"/>
    <xf numFmtId="43" fontId="1" fillId="0" borderId="0" applyFont="0" applyFill="0" applyBorder="0" applyAlignment="0" applyProtection="0"/>
    <xf numFmtId="0" fontId="32" fillId="36" borderId="54" applyNumberFormat="0" applyAlignment="0" applyProtection="0"/>
    <xf numFmtId="0" fontId="33" fillId="37" borderId="134" applyNumberFormat="0" applyAlignment="0" applyProtection="0"/>
    <xf numFmtId="0" fontId="39" fillId="21" borderId="79" applyNumberFormat="0" applyAlignment="0" applyProtection="0"/>
    <xf numFmtId="181" fontId="28" fillId="0" borderId="0">
      <protection locked="0"/>
    </xf>
    <xf numFmtId="0" fontId="2" fillId="16"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17" borderId="0" applyNumberFormat="0" applyBorder="0" applyAlignment="0" applyProtection="0"/>
    <xf numFmtId="0" fontId="2" fillId="24"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5" borderId="0" applyNumberFormat="0" applyBorder="0" applyAlignment="0" applyProtection="0"/>
    <xf numFmtId="0" fontId="2" fillId="17"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9" fillId="28" borderId="0" applyNumberFormat="0" applyBorder="0" applyAlignment="0" applyProtection="0"/>
    <xf numFmtId="0" fontId="29" fillId="23" borderId="0" applyNumberFormat="0" applyBorder="0" applyAlignment="0" applyProtection="0"/>
    <xf numFmtId="0" fontId="29" fillId="25"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20" borderId="0" applyNumberFormat="0" applyBorder="0" applyAlignment="0" applyProtection="0"/>
    <xf numFmtId="0" fontId="29" fillId="28" borderId="0" applyNumberFormat="0" applyBorder="0" applyAlignment="0" applyProtection="0"/>
    <xf numFmtId="0" fontId="29" fillId="3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5" borderId="0" applyNumberFormat="0" applyBorder="0" applyAlignment="0" applyProtection="0"/>
    <xf numFmtId="0" fontId="29" fillId="17" borderId="0" applyNumberFormat="0" applyBorder="0" applyAlignment="0" applyProtection="0"/>
    <xf numFmtId="0" fontId="29" fillId="29" borderId="0" applyNumberFormat="0" applyBorder="0" applyAlignment="0" applyProtection="0"/>
    <xf numFmtId="0" fontId="29" fillId="20" borderId="0" applyNumberFormat="0" applyBorder="0" applyAlignment="0" applyProtection="0"/>
    <xf numFmtId="0" fontId="29" fillId="30" borderId="0" applyNumberFormat="0" applyBorder="0" applyAlignment="0" applyProtection="0"/>
    <xf numFmtId="0" fontId="29" fillId="23" borderId="0" applyNumberFormat="0" applyBorder="0" applyAlignment="0" applyProtection="0"/>
    <xf numFmtId="0" fontId="29" fillId="31"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2" borderId="0" applyNumberFormat="0" applyBorder="0" applyAlignment="0" applyProtection="0"/>
    <xf numFmtId="0" fontId="30" fillId="17" borderId="0" applyNumberFormat="0" applyBorder="0" applyAlignment="0" applyProtection="0"/>
    <xf numFmtId="0" fontId="31" fillId="20" borderId="0" applyNumberFormat="0" applyBorder="0" applyAlignment="0" applyProtection="0"/>
    <xf numFmtId="0" fontId="31" fillId="18" borderId="0" applyNumberFormat="0" applyBorder="0" applyAlignment="0" applyProtection="0"/>
    <xf numFmtId="0" fontId="32" fillId="36" borderId="20" applyNumberFormat="0" applyAlignment="0" applyProtection="0"/>
    <xf numFmtId="0" fontId="33" fillId="37" borderId="20" applyNumberFormat="0" applyAlignment="0" applyProtection="0"/>
    <xf numFmtId="0" fontId="32" fillId="36" borderId="20" applyNumberFormat="0" applyAlignment="0" applyProtection="0"/>
    <xf numFmtId="0" fontId="34" fillId="38" borderId="21" applyNumberFormat="0" applyAlignment="0" applyProtection="0"/>
    <xf numFmtId="0" fontId="34" fillId="38" borderId="21" applyNumberFormat="0" applyAlignment="0" applyProtection="0"/>
    <xf numFmtId="0" fontId="35" fillId="0" borderId="22" applyNumberFormat="0" applyFill="0" applyAlignment="0" applyProtection="0"/>
    <xf numFmtId="0" fontId="36" fillId="0" borderId="23" applyNumberFormat="0" applyFill="0" applyAlignment="0" applyProtection="0"/>
    <xf numFmtId="0" fontId="34" fillId="38" borderId="21"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29" fillId="39"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4" borderId="0" applyNumberFormat="0" applyBorder="0" applyAlignment="0" applyProtection="0"/>
    <xf numFmtId="0" fontId="29" fillId="26" borderId="0" applyNumberFormat="0" applyBorder="0" applyAlignment="0" applyProtection="0"/>
    <xf numFmtId="0" fontId="29" fillId="35" borderId="0" applyNumberFormat="0" applyBorder="0" applyAlignment="0" applyProtection="0"/>
    <xf numFmtId="0" fontId="29" fillId="40"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4" borderId="0" applyNumberFormat="0" applyBorder="0" applyAlignment="0" applyProtection="0"/>
    <xf numFmtId="0" fontId="29" fillId="32" borderId="0" applyNumberFormat="0" applyBorder="0" applyAlignment="0" applyProtection="0"/>
    <xf numFmtId="0" fontId="39" fillId="27" borderId="20" applyNumberFormat="0" applyAlignment="0" applyProtection="0"/>
    <xf numFmtId="0" fontId="39" fillId="21" borderId="20" applyNumberFormat="0" applyAlignment="0" applyProtection="0"/>
    <xf numFmtId="182" fontId="8" fillId="0" borderId="0" applyFont="0" applyFill="0" applyBorder="0" applyAlignment="0" applyProtection="0"/>
    <xf numFmtId="182"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19" fillId="0" borderId="0" applyFont="0" applyFill="0" applyBorder="0" applyAlignment="0" applyProtection="0"/>
    <xf numFmtId="183" fontId="8" fillId="0" borderId="0" applyFont="0" applyFill="0" applyBorder="0" applyAlignment="0" applyProtection="0"/>
    <xf numFmtId="174" fontId="19" fillId="0" borderId="0" applyFont="0" applyFill="0" applyBorder="0" applyAlignment="0" applyProtection="0"/>
    <xf numFmtId="0" fontId="40" fillId="0" borderId="0" applyNumberFormat="0" applyFill="0" applyBorder="0" applyAlignment="0" applyProtection="0"/>
    <xf numFmtId="0" fontId="31" fillId="18" borderId="0" applyNumberFormat="0" applyBorder="0" applyAlignment="0" applyProtection="0"/>
    <xf numFmtId="0" fontId="41" fillId="0" borderId="24" applyNumberFormat="0" applyFill="0" applyAlignment="0" applyProtection="0"/>
    <xf numFmtId="0" fontId="42" fillId="0" borderId="25" applyNumberFormat="0" applyFill="0" applyAlignment="0" applyProtection="0"/>
    <xf numFmtId="0" fontId="38" fillId="0" borderId="26" applyNumberFormat="0" applyFill="0" applyAlignment="0" applyProtection="0"/>
    <xf numFmtId="0" fontId="38" fillId="0" borderId="0" applyNumberFormat="0" applyFill="0" applyBorder="0" applyAlignment="0" applyProtection="0"/>
    <xf numFmtId="0" fontId="30" fillId="19" borderId="0" applyNumberFormat="0" applyBorder="0" applyAlignment="0" applyProtection="0"/>
    <xf numFmtId="0" fontId="30" fillId="17" borderId="0" applyNumberFormat="0" applyBorder="0" applyAlignment="0" applyProtection="0"/>
    <xf numFmtId="0" fontId="39" fillId="21" borderId="20" applyNumberFormat="0" applyAlignment="0" applyProtection="0"/>
    <xf numFmtId="0" fontId="36" fillId="0" borderId="23" applyNumberFormat="0" applyFill="0" applyAlignment="0" applyProtection="0"/>
    <xf numFmtId="167" fontId="2" fillId="0" borderId="0" applyFont="0" applyFill="0" applyBorder="0" applyAlignment="0" applyProtection="0"/>
    <xf numFmtId="43" fontId="1" fillId="0" borderId="0" applyFont="0" applyFill="0" applyBorder="0" applyAlignment="0" applyProtection="0"/>
    <xf numFmtId="182" fontId="8"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4"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2"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182" fontId="8" fillId="0" borderId="0" applyFont="0" applyFill="0" applyBorder="0" applyAlignment="0" applyProtection="0"/>
    <xf numFmtId="167" fontId="2" fillId="0" borderId="0" applyFont="0" applyFill="0" applyBorder="0" applyAlignment="0" applyProtection="0"/>
    <xf numFmtId="185" fontId="8"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82" fontId="8"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7" fontId="2" fillId="0" borderId="0" applyFont="0" applyFill="0" applyBorder="0" applyAlignment="0" applyProtection="0"/>
    <xf numFmtId="43" fontId="1"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4" fontId="2" fillId="0" borderId="0" applyFont="0" applyFill="0" applyBorder="0" applyAlignment="0" applyProtection="0"/>
    <xf numFmtId="180" fontId="8" fillId="0" borderId="0" applyFont="0" applyFill="0" applyBorder="0" applyAlignment="0" applyProtection="0"/>
    <xf numFmtId="0" fontId="43" fillId="27" borderId="0" applyNumberFormat="0" applyBorder="0" applyAlignment="0" applyProtection="0"/>
    <xf numFmtId="0" fontId="44" fillId="27" borderId="0" applyNumberFormat="0" applyBorder="0" applyAlignment="0" applyProtection="0"/>
    <xf numFmtId="0" fontId="8" fillId="0" borderId="0"/>
    <xf numFmtId="0" fontId="2" fillId="0" borderId="0"/>
    <xf numFmtId="0" fontId="8" fillId="0" borderId="0"/>
    <xf numFmtId="0" fontId="8" fillId="0" borderId="0"/>
    <xf numFmtId="0" fontId="8" fillId="0" borderId="0"/>
    <xf numFmtId="0" fontId="1" fillId="0" borderId="0"/>
    <xf numFmtId="0" fontId="8" fillId="0" borderId="0"/>
    <xf numFmtId="0" fontId="2" fillId="0" borderId="0"/>
    <xf numFmtId="182"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2" fontId="8" fillId="0" borderId="0" applyFont="0" applyFill="0" applyBorder="0" applyAlignment="0" applyProtection="0"/>
    <xf numFmtId="182" fontId="8" fillId="0" borderId="0" applyFont="0" applyFill="0" applyBorder="0" applyAlignment="0" applyProtection="0"/>
    <xf numFmtId="186" fontId="8" fillId="0" borderId="0" applyFont="0" applyFill="0" applyBorder="0" applyAlignment="0" applyProtection="0"/>
    <xf numFmtId="0" fontId="1" fillId="0" borderId="0"/>
    <xf numFmtId="0" fontId="1" fillId="0" borderId="0"/>
    <xf numFmtId="0" fontId="1" fillId="0" borderId="0"/>
    <xf numFmtId="0" fontId="1" fillId="0" borderId="0"/>
    <xf numFmtId="0" fontId="8" fillId="24" borderId="27" applyNumberFormat="0" applyFont="0" applyAlignment="0" applyProtection="0"/>
    <xf numFmtId="0" fontId="8" fillId="24" borderId="27" applyNumberFormat="0" applyFont="0" applyAlignment="0" applyProtection="0"/>
    <xf numFmtId="0" fontId="2" fillId="24" borderId="27" applyNumberFormat="0" applyFont="0" applyAlignment="0" applyProtection="0"/>
    <xf numFmtId="0" fontId="45" fillId="36" borderId="28" applyNumberFormat="0" applyAlignment="0" applyProtection="0"/>
    <xf numFmtId="9" fontId="8"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45" fillId="37" borderId="28" applyNumberFormat="0" applyAlignment="0" applyProtection="0"/>
    <xf numFmtId="0" fontId="45" fillId="36" borderId="28" applyNumberFormat="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6" fillId="0" borderId="0" applyNumberFormat="0" applyFill="0" applyBorder="0" applyAlignment="0" applyProtection="0"/>
    <xf numFmtId="0" fontId="47" fillId="0" borderId="29" applyNumberFormat="0" applyFill="0" applyAlignment="0" applyProtection="0"/>
    <xf numFmtId="0" fontId="48" fillId="0" borderId="30" applyNumberFormat="0" applyFill="0" applyAlignment="0" applyProtection="0"/>
    <xf numFmtId="0" fontId="42" fillId="0" borderId="25" applyNumberFormat="0" applyFill="0" applyAlignment="0" applyProtection="0"/>
    <xf numFmtId="0" fontId="37" fillId="0" borderId="31" applyNumberFormat="0" applyFill="0" applyAlignment="0" applyProtection="0"/>
    <xf numFmtId="0" fontId="38" fillId="0" borderId="26" applyNumberFormat="0" applyFill="0" applyAlignment="0" applyProtection="0"/>
    <xf numFmtId="0" fontId="49" fillId="0" borderId="0" applyNumberFormat="0" applyFill="0" applyBorder="0" applyAlignment="0" applyProtection="0"/>
    <xf numFmtId="0" fontId="46" fillId="0" borderId="0" applyNumberFormat="0" applyFill="0" applyBorder="0" applyAlignment="0" applyProtection="0"/>
    <xf numFmtId="0" fontId="50" fillId="0" borderId="32" applyNumberFormat="0" applyFill="0" applyAlignment="0" applyProtection="0"/>
    <xf numFmtId="0" fontId="50" fillId="0" borderId="33" applyNumberFormat="0" applyFill="0" applyAlignment="0" applyProtection="0"/>
    <xf numFmtId="0" fontId="35" fillId="0" borderId="0" applyNumberFormat="0" applyFill="0" applyBorder="0" applyAlignment="0" applyProtection="0"/>
    <xf numFmtId="0" fontId="1" fillId="0" borderId="0"/>
    <xf numFmtId="168" fontId="8" fillId="0" borderId="0" applyFont="0" applyFill="0" applyBorder="0" applyAlignment="0" applyProtection="0"/>
    <xf numFmtId="0" fontId="8" fillId="0" borderId="0"/>
    <xf numFmtId="182" fontId="8" fillId="0" borderId="0" applyFont="0" applyFill="0" applyBorder="0" applyAlignment="0" applyProtection="0"/>
    <xf numFmtId="182"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74" fontId="1" fillId="0" borderId="0"/>
    <xf numFmtId="174" fontId="8" fillId="0" borderId="0"/>
    <xf numFmtId="174" fontId="2" fillId="0" borderId="0"/>
    <xf numFmtId="174" fontId="8" fillId="0" borderId="0"/>
    <xf numFmtId="174" fontId="8" fillId="0" borderId="0"/>
    <xf numFmtId="174" fontId="8" fillId="0" borderId="0"/>
    <xf numFmtId="174" fontId="8" fillId="0" borderId="0"/>
    <xf numFmtId="174" fontId="8" fillId="0" borderId="0"/>
    <xf numFmtId="174" fontId="51"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8" fontId="8"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74" fontId="1" fillId="0" borderId="0"/>
    <xf numFmtId="168"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0" fontId="8" fillId="24" borderId="130" applyNumberFormat="0" applyFont="0" applyAlignment="0" applyProtection="0"/>
    <xf numFmtId="0" fontId="8" fillId="24" borderId="45" applyNumberFormat="0" applyFont="0" applyAlignment="0" applyProtection="0"/>
    <xf numFmtId="0" fontId="45" fillId="36" borderId="56" applyNumberFormat="0" applyAlignment="0" applyProtection="0"/>
    <xf numFmtId="0" fontId="45" fillId="36" borderId="76" applyNumberFormat="0" applyAlignment="0" applyProtection="0"/>
    <xf numFmtId="0" fontId="2" fillId="24" borderId="45" applyNumberFormat="0" applyFont="0" applyAlignment="0" applyProtection="0"/>
    <xf numFmtId="0" fontId="33" fillId="37" borderId="49" applyNumberFormat="0" applyAlignment="0" applyProtection="0"/>
    <xf numFmtId="43" fontId="1" fillId="0" borderId="0" applyFont="0" applyFill="0" applyBorder="0" applyAlignment="0" applyProtection="0"/>
    <xf numFmtId="0" fontId="33" fillId="37" borderId="74" applyNumberFormat="0" applyAlignment="0" applyProtection="0"/>
    <xf numFmtId="0" fontId="50" fillId="0" borderId="68" applyNumberFormat="0" applyFill="0" applyAlignment="0" applyProtection="0"/>
    <xf numFmtId="0" fontId="50" fillId="0" borderId="73" applyNumberFormat="0" applyFill="0" applyAlignment="0" applyProtection="0"/>
    <xf numFmtId="0" fontId="39" fillId="21" borderId="205" applyNumberFormat="0" applyAlignment="0" applyProtection="0"/>
    <xf numFmtId="0" fontId="39" fillId="27" borderId="54" applyNumberFormat="0" applyAlignment="0" applyProtection="0"/>
    <xf numFmtId="0" fontId="8" fillId="24" borderId="65" applyNumberFormat="0" applyFont="0" applyAlignment="0" applyProtection="0"/>
    <xf numFmtId="0" fontId="2" fillId="24" borderId="65" applyNumberFormat="0" applyFont="0" applyAlignment="0" applyProtection="0"/>
    <xf numFmtId="0" fontId="45" fillId="37" borderId="177" applyNumberFormat="0" applyAlignment="0" applyProtection="0"/>
    <xf numFmtId="0" fontId="45" fillId="36" borderId="71" applyNumberFormat="0" applyAlignment="0" applyProtection="0"/>
    <xf numFmtId="0" fontId="45" fillId="36" borderId="167" applyNumberFormat="0" applyAlignment="0" applyProtection="0"/>
    <xf numFmtId="0" fontId="45" fillId="36" borderId="136" applyNumberFormat="0" applyAlignment="0" applyProtection="0"/>
    <xf numFmtId="0" fontId="2" fillId="24" borderId="95" applyNumberFormat="0" applyFont="0" applyAlignment="0" applyProtection="0"/>
    <xf numFmtId="0" fontId="50" fillId="0" borderId="199" applyNumberFormat="0" applyFill="0" applyAlignment="0" applyProtection="0"/>
    <xf numFmtId="0" fontId="32" fillId="36" borderId="114" applyNumberFormat="0" applyAlignment="0" applyProtection="0"/>
    <xf numFmtId="0" fontId="45" fillId="36" borderId="136" applyNumberFormat="0" applyAlignment="0" applyProtection="0"/>
    <xf numFmtId="0" fontId="45" fillId="37" borderId="91" applyNumberFormat="0" applyAlignment="0" applyProtection="0"/>
    <xf numFmtId="0" fontId="39" fillId="27" borderId="49" applyNumberFormat="0" applyAlignment="0" applyProtection="0"/>
    <xf numFmtId="0" fontId="39" fillId="21" borderId="99" applyNumberFormat="0" applyAlignment="0" applyProtection="0"/>
    <xf numFmtId="0" fontId="39" fillId="27" borderId="114" applyNumberFormat="0" applyAlignment="0" applyProtection="0"/>
    <xf numFmtId="0" fontId="2" fillId="24" borderId="105" applyNumberFormat="0" applyFont="0" applyAlignment="0" applyProtection="0"/>
    <xf numFmtId="0" fontId="50" fillId="0" borderId="43" applyNumberFormat="0" applyFill="0" applyAlignment="0" applyProtection="0"/>
    <xf numFmtId="0" fontId="50" fillId="0" borderId="42" applyNumberFormat="0" applyFill="0" applyAlignment="0" applyProtection="0"/>
    <xf numFmtId="0" fontId="33" fillId="37" borderId="124" applyNumberFormat="0" applyAlignment="0" applyProtection="0"/>
    <xf numFmtId="43" fontId="1" fillId="0" borderId="0" applyFont="0" applyFill="0" applyBorder="0" applyAlignment="0" applyProtection="0"/>
    <xf numFmtId="0" fontId="39" fillId="27" borderId="64" applyNumberFormat="0" applyAlignment="0" applyProtection="0"/>
    <xf numFmtId="0" fontId="8" fillId="24" borderId="156" applyNumberFormat="0" applyFont="0" applyAlignment="0" applyProtection="0"/>
    <xf numFmtId="0" fontId="32" fillId="36" borderId="64" applyNumberFormat="0" applyAlignment="0" applyProtection="0"/>
    <xf numFmtId="0" fontId="8" fillId="24" borderId="85" applyNumberFormat="0" applyFont="0" applyAlignment="0" applyProtection="0"/>
    <xf numFmtId="0" fontId="50" fillId="0" borderId="67" applyNumberFormat="0" applyFill="0" applyAlignment="0" applyProtection="0"/>
    <xf numFmtId="0" fontId="8" fillId="24" borderId="95" applyNumberFormat="0" applyFont="0" applyAlignment="0" applyProtection="0"/>
    <xf numFmtId="43" fontId="1" fillId="0" borderId="0" applyFont="0" applyFill="0" applyBorder="0" applyAlignment="0" applyProtection="0"/>
    <xf numFmtId="0" fontId="45" fillId="36" borderId="41" applyNumberFormat="0" applyAlignment="0" applyProtection="0"/>
    <xf numFmtId="0" fontId="45" fillId="37" borderId="41" applyNumberFormat="0" applyAlignment="0" applyProtection="0"/>
    <xf numFmtId="0" fontId="8" fillId="24" borderId="145" applyNumberFormat="0" applyFont="0" applyAlignment="0" applyProtection="0"/>
    <xf numFmtId="0" fontId="45" fillId="37" borderId="212" applyNumberFormat="0" applyAlignment="0" applyProtection="0"/>
    <xf numFmtId="0" fontId="2" fillId="24" borderId="90" applyNumberFormat="0" applyFont="0" applyAlignment="0" applyProtection="0"/>
    <xf numFmtId="0" fontId="32" fillId="36" borderId="94" applyNumberFormat="0" applyAlignment="0" applyProtection="0"/>
    <xf numFmtId="0" fontId="45" fillId="36" borderId="41" applyNumberFormat="0" applyAlignment="0" applyProtection="0"/>
    <xf numFmtId="0" fontId="2" fillId="24" borderId="40" applyNumberFormat="0" applyFont="0" applyAlignment="0" applyProtection="0"/>
    <xf numFmtId="0" fontId="8" fillId="24" borderId="40" applyNumberFormat="0" applyFont="0" applyAlignment="0" applyProtection="0"/>
    <xf numFmtId="0" fontId="8" fillId="24" borderId="40" applyNumberFormat="0" applyFont="0" applyAlignment="0" applyProtection="0"/>
    <xf numFmtId="0" fontId="45" fillId="36" borderId="61" applyNumberFormat="0" applyAlignment="0" applyProtection="0"/>
    <xf numFmtId="0" fontId="2" fillId="24" borderId="60" applyNumberFormat="0" applyFont="0" applyAlignment="0" applyProtection="0"/>
    <xf numFmtId="0" fontId="8" fillId="24" borderId="60" applyNumberFormat="0" applyFont="0" applyAlignment="0" applyProtection="0"/>
    <xf numFmtId="0" fontId="8" fillId="24" borderId="60" applyNumberFormat="0" applyFont="0" applyAlignment="0" applyProtection="0"/>
    <xf numFmtId="0" fontId="45" fillId="36" borderId="167" applyNumberFormat="0" applyAlignment="0" applyProtection="0"/>
    <xf numFmtId="0" fontId="39" fillId="27" borderId="160" applyNumberFormat="0" applyAlignment="0" applyProtection="0"/>
    <xf numFmtId="0" fontId="50" fillId="0" borderId="53" applyNumberFormat="0" applyFill="0" applyAlignment="0" applyProtection="0"/>
    <xf numFmtId="0" fontId="50" fillId="0" borderId="52" applyNumberFormat="0" applyFill="0" applyAlignment="0" applyProtection="0"/>
    <xf numFmtId="0" fontId="39" fillId="27" borderId="144" applyNumberFormat="0" applyAlignment="0" applyProtection="0"/>
    <xf numFmtId="0" fontId="45" fillId="36" borderId="51" applyNumberFormat="0" applyAlignment="0" applyProtection="0"/>
    <xf numFmtId="0" fontId="45" fillId="37" borderId="51" applyNumberFormat="0" applyAlignment="0" applyProtection="0"/>
    <xf numFmtId="0" fontId="45" fillId="37" borderId="111" applyNumberFormat="0" applyAlignment="0" applyProtection="0"/>
    <xf numFmtId="0" fontId="45" fillId="36" borderId="51" applyNumberFormat="0" applyAlignment="0" applyProtection="0"/>
    <xf numFmtId="0" fontId="8" fillId="24" borderId="50" applyNumberFormat="0" applyFont="0" applyAlignment="0" applyProtection="0"/>
    <xf numFmtId="0" fontId="45" fillId="37" borderId="187" applyNumberFormat="0" applyAlignment="0" applyProtection="0"/>
    <xf numFmtId="0" fontId="45" fillId="36" borderId="141" applyNumberFormat="0" applyAlignment="0" applyProtection="0"/>
    <xf numFmtId="0" fontId="32" fillId="36" borderId="34" applyNumberFormat="0" applyAlignment="0" applyProtection="0"/>
    <xf numFmtId="0" fontId="33" fillId="37" borderId="34" applyNumberFormat="0" applyAlignment="0" applyProtection="0"/>
    <xf numFmtId="0" fontId="32" fillId="36" borderId="34" applyNumberFormat="0" applyAlignment="0" applyProtection="0"/>
    <xf numFmtId="0" fontId="39" fillId="21" borderId="165" applyNumberFormat="0" applyAlignment="0" applyProtection="0"/>
    <xf numFmtId="0" fontId="50" fillId="0" borderId="213" applyNumberFormat="0" applyFill="0" applyAlignment="0" applyProtection="0"/>
    <xf numFmtId="0" fontId="45" fillId="36" borderId="131" applyNumberFormat="0" applyAlignment="0" applyProtection="0"/>
    <xf numFmtId="0" fontId="45" fillId="37" borderId="96" applyNumberFormat="0" applyAlignment="0" applyProtection="0"/>
    <xf numFmtId="0" fontId="8" fillId="24" borderId="135" applyNumberFormat="0" applyFont="0" applyAlignment="0" applyProtection="0"/>
    <xf numFmtId="0" fontId="39" fillId="21" borderId="104" applyNumberFormat="0" applyAlignment="0" applyProtection="0"/>
    <xf numFmtId="0" fontId="45" fillId="36" borderId="81" applyNumberFormat="0" applyAlignment="0" applyProtection="0"/>
    <xf numFmtId="0" fontId="33" fillId="37" borderId="44" applyNumberFormat="0" applyAlignment="0" applyProtection="0"/>
    <xf numFmtId="0" fontId="32" fillId="36" borderId="44" applyNumberFormat="0" applyAlignment="0" applyProtection="0"/>
    <xf numFmtId="0" fontId="39" fillId="21" borderId="139" applyNumberFormat="0" applyAlignment="0" applyProtection="0"/>
    <xf numFmtId="0" fontId="45" fillId="36" borderId="131" applyNumberFormat="0" applyAlignment="0" applyProtection="0"/>
    <xf numFmtId="0" fontId="8" fillId="24" borderId="85" applyNumberFormat="0" applyFont="0" applyAlignment="0" applyProtection="0"/>
    <xf numFmtId="0" fontId="45" fillId="37" borderId="71" applyNumberFormat="0" applyAlignment="0" applyProtection="0"/>
    <xf numFmtId="0" fontId="39" fillId="27" borderId="34" applyNumberFormat="0" applyAlignment="0" applyProtection="0"/>
    <xf numFmtId="0" fontId="39" fillId="21" borderId="34" applyNumberFormat="0" applyAlignment="0" applyProtection="0"/>
    <xf numFmtId="0" fontId="8" fillId="24" borderId="70" applyNumberFormat="0" applyFont="0" applyAlignment="0" applyProtection="0"/>
    <xf numFmtId="0" fontId="8" fillId="24" borderId="70" applyNumberFormat="0" applyFont="0" applyAlignment="0" applyProtection="0"/>
    <xf numFmtId="0" fontId="50" fillId="0" borderId="163" applyNumberFormat="0" applyFill="0" applyAlignment="0" applyProtection="0"/>
    <xf numFmtId="0" fontId="50" fillId="0" borderId="83" applyNumberFormat="0" applyFill="0" applyAlignment="0" applyProtection="0"/>
    <xf numFmtId="0" fontId="33" fillId="37" borderId="89" applyNumberFormat="0" applyAlignment="0" applyProtection="0"/>
    <xf numFmtId="0" fontId="50" fillId="0" borderId="108" applyNumberFormat="0" applyFill="0" applyAlignment="0" applyProtection="0"/>
    <xf numFmtId="0" fontId="33" fillId="37" borderId="54" applyNumberFormat="0" applyAlignment="0" applyProtection="0"/>
    <xf numFmtId="0" fontId="39" fillId="21" borderId="44" applyNumberFormat="0" applyAlignment="0" applyProtection="0"/>
    <xf numFmtId="0" fontId="45" fillId="36" borderId="116" applyNumberFormat="0" applyAlignment="0" applyProtection="0"/>
    <xf numFmtId="0" fontId="45" fillId="37" borderId="162" applyNumberFormat="0" applyAlignment="0" applyProtection="0"/>
    <xf numFmtId="0" fontId="8" fillId="24" borderId="80" applyNumberFormat="0" applyFont="0" applyAlignment="0" applyProtection="0"/>
    <xf numFmtId="0" fontId="8" fillId="24" borderId="181" applyNumberFormat="0" applyFont="0" applyAlignment="0" applyProtection="0"/>
    <xf numFmtId="43" fontId="1" fillId="0" borderId="0" applyFont="0" applyFill="0" applyBorder="0" applyAlignment="0" applyProtection="0"/>
    <xf numFmtId="0" fontId="33" fillId="37" borderId="170" applyNumberFormat="0" applyAlignment="0" applyProtection="0"/>
    <xf numFmtId="0" fontId="39" fillId="21" borderId="34" applyNumberFormat="0" applyAlignment="0" applyProtection="0"/>
    <xf numFmtId="0" fontId="39" fillId="27" borderId="129" applyNumberFormat="0" applyAlignment="0" applyProtection="0"/>
    <xf numFmtId="0" fontId="45" fillId="36" borderId="111" applyNumberFormat="0" applyAlignment="0" applyProtection="0"/>
    <xf numFmtId="0" fontId="33" fillId="37" borderId="84" applyNumberFormat="0" applyAlignment="0" applyProtection="0"/>
    <xf numFmtId="0" fontId="2" fillId="24" borderId="156" applyNumberFormat="0" applyFont="0" applyAlignment="0" applyProtection="0"/>
    <xf numFmtId="43" fontId="1" fillId="0" borderId="0" applyFont="0" applyFill="0" applyBorder="0" applyAlignment="0" applyProtection="0"/>
    <xf numFmtId="0" fontId="45" fillId="37" borderId="121" applyNumberFormat="0" applyAlignment="0" applyProtection="0"/>
    <xf numFmtId="0" fontId="39" fillId="21" borderId="39" applyNumberFormat="0" applyAlignment="0" applyProtection="0"/>
    <xf numFmtId="0" fontId="39" fillId="21" borderId="59" applyNumberFormat="0" applyAlignment="0" applyProtection="0"/>
    <xf numFmtId="0" fontId="2" fillId="24" borderId="135" applyNumberFormat="0" applyFont="0" applyAlignment="0" applyProtection="0"/>
    <xf numFmtId="0" fontId="39" fillId="21" borderId="150" applyNumberFormat="0" applyAlignment="0" applyProtection="0"/>
    <xf numFmtId="0" fontId="39" fillId="27" borderId="59" applyNumberFormat="0" applyAlignment="0" applyProtection="0"/>
    <xf numFmtId="0" fontId="39" fillId="21" borderId="49" applyNumberFormat="0" applyAlignment="0" applyProtection="0"/>
    <xf numFmtId="0" fontId="39" fillId="27" borderId="185" applyNumberFormat="0" applyAlignment="0" applyProtection="0"/>
    <xf numFmtId="43" fontId="1" fillId="0" borderId="0" applyFont="0" applyFill="0" applyBorder="0" applyAlignment="0" applyProtection="0"/>
    <xf numFmtId="0" fontId="32" fillId="36" borderId="79" applyNumberFormat="0" applyAlignment="0" applyProtection="0"/>
    <xf numFmtId="0" fontId="33" fillId="37" borderId="79" applyNumberFormat="0" applyAlignment="0" applyProtection="0"/>
    <xf numFmtId="0" fontId="39" fillId="21" borderId="39" applyNumberFormat="0" applyAlignment="0" applyProtection="0"/>
    <xf numFmtId="0" fontId="39" fillId="27" borderId="39" applyNumberFormat="0" applyAlignment="0" applyProtection="0"/>
    <xf numFmtId="0" fontId="39" fillId="21" borderId="119" applyNumberFormat="0" applyAlignment="0" applyProtection="0"/>
    <xf numFmtId="0" fontId="8" fillId="24" borderId="95" applyNumberFormat="0" applyFont="0" applyAlignment="0" applyProtection="0"/>
    <xf numFmtId="43" fontId="1" fillId="0" borderId="0" applyFont="0" applyFill="0" applyBorder="0" applyAlignment="0" applyProtection="0"/>
    <xf numFmtId="0" fontId="32" fillId="36" borderId="69" applyNumberFormat="0" applyAlignment="0" applyProtection="0"/>
    <xf numFmtId="0" fontId="2" fillId="24" borderId="110" applyNumberFormat="0" applyFont="0" applyAlignment="0" applyProtection="0"/>
    <xf numFmtId="0" fontId="50" fillId="0" borderId="168" applyNumberFormat="0" applyFill="0" applyAlignment="0" applyProtection="0"/>
    <xf numFmtId="0" fontId="45" fillId="36" borderId="172" applyNumberFormat="0" applyAlignment="0" applyProtection="0"/>
    <xf numFmtId="0" fontId="32" fillId="36" borderId="59" applyNumberFormat="0" applyAlignment="0" applyProtection="0"/>
    <xf numFmtId="0" fontId="32" fillId="36" borderId="49" applyNumberFormat="0" applyAlignment="0" applyProtection="0"/>
    <xf numFmtId="0" fontId="32" fillId="36" borderId="59" applyNumberFormat="0" applyAlignment="0" applyProtection="0"/>
    <xf numFmtId="0" fontId="45" fillId="36" borderId="86" applyNumberFormat="0" applyAlignment="0" applyProtection="0"/>
    <xf numFmtId="0" fontId="45" fillId="36" borderId="162" applyNumberFormat="0" applyAlignment="0" applyProtection="0"/>
    <xf numFmtId="0" fontId="45" fillId="36" borderId="76" applyNumberFormat="0" applyAlignment="0" applyProtection="0"/>
    <xf numFmtId="0" fontId="8" fillId="24" borderId="110" applyNumberFormat="0" applyFont="0" applyAlignment="0" applyProtection="0"/>
    <xf numFmtId="0" fontId="8" fillId="24" borderId="65" applyNumberFormat="0" applyFont="0" applyAlignment="0" applyProtection="0"/>
    <xf numFmtId="0" fontId="32" fillId="36" borderId="39" applyNumberFormat="0" applyAlignment="0" applyProtection="0"/>
    <xf numFmtId="0" fontId="33" fillId="37" borderId="39" applyNumberFormat="0" applyAlignment="0" applyProtection="0"/>
    <xf numFmtId="0" fontId="45" fillId="36" borderId="66" applyNumberFormat="0" applyAlignment="0" applyProtection="0"/>
    <xf numFmtId="0" fontId="33" fillId="37" borderId="99" applyNumberFormat="0" applyAlignment="0" applyProtection="0"/>
    <xf numFmtId="0" fontId="39" fillId="21" borderId="79" applyNumberFormat="0" applyAlignment="0" applyProtection="0"/>
    <xf numFmtId="0" fontId="39" fillId="27" borderId="195" applyNumberFormat="0" applyAlignment="0" applyProtection="0"/>
    <xf numFmtId="0" fontId="50" fillId="0" borderId="87" applyNumberFormat="0" applyFill="0" applyAlignment="0" applyProtection="0"/>
    <xf numFmtId="0" fontId="50" fillId="0" borderId="88" applyNumberFormat="0" applyFill="0" applyAlignment="0" applyProtection="0"/>
    <xf numFmtId="0" fontId="50" fillId="0" borderId="77" applyNumberFormat="0" applyFill="0" applyAlignment="0" applyProtection="0"/>
    <xf numFmtId="0" fontId="33" fillId="37" borderId="160" applyNumberFormat="0" applyAlignment="0" applyProtection="0"/>
    <xf numFmtId="0" fontId="50" fillId="0" borderId="58" applyNumberFormat="0" applyFill="0" applyAlignment="0" applyProtection="0"/>
    <xf numFmtId="0" fontId="8" fillId="24" borderId="45" applyNumberFormat="0" applyFont="0" applyAlignment="0" applyProtection="0"/>
    <xf numFmtId="0" fontId="45" fillId="36" borderId="46" applyNumberFormat="0" applyAlignment="0" applyProtection="0"/>
    <xf numFmtId="0" fontId="45" fillId="37" borderId="152" applyNumberFormat="0" applyAlignment="0" applyProtection="0"/>
    <xf numFmtId="0" fontId="45" fillId="37" borderId="46" applyNumberFormat="0" applyAlignment="0" applyProtection="0"/>
    <xf numFmtId="0" fontId="45" fillId="36" borderId="46" applyNumberFormat="0" applyAlignment="0" applyProtection="0"/>
    <xf numFmtId="43" fontId="1" fillId="0" borderId="0" applyFont="0" applyFill="0" applyBorder="0" applyAlignment="0" applyProtection="0"/>
    <xf numFmtId="0" fontId="32" fillId="36" borderId="54" applyNumberFormat="0" applyAlignment="0" applyProtection="0"/>
    <xf numFmtId="0" fontId="50" fillId="0" borderId="113" applyNumberFormat="0" applyFill="0" applyAlignment="0" applyProtection="0"/>
    <xf numFmtId="0" fontId="45" fillId="36" borderId="71" applyNumberFormat="0" applyAlignment="0" applyProtection="0"/>
    <xf numFmtId="0" fontId="45" fillId="36" borderId="126" applyNumberFormat="0" applyAlignment="0" applyProtection="0"/>
    <xf numFmtId="0" fontId="8" fillId="24" borderId="161" applyNumberFormat="0" applyFont="0" applyAlignment="0" applyProtection="0"/>
    <xf numFmtId="43" fontId="1" fillId="0" borderId="0" applyFont="0" applyFill="0" applyBorder="0" applyAlignment="0" applyProtection="0"/>
    <xf numFmtId="0" fontId="32" fillId="36" borderId="99" applyNumberFormat="0" applyAlignment="0" applyProtection="0"/>
    <xf numFmtId="0" fontId="8" fillId="24" borderId="156" applyNumberFormat="0" applyFont="0" applyAlignment="0" applyProtection="0"/>
    <xf numFmtId="0" fontId="50" fillId="0" borderId="47" applyNumberFormat="0" applyFill="0" applyAlignment="0" applyProtection="0"/>
    <xf numFmtId="0" fontId="50" fillId="0" borderId="48" applyNumberFormat="0" applyFill="0" applyAlignment="0" applyProtection="0"/>
    <xf numFmtId="0" fontId="39" fillId="27" borderId="79" applyNumberFormat="0" applyAlignment="0" applyProtection="0"/>
    <xf numFmtId="0" fontId="45" fillId="36" borderId="66"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0" fontId="50" fillId="0" borderId="93" applyNumberFormat="0" applyFill="0" applyAlignment="0" applyProtection="0"/>
    <xf numFmtId="0" fontId="8" fillId="24" borderId="35" applyNumberFormat="0" applyFont="0" applyAlignment="0" applyProtection="0"/>
    <xf numFmtId="0" fontId="8" fillId="24" borderId="35" applyNumberFormat="0" applyFont="0" applyAlignment="0" applyProtection="0"/>
    <xf numFmtId="0" fontId="2" fillId="24" borderId="35" applyNumberFormat="0" applyFont="0" applyAlignment="0" applyProtection="0"/>
    <xf numFmtId="0" fontId="45" fillId="36" borderId="36" applyNumberFormat="0" applyAlignment="0" applyProtection="0"/>
    <xf numFmtId="0" fontId="2" fillId="24" borderId="55" applyNumberFormat="0" applyFont="0" applyAlignment="0" applyProtection="0"/>
    <xf numFmtId="0" fontId="50" fillId="0" borderId="82" applyNumberFormat="0" applyFill="0" applyAlignment="0" applyProtection="0"/>
    <xf numFmtId="0" fontId="50" fillId="0" borderId="137" applyNumberFormat="0" applyFill="0" applyAlignment="0" applyProtection="0"/>
    <xf numFmtId="0" fontId="39" fillId="21" borderId="94" applyNumberFormat="0" applyAlignment="0" applyProtection="0"/>
    <xf numFmtId="0" fontId="45" fillId="37" borderId="36" applyNumberFormat="0" applyAlignment="0" applyProtection="0"/>
    <xf numFmtId="0" fontId="45" fillId="36" borderId="36" applyNumberFormat="0" applyAlignment="0" applyProtection="0"/>
    <xf numFmtId="43" fontId="1" fillId="0" borderId="0" applyFont="0" applyFill="0" applyBorder="0" applyAlignment="0" applyProtection="0"/>
    <xf numFmtId="0" fontId="2" fillId="24" borderId="50" applyNumberFormat="0" applyFont="0" applyAlignment="0" applyProtection="0"/>
    <xf numFmtId="0" fontId="50" fillId="0" borderId="63" applyNumberFormat="0" applyFill="0" applyAlignment="0" applyProtection="0"/>
    <xf numFmtId="0" fontId="33" fillId="37" borderId="94" applyNumberFormat="0" applyAlignment="0" applyProtection="0"/>
    <xf numFmtId="0" fontId="8" fillId="24" borderId="50" applyNumberFormat="0" applyFont="0" applyAlignment="0" applyProtection="0"/>
    <xf numFmtId="0" fontId="50" fillId="0" borderId="72" applyNumberFormat="0" applyFill="0" applyAlignment="0" applyProtection="0"/>
    <xf numFmtId="0" fontId="8" fillId="24" borderId="105" applyNumberFormat="0" applyFont="0" applyAlignment="0" applyProtection="0"/>
    <xf numFmtId="0" fontId="33" fillId="37" borderId="155" applyNumberFormat="0" applyAlignment="0" applyProtection="0"/>
    <xf numFmtId="0" fontId="32" fillId="36" borderId="74" applyNumberFormat="0" applyAlignment="0" applyProtection="0"/>
    <xf numFmtId="0" fontId="50" fillId="0" borderId="37" applyNumberFormat="0" applyFill="0" applyAlignment="0" applyProtection="0"/>
    <xf numFmtId="0" fontId="50" fillId="0" borderId="38" applyNumberFormat="0" applyFill="0" applyAlignment="0" applyProtection="0"/>
    <xf numFmtId="0" fontId="8" fillId="24" borderId="75" applyNumberFormat="0" applyFont="0" applyAlignment="0" applyProtection="0"/>
    <xf numFmtId="0" fontId="45" fillId="37" borderId="66" applyNumberFormat="0" applyAlignment="0" applyProtection="0"/>
    <xf numFmtId="0" fontId="8" fillId="24" borderId="55" applyNumberFormat="0" applyFont="0" applyAlignment="0" applyProtection="0"/>
    <xf numFmtId="0" fontId="39" fillId="27" borderId="44" applyNumberFormat="0" applyAlignment="0" applyProtection="0"/>
    <xf numFmtId="0" fontId="45" fillId="36" borderId="106" applyNumberFormat="0" applyAlignment="0" applyProtection="0"/>
    <xf numFmtId="0" fontId="45" fillId="37" borderId="56" applyNumberFormat="0" applyAlignment="0" applyProtection="0"/>
    <xf numFmtId="0" fontId="8" fillId="24" borderId="135" applyNumberFormat="0" applyFont="0" applyAlignment="0" applyProtection="0"/>
    <xf numFmtId="0" fontId="39" fillId="21" borderId="94" applyNumberFormat="0" applyAlignment="0" applyProtection="0"/>
    <xf numFmtId="0" fontId="33" fillId="37" borderId="64" applyNumberFormat="0" applyAlignment="0" applyProtection="0"/>
    <xf numFmtId="0" fontId="50" fillId="0" borderId="57" applyNumberFormat="0" applyFill="0" applyAlignment="0" applyProtection="0"/>
    <xf numFmtId="0" fontId="39" fillId="27" borderId="205" applyNumberFormat="0" applyAlignment="0" applyProtection="0"/>
    <xf numFmtId="0" fontId="45" fillId="36" borderId="61" applyNumberFormat="0" applyAlignment="0" applyProtection="0"/>
    <xf numFmtId="0" fontId="45" fillId="37" borderId="61" applyNumberFormat="0" applyAlignment="0" applyProtection="0"/>
    <xf numFmtId="0" fontId="32" fillId="36" borderId="119" applyNumberFormat="0" applyAlignment="0" applyProtection="0"/>
    <xf numFmtId="0" fontId="32" fillId="36" borderId="64" applyNumberFormat="0" applyAlignment="0" applyProtection="0"/>
    <xf numFmtId="0" fontId="39" fillId="21" borderId="69" applyNumberFormat="0" applyAlignment="0" applyProtection="0"/>
    <xf numFmtId="0" fontId="2" fillId="24" borderId="70" applyNumberFormat="0" applyFont="0" applyAlignment="0" applyProtection="0"/>
    <xf numFmtId="0" fontId="39" fillId="21" borderId="160" applyNumberFormat="0" applyAlignment="0" applyProtection="0"/>
    <xf numFmtId="0" fontId="39" fillId="21" borderId="44" applyNumberFormat="0" applyAlignment="0" applyProtection="0"/>
    <xf numFmtId="0" fontId="32" fillId="36" borderId="39" applyNumberFormat="0" applyAlignment="0" applyProtection="0"/>
    <xf numFmtId="0" fontId="45" fillId="36" borderId="106" applyNumberFormat="0" applyAlignment="0" applyProtection="0"/>
    <xf numFmtId="0" fontId="8" fillId="24" borderId="55" applyNumberFormat="0" applyFont="0" applyAlignment="0" applyProtection="0"/>
    <xf numFmtId="0" fontId="32" fillId="36" borderId="74" applyNumberFormat="0" applyAlignment="0" applyProtection="0"/>
    <xf numFmtId="0" fontId="39" fillId="21" borderId="54" applyNumberFormat="0" applyAlignment="0" applyProtection="0"/>
    <xf numFmtId="0" fontId="39" fillId="21" borderId="69" applyNumberFormat="0" applyAlignment="0" applyProtection="0"/>
    <xf numFmtId="0" fontId="45" fillId="36" borderId="96" applyNumberFormat="0" applyAlignment="0" applyProtection="0"/>
    <xf numFmtId="0" fontId="45" fillId="36" borderId="56" applyNumberFormat="0" applyAlignment="0" applyProtection="0"/>
    <xf numFmtId="169" fontId="1" fillId="0" borderId="0" applyFont="0" applyFill="0" applyBorder="0" applyAlignment="0" applyProtection="0"/>
    <xf numFmtId="0" fontId="50" fillId="0" borderId="103" applyNumberFormat="0" applyFill="0" applyAlignment="0" applyProtection="0"/>
    <xf numFmtId="0" fontId="50" fillId="0" borderId="128" applyNumberFormat="0" applyFill="0" applyAlignment="0" applyProtection="0"/>
    <xf numFmtId="0" fontId="33" fillId="37" borderId="119" applyNumberFormat="0" applyAlignment="0" applyProtection="0"/>
    <xf numFmtId="0" fontId="32" fillId="36" borderId="205" applyNumberFormat="0" applyAlignment="0" applyProtection="0"/>
    <xf numFmtId="0" fontId="39" fillId="21" borderId="49" applyNumberFormat="0" applyAlignment="0" applyProtection="0"/>
    <xf numFmtId="0" fontId="39" fillId="27" borderId="104" applyNumberFormat="0" applyAlignment="0" applyProtection="0"/>
    <xf numFmtId="0" fontId="45" fillId="37" borderId="81" applyNumberFormat="0" applyAlignment="0" applyProtection="0"/>
    <xf numFmtId="0" fontId="32" fillId="36" borderId="44" applyNumberFormat="0" applyAlignment="0" applyProtection="0"/>
    <xf numFmtId="0" fontId="45" fillId="36" borderId="81" applyNumberFormat="0" applyAlignment="0" applyProtection="0"/>
    <xf numFmtId="43" fontId="1" fillId="0" borderId="0" applyFont="0" applyFill="0" applyBorder="0" applyAlignment="0" applyProtection="0"/>
    <xf numFmtId="0" fontId="39" fillId="21" borderId="74" applyNumberFormat="0" applyAlignment="0" applyProtection="0"/>
    <xf numFmtId="0" fontId="33" fillId="37" borderId="69" applyNumberFormat="0" applyAlignment="0" applyProtection="0"/>
    <xf numFmtId="0" fontId="50" fillId="0" borderId="62" applyNumberFormat="0" applyFill="0" applyAlignment="0" applyProtection="0"/>
    <xf numFmtId="169" fontId="1" fillId="0" borderId="0" applyFont="0" applyFill="0" applyBorder="0" applyAlignment="0" applyProtection="0"/>
    <xf numFmtId="0" fontId="45" fillId="37" borderId="157" applyNumberFormat="0" applyAlignment="0" applyProtection="0"/>
    <xf numFmtId="0" fontId="32" fillId="36" borderId="144" applyNumberFormat="0" applyAlignment="0" applyProtection="0"/>
    <xf numFmtId="0" fontId="45" fillId="36" borderId="152" applyNumberFormat="0" applyAlignment="0" applyProtection="0"/>
    <xf numFmtId="0" fontId="8" fillId="24" borderId="100" applyNumberFormat="0" applyFont="0" applyAlignment="0" applyProtection="0"/>
    <xf numFmtId="0" fontId="8" fillId="24" borderId="140" applyNumberFormat="0" applyFont="0" applyAlignment="0" applyProtection="0"/>
    <xf numFmtId="0" fontId="32" fillId="36" borderId="89" applyNumberFormat="0" applyAlignment="0" applyProtection="0"/>
    <xf numFmtId="0" fontId="32" fillId="36" borderId="49" applyNumberFormat="0" applyAlignment="0" applyProtection="0"/>
    <xf numFmtId="0" fontId="39" fillId="27" borderId="69" applyNumberFormat="0" applyAlignment="0" applyProtection="0"/>
    <xf numFmtId="43" fontId="1" fillId="0" borderId="0" applyFont="0" applyFill="0" applyBorder="0" applyAlignment="0" applyProtection="0"/>
    <xf numFmtId="0" fontId="45" fillId="36" borderId="101" applyNumberFormat="0" applyAlignment="0" applyProtection="0"/>
    <xf numFmtId="0" fontId="2" fillId="24" borderId="80" applyNumberFormat="0" applyFont="0" applyAlignment="0" applyProtection="0"/>
    <xf numFmtId="0" fontId="50" fillId="0" borderId="164" applyNumberFormat="0" applyFill="0" applyAlignment="0" applyProtection="0"/>
    <xf numFmtId="0" fontId="32" fillId="36" borderId="134" applyNumberFormat="0" applyAlignment="0" applyProtection="0"/>
    <xf numFmtId="169" fontId="1" fillId="0" borderId="0" applyFont="0" applyFill="0" applyBorder="0" applyAlignment="0" applyProtection="0"/>
    <xf numFmtId="0" fontId="33" fillId="37" borderId="59" applyNumberFormat="0" applyAlignment="0" applyProtection="0"/>
    <xf numFmtId="0" fontId="2" fillId="24" borderId="75" applyNumberFormat="0" applyFont="0" applyAlignment="0" applyProtection="0"/>
    <xf numFmtId="0" fontId="8" fillId="24" borderId="186" applyNumberFormat="0" applyFont="0" applyAlignment="0" applyProtection="0"/>
    <xf numFmtId="0" fontId="39" fillId="27" borderId="74" applyNumberFormat="0" applyAlignment="0" applyProtection="0"/>
    <xf numFmtId="0" fontId="39" fillId="21" borderId="150" applyNumberFormat="0" applyAlignment="0" applyProtection="0"/>
    <xf numFmtId="0" fontId="50" fillId="0" borderId="98" applyNumberFormat="0" applyFill="0" applyAlignment="0" applyProtection="0"/>
    <xf numFmtId="0" fontId="8" fillId="24" borderId="90" applyNumberFormat="0" applyFont="0" applyAlignment="0" applyProtection="0"/>
    <xf numFmtId="0" fontId="39" fillId="21" borderId="54" applyNumberFormat="0" applyAlignment="0" applyProtection="0"/>
    <xf numFmtId="0" fontId="8" fillId="24" borderId="120" applyNumberFormat="0" applyFont="0" applyAlignment="0" applyProtection="0"/>
    <xf numFmtId="0" fontId="39" fillId="21" borderId="180" applyNumberFormat="0" applyAlignment="0" applyProtection="0"/>
    <xf numFmtId="0" fontId="33" fillId="37" borderId="109" applyNumberFormat="0" applyAlignment="0" applyProtection="0"/>
    <xf numFmtId="0" fontId="50" fillId="0" borderId="102" applyNumberFormat="0" applyFill="0" applyAlignment="0" applyProtection="0"/>
    <xf numFmtId="169" fontId="1" fillId="0" borderId="0" applyFont="0" applyFill="0" applyBorder="0" applyAlignment="0" applyProtection="0"/>
    <xf numFmtId="0" fontId="39" fillId="27" borderId="89" applyNumberFormat="0" applyAlignment="0" applyProtection="0"/>
    <xf numFmtId="0" fontId="50" fillId="0" borderId="97" applyNumberFormat="0" applyFill="0" applyAlignment="0" applyProtection="0"/>
    <xf numFmtId="0" fontId="8" fillId="24" borderId="100" applyNumberFormat="0" applyFont="0" applyAlignment="0" applyProtection="0"/>
    <xf numFmtId="0" fontId="32" fillId="36" borderId="109" applyNumberFormat="0" applyAlignment="0" applyProtection="0"/>
    <xf numFmtId="0" fontId="39" fillId="27" borderId="190" applyNumberFormat="0" applyAlignment="0" applyProtection="0"/>
    <xf numFmtId="0" fontId="8" fillId="24" borderId="191" applyNumberFormat="0" applyFont="0" applyAlignment="0" applyProtection="0"/>
    <xf numFmtId="0" fontId="50" fillId="0" borderId="158" applyNumberFormat="0" applyFill="0" applyAlignment="0" applyProtection="0"/>
    <xf numFmtId="0" fontId="50" fillId="0" borderId="153" applyNumberFormat="0" applyFill="0" applyAlignment="0" applyProtection="0"/>
    <xf numFmtId="43" fontId="1" fillId="0" borderId="0" applyFont="0" applyFill="0" applyBorder="0" applyAlignment="0" applyProtection="0"/>
    <xf numFmtId="0" fontId="45" fillId="36" borderId="91" applyNumberFormat="0" applyAlignment="0" applyProtection="0"/>
    <xf numFmtId="0" fontId="50" fillId="0" borderId="92" applyNumberFormat="0" applyFill="0" applyAlignment="0" applyProtection="0"/>
    <xf numFmtId="0" fontId="2" fillId="24" borderId="206" applyNumberFormat="0" applyFont="0" applyAlignment="0" applyProtection="0"/>
    <xf numFmtId="0" fontId="2" fillId="24" borderId="176" applyNumberFormat="0" applyFont="0" applyAlignment="0" applyProtection="0"/>
    <xf numFmtId="0" fontId="39" fillId="21" borderId="59" applyNumberFormat="0" applyAlignment="0" applyProtection="0"/>
    <xf numFmtId="0" fontId="8" fillId="24" borderId="161" applyNumberFormat="0" applyFont="0" applyAlignment="0" applyProtection="0"/>
    <xf numFmtId="0" fontId="32" fillId="36" borderId="89" applyNumberFormat="0" applyAlignment="0" applyProtection="0"/>
    <xf numFmtId="0" fontId="45" fillId="37" borderId="76" applyNumberFormat="0" applyAlignment="0" applyProtection="0"/>
    <xf numFmtId="0" fontId="39" fillId="21" borderId="84" applyNumberFormat="0" applyAlignment="0" applyProtection="0"/>
    <xf numFmtId="0" fontId="39" fillId="21" borderId="64" applyNumberFormat="0" applyAlignment="0" applyProtection="0"/>
    <xf numFmtId="0" fontId="33" fillId="37" borderId="144" applyNumberFormat="0" applyAlignment="0" applyProtection="0"/>
    <xf numFmtId="43" fontId="1" fillId="0" borderId="0" applyFont="0" applyFill="0" applyBorder="0" applyAlignment="0" applyProtection="0"/>
    <xf numFmtId="169" fontId="1" fillId="0" borderId="0" applyFont="0" applyFill="0" applyBorder="0" applyAlignment="0" applyProtection="0"/>
    <xf numFmtId="0" fontId="32" fillId="36" borderId="104" applyNumberFormat="0" applyAlignment="0" applyProtection="0"/>
    <xf numFmtId="0" fontId="2" fillId="24" borderId="115" applyNumberFormat="0" applyFont="0" applyAlignment="0" applyProtection="0"/>
    <xf numFmtId="0" fontId="32" fillId="36" borderId="124" applyNumberFormat="0" applyAlignment="0" applyProtection="0"/>
    <xf numFmtId="0" fontId="45" fillId="36" borderId="202" applyNumberFormat="0" applyAlignment="0" applyProtection="0"/>
    <xf numFmtId="43" fontId="1" fillId="0" borderId="0" applyFont="0" applyFill="0" applyBorder="0" applyAlignment="0" applyProtection="0"/>
    <xf numFmtId="0" fontId="39" fillId="21" borderId="175" applyNumberFormat="0" applyAlignment="0" applyProtection="0"/>
    <xf numFmtId="0" fontId="50" fillId="0" borderId="127" applyNumberFormat="0" applyFill="0" applyAlignment="0" applyProtection="0"/>
    <xf numFmtId="43" fontId="1" fillId="0" borderId="0" applyFont="0" applyFill="0" applyBorder="0" applyAlignment="0" applyProtection="0"/>
    <xf numFmtId="0" fontId="39" fillId="21" borderId="64" applyNumberFormat="0" applyAlignment="0" applyProtection="0"/>
    <xf numFmtId="0" fontId="8" fillId="24" borderId="80" applyNumberFormat="0" applyFont="0" applyAlignment="0" applyProtection="0"/>
    <xf numFmtId="0" fontId="32" fillId="36" borderId="84" applyNumberFormat="0" applyAlignment="0" applyProtection="0"/>
    <xf numFmtId="0" fontId="45" fillId="37" borderId="182" applyNumberFormat="0" applyAlignment="0" applyProtection="0"/>
    <xf numFmtId="0" fontId="39" fillId="27" borderId="99" applyNumberFormat="0" applyAlignment="0" applyProtection="0"/>
    <xf numFmtId="169" fontId="1" fillId="0" borderId="0" applyFont="0" applyFill="0" applyBorder="0" applyAlignment="0" applyProtection="0"/>
    <xf numFmtId="0" fontId="50" fillId="0" borderId="78" applyNumberFormat="0" applyFill="0" applyAlignment="0" applyProtection="0"/>
    <xf numFmtId="0" fontId="39" fillId="27" borderId="84" applyNumberFormat="0" applyAlignment="0" applyProtection="0"/>
    <xf numFmtId="0" fontId="50" fillId="0" borderId="147" applyNumberFormat="0" applyFill="0" applyAlignment="0" applyProtection="0"/>
    <xf numFmtId="0" fontId="50" fillId="0" borderId="184" applyNumberFormat="0" applyFill="0" applyAlignment="0" applyProtection="0"/>
    <xf numFmtId="0" fontId="45" fillId="36" borderId="91" applyNumberFormat="0" applyAlignment="0" applyProtection="0"/>
    <xf numFmtId="0" fontId="45" fillId="36" borderId="116" applyNumberFormat="0" applyAlignment="0" applyProtection="0"/>
    <xf numFmtId="0" fontId="32" fillId="36" borderId="69" applyNumberFormat="0" applyAlignment="0" applyProtection="0"/>
    <xf numFmtId="43" fontId="1" fillId="0" borderId="0" applyFont="0" applyFill="0" applyBorder="0" applyAlignment="0" applyProtection="0"/>
    <xf numFmtId="0" fontId="45" fillId="37" borderId="86" applyNumberFormat="0" applyAlignment="0" applyProtection="0"/>
    <xf numFmtId="0" fontId="39" fillId="27" borderId="210" applyNumberFormat="0" applyAlignment="0" applyProtection="0"/>
    <xf numFmtId="0" fontId="39" fillId="27" borderId="94" applyNumberFormat="0" applyAlignment="0" applyProtection="0"/>
    <xf numFmtId="0" fontId="8" fillId="24" borderId="75" applyNumberFormat="0" applyFont="0" applyAlignment="0" applyProtection="0"/>
    <xf numFmtId="0" fontId="45" fillId="36" borderId="86" applyNumberFormat="0" applyAlignment="0" applyProtection="0"/>
    <xf numFmtId="169" fontId="1" fillId="0" borderId="0" applyFont="0" applyFill="0" applyBorder="0" applyAlignment="0" applyProtection="0"/>
    <xf numFmtId="43" fontId="1" fillId="0" borderId="0" applyFont="0" applyFill="0" applyBorder="0" applyAlignment="0" applyProtection="0"/>
    <xf numFmtId="0" fontId="2" fillId="24" borderId="211" applyNumberFormat="0" applyFont="0" applyAlignment="0" applyProtection="0"/>
    <xf numFmtId="0" fontId="2" fillId="24" borderId="85" applyNumberFormat="0" applyFont="0" applyAlignment="0" applyProtection="0"/>
    <xf numFmtId="0" fontId="39" fillId="27" borderId="119" applyNumberFormat="0" applyAlignment="0" applyProtection="0"/>
    <xf numFmtId="0" fontId="8" fillId="24" borderId="125" applyNumberFormat="0" applyFont="0" applyAlignment="0" applyProtection="0"/>
    <xf numFmtId="0" fontId="39" fillId="21" borderId="74" applyNumberFormat="0" applyAlignment="0" applyProtection="0"/>
    <xf numFmtId="0" fontId="8" fillId="24" borderId="120" applyNumberFormat="0" applyFont="0" applyAlignment="0" applyProtection="0"/>
    <xf numFmtId="0" fontId="2" fillId="24" borderId="130" applyNumberFormat="0" applyFont="0" applyAlignment="0" applyProtection="0"/>
    <xf numFmtId="0" fontId="50" fillId="0" borderId="198" applyNumberFormat="0" applyFill="0" applyAlignment="0" applyProtection="0"/>
    <xf numFmtId="0" fontId="39" fillId="21" borderId="89" applyNumberFormat="0" applyAlignment="0" applyProtection="0"/>
    <xf numFmtId="0" fontId="45" fillId="36" borderId="146" applyNumberFormat="0" applyAlignment="0" applyProtection="0"/>
    <xf numFmtId="0" fontId="8" fillId="24" borderId="105" applyNumberFormat="0" applyFont="0" applyAlignment="0" applyProtection="0"/>
    <xf numFmtId="0" fontId="45" fillId="37" borderId="207" applyNumberFormat="0" applyAlignment="0" applyProtection="0"/>
    <xf numFmtId="169" fontId="1" fillId="0" borderId="0" applyFont="0" applyFill="0" applyBorder="0" applyAlignment="0" applyProtection="0"/>
    <xf numFmtId="0" fontId="50" fillId="0" borderId="133" applyNumberFormat="0" applyFill="0" applyAlignment="0" applyProtection="0"/>
    <xf numFmtId="0" fontId="50" fillId="0" borderId="143" applyNumberFormat="0" applyFill="0" applyAlignment="0" applyProtection="0"/>
    <xf numFmtId="0" fontId="50" fillId="0" borderId="107" applyNumberFormat="0" applyFill="0" applyAlignment="0" applyProtection="0"/>
    <xf numFmtId="0" fontId="32" fillId="36" borderId="139" applyNumberFormat="0" applyAlignment="0" applyProtection="0"/>
    <xf numFmtId="0" fontId="50" fillId="0" borderId="142" applyNumberFormat="0" applyFill="0" applyAlignment="0" applyProtection="0"/>
    <xf numFmtId="0" fontId="39" fillId="21" borderId="84" applyNumberFormat="0" applyAlignment="0" applyProtection="0"/>
    <xf numFmtId="0" fontId="45" fillId="36" borderId="96" applyNumberFormat="0" applyAlignment="0" applyProtection="0"/>
    <xf numFmtId="0" fontId="32" fillId="36" borderId="79" applyNumberFormat="0" applyAlignment="0" applyProtection="0"/>
    <xf numFmtId="0" fontId="8" fillId="24" borderId="125" applyNumberFormat="0" applyFont="0" applyAlignment="0" applyProtection="0"/>
    <xf numFmtId="0" fontId="50" fillId="0" borderId="123" applyNumberFormat="0" applyFill="0" applyAlignment="0" applyProtection="0"/>
    <xf numFmtId="0" fontId="8" fillId="24" borderId="166" applyNumberFormat="0" applyFont="0" applyAlignment="0" applyProtection="0"/>
    <xf numFmtId="0" fontId="39" fillId="21" borderId="129" applyNumberFormat="0" applyAlignment="0" applyProtection="0"/>
    <xf numFmtId="0" fontId="45" fillId="36" borderId="207" applyNumberFormat="0" applyAlignment="0" applyProtection="0"/>
    <xf numFmtId="169" fontId="1" fillId="0" borderId="0" applyFont="0" applyFill="0" applyBorder="0" applyAlignment="0" applyProtection="0"/>
    <xf numFmtId="0" fontId="2" fillId="24" borderId="145" applyNumberFormat="0" applyFont="0" applyAlignment="0" applyProtection="0"/>
    <xf numFmtId="0" fontId="45" fillId="37" borderId="106" applyNumberFormat="0" applyAlignment="0" applyProtection="0"/>
    <xf numFmtId="0" fontId="39" fillId="21" borderId="109" applyNumberFormat="0" applyAlignment="0" applyProtection="0"/>
    <xf numFmtId="0" fontId="50" fillId="0" borderId="112" applyNumberFormat="0" applyFill="0" applyAlignment="0" applyProtection="0"/>
    <xf numFmtId="0" fontId="8" fillId="24" borderId="130" applyNumberFormat="0" applyFont="0" applyAlignment="0" applyProtection="0"/>
    <xf numFmtId="0" fontId="32" fillId="36" borderId="84" applyNumberFormat="0" applyAlignment="0" applyProtection="0"/>
    <xf numFmtId="0" fontId="32" fillId="36" borderId="114" applyNumberFormat="0" applyAlignment="0" applyProtection="0"/>
    <xf numFmtId="0" fontId="45" fillId="37" borderId="101" applyNumberFormat="0" applyAlignment="0" applyProtection="0"/>
    <xf numFmtId="0" fontId="32" fillId="36" borderId="129" applyNumberFormat="0" applyAlignment="0" applyProtection="0"/>
    <xf numFmtId="0" fontId="33" fillId="37" borderId="139" applyNumberFormat="0" applyAlignment="0" applyProtection="0"/>
    <xf numFmtId="0" fontId="8" fillId="24" borderId="90" applyNumberFormat="0" applyFont="0" applyAlignment="0" applyProtection="0"/>
    <xf numFmtId="43" fontId="1" fillId="0" borderId="0" applyFont="0" applyFill="0" applyBorder="0" applyAlignment="0" applyProtection="0"/>
    <xf numFmtId="0" fontId="45" fillId="36" borderId="101" applyNumberFormat="0" applyAlignment="0" applyProtection="0"/>
    <xf numFmtId="169" fontId="1" fillId="0" borderId="0" applyFont="0" applyFill="0" applyBorder="0" applyAlignment="0" applyProtection="0"/>
    <xf numFmtId="0" fontId="45" fillId="36" borderId="111" applyNumberFormat="0" applyAlignment="0" applyProtection="0"/>
    <xf numFmtId="43" fontId="1" fillId="0" borderId="0" applyFont="0" applyFill="0" applyBorder="0" applyAlignment="0" applyProtection="0"/>
    <xf numFmtId="0" fontId="33" fillId="37" borderId="104" applyNumberFormat="0" applyAlignment="0" applyProtection="0"/>
    <xf numFmtId="0" fontId="2" fillId="24" borderId="100" applyNumberFormat="0" applyFont="0" applyAlignment="0" applyProtection="0"/>
    <xf numFmtId="0" fontId="39" fillId="21" borderId="134" applyNumberFormat="0" applyAlignment="0" applyProtection="0"/>
    <xf numFmtId="0" fontId="39" fillId="21" borderId="89" applyNumberFormat="0" applyAlignment="0" applyProtection="0"/>
    <xf numFmtId="0" fontId="39" fillId="21" borderId="185" applyNumberFormat="0" applyAlignment="0" applyProtection="0"/>
    <xf numFmtId="0" fontId="2" fillId="24" borderId="181" applyNumberFormat="0" applyFont="0" applyAlignment="0" applyProtection="0"/>
    <xf numFmtId="0" fontId="33" fillId="37" borderId="114" applyNumberFormat="0" applyAlignment="0" applyProtection="0"/>
    <xf numFmtId="0" fontId="45" fillId="36" borderId="162" applyNumberFormat="0" applyAlignment="0" applyProtection="0"/>
    <xf numFmtId="0" fontId="39" fillId="21" borderId="114" applyNumberFormat="0" applyAlignment="0" applyProtection="0"/>
    <xf numFmtId="0" fontId="50" fillId="0" borderId="117" applyNumberFormat="0" applyFill="0" applyAlignment="0" applyProtection="0"/>
    <xf numFmtId="0" fontId="39" fillId="21" borderId="119" applyNumberFormat="0" applyAlignment="0" applyProtection="0"/>
    <xf numFmtId="0" fontId="39" fillId="27" borderId="150" applyNumberFormat="0" applyAlignment="0" applyProtection="0"/>
    <xf numFmtId="169" fontId="1" fillId="0" borderId="0" applyFont="0" applyFill="0" applyBorder="0" applyAlignment="0" applyProtection="0"/>
    <xf numFmtId="0" fontId="45" fillId="36" borderId="157" applyNumberFormat="0" applyAlignment="0" applyProtection="0"/>
    <xf numFmtId="0" fontId="39" fillId="27" borderId="109" applyNumberFormat="0" applyAlignment="0" applyProtection="0"/>
    <xf numFmtId="0" fontId="50" fillId="0" borderId="122" applyNumberFormat="0" applyFill="0" applyAlignment="0" applyProtection="0"/>
    <xf numFmtId="0" fontId="50" fillId="0" borderId="132" applyNumberFormat="0" applyFill="0" applyAlignment="0" applyProtection="0"/>
    <xf numFmtId="0" fontId="8" fillId="24" borderId="115" applyNumberFormat="0" applyFont="0" applyAlignment="0" applyProtection="0"/>
    <xf numFmtId="0" fontId="2" fillId="24" borderId="201" applyNumberFormat="0" applyFont="0" applyAlignment="0" applyProtection="0"/>
    <xf numFmtId="0" fontId="39" fillId="21" borderId="99" applyNumberFormat="0" applyAlignment="0" applyProtection="0"/>
    <xf numFmtId="0" fontId="8" fillId="24" borderId="110" applyNumberFormat="0" applyFont="0" applyAlignment="0" applyProtection="0"/>
    <xf numFmtId="0" fontId="32" fillId="36" borderId="94" applyNumberFormat="0" applyAlignment="0" applyProtection="0"/>
    <xf numFmtId="0" fontId="50" fillId="0" borderId="208" applyNumberFormat="0" applyFill="0" applyAlignment="0" applyProtection="0"/>
    <xf numFmtId="0" fontId="45" fillId="36" borderId="121" applyNumberFormat="0" applyAlignment="0" applyProtection="0"/>
    <xf numFmtId="0" fontId="45" fillId="36" borderId="157" applyNumberFormat="0" applyAlignment="0" applyProtection="0"/>
    <xf numFmtId="169" fontId="1" fillId="0" borderId="0" applyFont="0" applyFill="0" applyBorder="0" applyAlignment="0" applyProtection="0"/>
    <xf numFmtId="0" fontId="50" fillId="0" borderId="118" applyNumberFormat="0" applyFill="0" applyAlignment="0" applyProtection="0"/>
    <xf numFmtId="0" fontId="39" fillId="27" borderId="124" applyNumberFormat="0" applyAlignment="0" applyProtection="0"/>
    <xf numFmtId="43" fontId="1" fillId="0" borderId="0" applyFont="0" applyFill="0" applyBorder="0" applyAlignment="0" applyProtection="0"/>
    <xf numFmtId="0" fontId="8" fillId="24" borderId="140" applyNumberFormat="0" applyFont="0" applyAlignment="0" applyProtection="0"/>
    <xf numFmtId="0" fontId="39" fillId="21" borderId="104" applyNumberFormat="0" applyAlignment="0" applyProtection="0"/>
    <xf numFmtId="0" fontId="8" fillId="24" borderId="145" applyNumberFormat="0" applyFont="0" applyAlignment="0" applyProtection="0"/>
    <xf numFmtId="0" fontId="32" fillId="36" borderId="99" applyNumberFormat="0" applyAlignment="0" applyProtection="0"/>
    <xf numFmtId="0" fontId="50" fillId="0" borderId="188" applyNumberFormat="0" applyFill="0" applyAlignment="0" applyProtection="0"/>
    <xf numFmtId="0" fontId="45" fillId="37" borderId="116" applyNumberFormat="0" applyAlignment="0" applyProtection="0"/>
    <xf numFmtId="0" fontId="39" fillId="21" borderId="124" applyNumberFormat="0" applyAlignment="0" applyProtection="0"/>
    <xf numFmtId="0" fontId="45" fillId="36" borderId="212" applyNumberFormat="0" applyAlignment="0" applyProtection="0"/>
    <xf numFmtId="43" fontId="1" fillId="0" borderId="0" applyFont="0" applyFill="0" applyBorder="0" applyAlignment="0" applyProtection="0"/>
    <xf numFmtId="169" fontId="1" fillId="0" borderId="0" applyFont="0" applyFill="0" applyBorder="0" applyAlignment="0" applyProtection="0"/>
    <xf numFmtId="0" fontId="32" fillId="36" borderId="155" applyNumberFormat="0" applyAlignment="0" applyProtection="0"/>
    <xf numFmtId="0" fontId="39" fillId="21" borderId="109" applyNumberFormat="0" applyAlignment="0" applyProtection="0"/>
    <xf numFmtId="0" fontId="45" fillId="36" borderId="121" applyNumberFormat="0" applyAlignment="0" applyProtection="0"/>
    <xf numFmtId="0" fontId="8" fillId="24" borderId="176" applyNumberFormat="0" applyFont="0" applyAlignment="0" applyProtection="0"/>
    <xf numFmtId="0" fontId="32" fillId="36" borderId="104" applyNumberFormat="0" applyAlignment="0" applyProtection="0"/>
    <xf numFmtId="0" fontId="50" fillId="0" borderId="179" applyNumberFormat="0" applyFill="0" applyAlignment="0" applyProtection="0"/>
    <xf numFmtId="0" fontId="39" fillId="21" borderId="144" applyNumberFormat="0" applyAlignment="0" applyProtection="0"/>
    <xf numFmtId="0" fontId="50" fillId="0" borderId="173" applyNumberFormat="0" applyFill="0" applyAlignment="0" applyProtection="0"/>
    <xf numFmtId="0" fontId="8" fillId="24" borderId="201" applyNumberFormat="0" applyFont="0" applyAlignment="0" applyProtection="0"/>
    <xf numFmtId="0" fontId="32" fillId="36" borderId="160" applyNumberFormat="0" applyAlignment="0" applyProtection="0"/>
    <xf numFmtId="169" fontId="1" fillId="0" borderId="0" applyFont="0" applyFill="0" applyBorder="0" applyAlignment="0" applyProtection="0"/>
    <xf numFmtId="0" fontId="33" fillId="37" borderId="150" applyNumberFormat="0" applyAlignment="0" applyProtection="0"/>
    <xf numFmtId="0" fontId="45" fillId="37" borderId="131" applyNumberFormat="0" applyAlignment="0" applyProtection="0"/>
    <xf numFmtId="43" fontId="1" fillId="0" borderId="0" applyFont="0" applyFill="0" applyBorder="0" applyAlignment="0" applyProtection="0"/>
    <xf numFmtId="0" fontId="45" fillId="36" borderId="197" applyNumberFormat="0" applyAlignment="0" applyProtection="0"/>
    <xf numFmtId="0" fontId="32" fillId="36" borderId="109" applyNumberFormat="0" applyAlignment="0" applyProtection="0"/>
    <xf numFmtId="0" fontId="32" fillId="36" borderId="170" applyNumberFormat="0" applyAlignment="0" applyProtection="0"/>
    <xf numFmtId="0" fontId="45" fillId="37" borderId="126" applyNumberFormat="0" applyAlignment="0" applyProtection="0"/>
    <xf numFmtId="0" fontId="8" fillId="24" borderId="115" applyNumberFormat="0" applyFont="0" applyAlignment="0" applyProtection="0"/>
    <xf numFmtId="43" fontId="1" fillId="0" borderId="0" applyFont="0" applyFill="0" applyBorder="0" applyAlignment="0" applyProtection="0"/>
    <xf numFmtId="0" fontId="45" fillId="36" borderId="126" applyNumberFormat="0" applyAlignment="0" applyProtection="0"/>
    <xf numFmtId="169" fontId="1" fillId="0" borderId="0" applyFont="0" applyFill="0" applyBorder="0" applyAlignment="0" applyProtection="0"/>
    <xf numFmtId="0" fontId="45" fillId="36" borderId="182" applyNumberFormat="0" applyAlignment="0" applyProtection="0"/>
    <xf numFmtId="43" fontId="1" fillId="0" borderId="0" applyFont="0" applyFill="0" applyBorder="0" applyAlignment="0" applyProtection="0"/>
    <xf numFmtId="0" fontId="33" fillId="37" borderId="129" applyNumberFormat="0" applyAlignment="0" applyProtection="0"/>
    <xf numFmtId="0" fontId="2" fillId="24" borderId="125" applyNumberFormat="0" applyFont="0" applyAlignment="0" applyProtection="0"/>
    <xf numFmtId="0" fontId="39" fillId="21" borderId="134" applyNumberFormat="0" applyAlignment="0" applyProtection="0"/>
    <xf numFmtId="0" fontId="39" fillId="21" borderId="114" applyNumberFormat="0" applyAlignment="0" applyProtection="0"/>
    <xf numFmtId="0" fontId="50" fillId="0" borderId="174" applyNumberFormat="0" applyFill="0" applyAlignment="0" applyProtection="0"/>
    <xf numFmtId="0" fontId="32" fillId="36" borderId="134" applyNumberFormat="0" applyAlignment="0" applyProtection="0"/>
    <xf numFmtId="43" fontId="1" fillId="0" borderId="0" applyFont="0" applyFill="0" applyBorder="0" applyAlignment="0" applyProtection="0"/>
    <xf numFmtId="0" fontId="39" fillId="21" borderId="144" applyNumberFormat="0" applyAlignment="0" applyProtection="0"/>
    <xf numFmtId="0" fontId="2" fillId="24" borderId="186" applyNumberFormat="0" applyFont="0" applyAlignment="0" applyProtection="0"/>
    <xf numFmtId="169" fontId="1" fillId="0" borderId="0" applyFont="0" applyFill="0" applyBorder="0" applyAlignment="0" applyProtection="0"/>
    <xf numFmtId="0" fontId="33" fillId="37" borderId="175" applyNumberFormat="0" applyAlignment="0" applyProtection="0"/>
    <xf numFmtId="0" fontId="33" fillId="37" borderId="180" applyNumberFormat="0" applyAlignment="0" applyProtection="0"/>
    <xf numFmtId="0" fontId="32" fillId="36" borderId="190" applyNumberFormat="0" applyAlignment="0" applyProtection="0"/>
    <xf numFmtId="0" fontId="45" fillId="36" borderId="152" applyNumberFormat="0" applyAlignment="0" applyProtection="0"/>
    <xf numFmtId="0" fontId="45" fillId="36" borderId="187" applyNumberFormat="0" applyAlignment="0" applyProtection="0"/>
    <xf numFmtId="0" fontId="45" fillId="37" borderId="141" applyNumberFormat="0" applyAlignment="0" applyProtection="0"/>
    <xf numFmtId="0" fontId="2" fillId="24" borderId="140" applyNumberFormat="0" applyFont="0" applyAlignment="0" applyProtection="0"/>
    <xf numFmtId="0" fontId="39" fillId="21" borderId="124" applyNumberFormat="0" applyAlignment="0" applyProtection="0"/>
    <xf numFmtId="0" fontId="33" fillId="37" borderId="165" applyNumberFormat="0" applyAlignment="0" applyProtection="0"/>
    <xf numFmtId="0" fontId="45" fillId="37" borderId="197" applyNumberFormat="0" applyAlignment="0" applyProtection="0"/>
    <xf numFmtId="0" fontId="32" fillId="36" borderId="119" applyNumberFormat="0" applyAlignment="0" applyProtection="0"/>
    <xf numFmtId="0" fontId="32" fillId="36" borderId="144" applyNumberFormat="0" applyAlignment="0" applyProtection="0"/>
    <xf numFmtId="0" fontId="45" fillId="37" borderId="136" applyNumberFormat="0" applyAlignment="0" applyProtection="0"/>
    <xf numFmtId="0" fontId="39" fillId="27" borderId="155" applyNumberFormat="0" applyAlignment="0" applyProtection="0"/>
    <xf numFmtId="169" fontId="1" fillId="0" borderId="0" applyFont="0" applyFill="0" applyBorder="0" applyAlignment="0" applyProtection="0"/>
    <xf numFmtId="0" fontId="39" fillId="27" borderId="180" applyNumberFormat="0" applyAlignment="0" applyProtection="0"/>
    <xf numFmtId="0" fontId="2" fillId="24" borderId="166" applyNumberFormat="0" applyFont="0" applyAlignment="0" applyProtection="0"/>
    <xf numFmtId="0" fontId="32" fillId="36" borderId="150" applyNumberFormat="0" applyAlignment="0" applyProtection="0"/>
    <xf numFmtId="0" fontId="45" fillId="37" borderId="167" applyNumberFormat="0" applyAlignment="0" applyProtection="0"/>
    <xf numFmtId="0" fontId="39" fillId="21" borderId="129" applyNumberFormat="0" applyAlignment="0" applyProtection="0"/>
    <xf numFmtId="0" fontId="32" fillId="36" borderId="124" applyNumberFormat="0" applyAlignment="0" applyProtection="0"/>
    <xf numFmtId="0" fontId="39" fillId="21" borderId="195" applyNumberFormat="0" applyAlignment="0" applyProtection="0"/>
    <xf numFmtId="0" fontId="39" fillId="21" borderId="139" applyNumberFormat="0" applyAlignment="0" applyProtection="0"/>
    <xf numFmtId="0" fontId="50" fillId="0" borderId="203" applyNumberFormat="0" applyFill="0" applyAlignment="0" applyProtection="0"/>
    <xf numFmtId="0" fontId="39" fillId="27" borderId="170" applyNumberFormat="0" applyAlignment="0" applyProtection="0"/>
    <xf numFmtId="169" fontId="1" fillId="0" borderId="0" applyFont="0" applyFill="0" applyBorder="0" applyAlignment="0" applyProtection="0"/>
    <xf numFmtId="0" fontId="39" fillId="21" borderId="190" applyNumberFormat="0" applyAlignment="0" applyProtection="0"/>
    <xf numFmtId="0" fontId="39" fillId="21" borderId="210" applyNumberFormat="0" applyAlignment="0" applyProtection="0"/>
    <xf numFmtId="0" fontId="32" fillId="36" borderId="185" applyNumberFormat="0" applyAlignment="0" applyProtection="0"/>
    <xf numFmtId="0" fontId="39" fillId="27" borderId="139" applyNumberFormat="0" applyAlignment="0" applyProtection="0"/>
    <xf numFmtId="0" fontId="32" fillId="36" borderId="129" applyNumberFormat="0" applyAlignment="0" applyProtection="0"/>
    <xf numFmtId="0" fontId="39" fillId="21" borderId="170" applyNumberFormat="0" applyAlignment="0" applyProtection="0"/>
    <xf numFmtId="0" fontId="45" fillId="36" borderId="192" applyNumberFormat="0" applyAlignment="0" applyProtection="0"/>
    <xf numFmtId="0" fontId="45" fillId="37" borderId="172" applyNumberFormat="0" applyAlignment="0" applyProtection="0"/>
    <xf numFmtId="0" fontId="39" fillId="27" borderId="200" applyNumberFormat="0" applyAlignment="0" applyProtection="0"/>
    <xf numFmtId="169" fontId="1" fillId="0" borderId="0" applyFont="0" applyFill="0" applyBorder="0" applyAlignment="0" applyProtection="0"/>
    <xf numFmtId="0" fontId="50" fillId="0" borderId="148" applyNumberFormat="0" applyFill="0" applyAlignment="0" applyProtection="0"/>
    <xf numFmtId="0" fontId="8" fillId="24" borderId="196" applyNumberFormat="0" applyFont="0" applyAlignment="0" applyProtection="0"/>
    <xf numFmtId="0" fontId="45" fillId="37" borderId="192" applyNumberFormat="0" applyAlignment="0" applyProtection="0"/>
    <xf numFmtId="0" fontId="50" fillId="0" borderId="154" applyNumberFormat="0" applyFill="0" applyAlignment="0" applyProtection="0"/>
    <xf numFmtId="0" fontId="39" fillId="27" borderId="134" applyNumberFormat="0" applyAlignment="0" applyProtection="0"/>
    <xf numFmtId="0" fontId="50" fillId="0" borderId="194" applyNumberFormat="0" applyFill="0" applyAlignment="0" applyProtection="0"/>
    <xf numFmtId="0" fontId="45" fillId="36" borderId="141" applyNumberFormat="0" applyAlignment="0" applyProtection="0"/>
    <xf numFmtId="0" fontId="2" fillId="24" borderId="196" applyNumberFormat="0" applyFont="0" applyAlignment="0" applyProtection="0"/>
    <xf numFmtId="169" fontId="1" fillId="0" borderId="0" applyFont="0" applyFill="0" applyBorder="0" applyAlignment="0" applyProtection="0"/>
    <xf numFmtId="0" fontId="32" fillId="36" borderId="210" applyNumberFormat="0" applyAlignment="0" applyProtection="0"/>
    <xf numFmtId="43" fontId="1" fillId="0" borderId="0" applyFont="0" applyFill="0" applyBorder="0" applyAlignment="0" applyProtection="0"/>
    <xf numFmtId="0" fontId="39" fillId="27" borderId="175" applyNumberFormat="0" applyAlignment="0" applyProtection="0"/>
    <xf numFmtId="0" fontId="45" fillId="37" borderId="146" applyNumberFormat="0" applyAlignment="0" applyProtection="0"/>
    <xf numFmtId="0" fontId="45" fillId="36" borderId="146" applyNumberFormat="0" applyAlignment="0" applyProtection="0"/>
    <xf numFmtId="0" fontId="2" fillId="24" borderId="161" applyNumberFormat="0" applyFont="0" applyAlignment="0" applyProtection="0"/>
    <xf numFmtId="43" fontId="1" fillId="0" borderId="0" applyFont="0" applyFill="0" applyBorder="0" applyAlignment="0" applyProtection="0"/>
    <xf numFmtId="0" fontId="32" fillId="36" borderId="195" applyNumberFormat="0" applyAlignment="0" applyProtection="0"/>
    <xf numFmtId="0" fontId="45" fillId="36" borderId="177" applyNumberFormat="0" applyAlignment="0" applyProtection="0"/>
    <xf numFmtId="0" fontId="32" fillId="36" borderId="139" applyNumberFormat="0" applyAlignment="0" applyProtection="0"/>
    <xf numFmtId="0" fontId="50" fillId="0" borderId="178" applyNumberFormat="0" applyFill="0" applyAlignment="0" applyProtection="0"/>
    <xf numFmtId="0" fontId="50" fillId="0" borderId="193" applyNumberFormat="0" applyFill="0" applyAlignment="0" applyProtection="0"/>
    <xf numFmtId="0" fontId="32" fillId="36" borderId="165" applyNumberFormat="0" applyAlignment="0" applyProtection="0"/>
    <xf numFmtId="169" fontId="1" fillId="0" borderId="0" applyFont="0" applyFill="0" applyBorder="0" applyAlignment="0" applyProtection="0"/>
    <xf numFmtId="0" fontId="32" fillId="36" borderId="175" applyNumberFormat="0" applyAlignment="0" applyProtection="0"/>
    <xf numFmtId="0" fontId="50" fillId="0" borderId="183" applyNumberFormat="0" applyFill="0" applyAlignment="0" applyProtection="0"/>
    <xf numFmtId="0" fontId="8" fillId="24" borderId="151" applyNumberFormat="0" applyFont="0" applyAlignment="0" applyProtection="0"/>
    <xf numFmtId="0" fontId="45" fillId="37" borderId="202" applyNumberFormat="0" applyAlignment="0" applyProtection="0"/>
    <xf numFmtId="0" fontId="39" fillId="21" borderId="155" applyNumberFormat="0" applyAlignment="0" applyProtection="0"/>
    <xf numFmtId="0" fontId="2" fillId="24" borderId="151" applyNumberFormat="0" applyFont="0" applyAlignment="0" applyProtection="0"/>
    <xf numFmtId="0" fontId="8" fillId="24" borderId="151" applyNumberFormat="0" applyFont="0" applyAlignment="0" applyProtection="0"/>
    <xf numFmtId="169" fontId="1" fillId="0" borderId="0" applyFont="0" applyFill="0" applyBorder="0" applyAlignment="0" applyProtection="0"/>
    <xf numFmtId="0" fontId="32" fillId="36" borderId="180" applyNumberFormat="0" applyAlignment="0" applyProtection="0"/>
    <xf numFmtId="0" fontId="39" fillId="21" borderId="200" applyNumberFormat="0" applyAlignment="0" applyProtection="0"/>
    <xf numFmtId="0" fontId="50" fillId="0" borderId="169" applyNumberFormat="0" applyFill="0" applyAlignment="0" applyProtection="0"/>
    <xf numFmtId="0" fontId="32" fillId="36" borderId="200" applyNumberFormat="0" applyAlignment="0" applyProtection="0"/>
    <xf numFmtId="0" fontId="50" fillId="0" borderId="189" applyNumberFormat="0" applyFill="0" applyAlignment="0" applyProtection="0"/>
    <xf numFmtId="0" fontId="2" fillId="24" borderId="191" applyNumberFormat="0" applyFont="0" applyAlignment="0" applyProtection="0"/>
    <xf numFmtId="0" fontId="2" fillId="24" borderId="171" applyNumberFormat="0" applyFont="0" applyAlignment="0" applyProtection="0"/>
    <xf numFmtId="0" fontId="8" fillId="24" borderId="171" applyNumberFormat="0" applyFont="0" applyAlignment="0" applyProtection="0"/>
    <xf numFmtId="43" fontId="1" fillId="0" borderId="0" applyFont="0" applyFill="0" applyBorder="0" applyAlignment="0" applyProtection="0"/>
    <xf numFmtId="0" fontId="39" fillId="27" borderId="165" applyNumberFormat="0" applyAlignment="0" applyProtection="0"/>
    <xf numFmtId="43" fontId="1" fillId="0" borderId="0" applyFont="0" applyFill="0" applyBorder="0" applyAlignment="0" applyProtection="0"/>
    <xf numFmtId="0" fontId="45" fillId="36" borderId="172" applyNumberFormat="0" applyAlignment="0" applyProtection="0"/>
    <xf numFmtId="0" fontId="50" fillId="0" borderId="204" applyNumberFormat="0" applyFill="0" applyAlignment="0" applyProtection="0"/>
    <xf numFmtId="0" fontId="39" fillId="21" borderId="155" applyNumberFormat="0" applyAlignment="0" applyProtection="0"/>
    <xf numFmtId="0" fontId="8" fillId="24" borderId="166" applyNumberFormat="0" applyFont="0" applyAlignment="0" applyProtection="0"/>
    <xf numFmtId="0" fontId="32" fillId="36" borderId="150" applyNumberFormat="0" applyAlignment="0" applyProtection="0"/>
    <xf numFmtId="0" fontId="33" fillId="37" borderId="185" applyNumberFormat="0" applyAlignment="0" applyProtection="0"/>
    <xf numFmtId="0" fontId="8" fillId="24" borderId="206" applyNumberFormat="0" applyFont="0" applyAlignment="0" applyProtection="0"/>
    <xf numFmtId="169" fontId="1" fillId="0" borderId="0" applyFont="0" applyFill="0" applyBorder="0" applyAlignment="0" applyProtection="0"/>
    <xf numFmtId="43" fontId="1" fillId="0" borderId="0" applyFont="0" applyFill="0" applyBorder="0" applyAlignment="0" applyProtection="0"/>
    <xf numFmtId="0" fontId="45" fillId="36" borderId="177" applyNumberFormat="0" applyAlignment="0" applyProtection="0"/>
    <xf numFmtId="0" fontId="50" fillId="0" borderId="209" applyNumberFormat="0" applyFill="0" applyAlignment="0" applyProtection="0"/>
    <xf numFmtId="0" fontId="39" fillId="21" borderId="160" applyNumberFormat="0" applyAlignment="0" applyProtection="0"/>
    <xf numFmtId="0" fontId="8" fillId="24" borderId="171" applyNumberFormat="0" applyFont="0" applyAlignment="0" applyProtection="0"/>
    <xf numFmtId="0" fontId="32" fillId="36" borderId="155" applyNumberFormat="0" applyAlignment="0" applyProtection="0"/>
    <xf numFmtId="0" fontId="33" fillId="37" borderId="190" applyNumberFormat="0" applyAlignment="0" applyProtection="0"/>
    <xf numFmtId="0" fontId="8" fillId="24" borderId="211" applyNumberFormat="0" applyFont="0" applyAlignment="0" applyProtection="0"/>
    <xf numFmtId="169" fontId="1" fillId="0" borderId="0" applyFont="0" applyFill="0" applyBorder="0" applyAlignment="0" applyProtection="0"/>
    <xf numFmtId="43" fontId="1" fillId="0" borderId="0" applyFont="0" applyFill="0" applyBorder="0" applyAlignment="0" applyProtection="0"/>
    <xf numFmtId="0" fontId="45" fillId="36" borderId="182" applyNumberFormat="0" applyAlignment="0" applyProtection="0"/>
    <xf numFmtId="0" fontId="50" fillId="0" borderId="214" applyNumberFormat="0" applyFill="0" applyAlignment="0" applyProtection="0"/>
    <xf numFmtId="0" fontId="39" fillId="21" borderId="165" applyNumberFormat="0" applyAlignment="0" applyProtection="0"/>
    <xf numFmtId="0" fontId="8" fillId="24" borderId="176" applyNumberFormat="0" applyFont="0" applyAlignment="0" applyProtection="0"/>
    <xf numFmtId="0" fontId="32" fillId="36" borderId="160" applyNumberFormat="0" applyAlignment="0" applyProtection="0"/>
    <xf numFmtId="0" fontId="33" fillId="37" borderId="195" applyNumberFormat="0" applyAlignment="0" applyProtection="0"/>
    <xf numFmtId="169" fontId="1" fillId="0" borderId="0" applyFont="0" applyFill="0" applyBorder="0" applyAlignment="0" applyProtection="0"/>
    <xf numFmtId="43" fontId="1" fillId="0" borderId="0" applyFont="0" applyFill="0" applyBorder="0" applyAlignment="0" applyProtection="0"/>
    <xf numFmtId="0" fontId="45" fillId="36" borderId="187" applyNumberFormat="0" applyAlignment="0" applyProtection="0"/>
    <xf numFmtId="0" fontId="39" fillId="21" borderId="170" applyNumberFormat="0" applyAlignment="0" applyProtection="0"/>
    <xf numFmtId="0" fontId="8" fillId="24" borderId="181" applyNumberFormat="0" applyFont="0" applyAlignment="0" applyProtection="0"/>
    <xf numFmtId="0" fontId="32" fillId="36" borderId="165" applyNumberFormat="0" applyAlignment="0" applyProtection="0"/>
    <xf numFmtId="0" fontId="33" fillId="37" borderId="200" applyNumberFormat="0" applyAlignment="0" applyProtection="0"/>
    <xf numFmtId="169" fontId="1" fillId="0" borderId="0" applyFont="0" applyFill="0" applyBorder="0" applyAlignment="0" applyProtection="0"/>
    <xf numFmtId="43" fontId="1" fillId="0" borderId="0" applyFont="0" applyFill="0" applyBorder="0" applyAlignment="0" applyProtection="0"/>
    <xf numFmtId="0" fontId="45" fillId="36" borderId="192" applyNumberFormat="0" applyAlignment="0" applyProtection="0"/>
    <xf numFmtId="0" fontId="39" fillId="21" borderId="175" applyNumberFormat="0" applyAlignment="0" applyProtection="0"/>
    <xf numFmtId="0" fontId="8" fillId="24" borderId="186" applyNumberFormat="0" applyFont="0" applyAlignment="0" applyProtection="0"/>
    <xf numFmtId="0" fontId="32" fillId="36" borderId="170" applyNumberFormat="0" applyAlignment="0" applyProtection="0"/>
    <xf numFmtId="0" fontId="33" fillId="37" borderId="205" applyNumberFormat="0" applyAlignment="0" applyProtection="0"/>
    <xf numFmtId="169" fontId="1" fillId="0" borderId="0" applyFont="0" applyFill="0" applyBorder="0" applyAlignment="0" applyProtection="0"/>
    <xf numFmtId="0" fontId="45" fillId="36" borderId="197" applyNumberFormat="0" applyAlignment="0" applyProtection="0"/>
    <xf numFmtId="0" fontId="39" fillId="21" borderId="180" applyNumberFormat="0" applyAlignment="0" applyProtection="0"/>
    <xf numFmtId="0" fontId="8" fillId="24" borderId="191" applyNumberFormat="0" applyFont="0" applyAlignment="0" applyProtection="0"/>
    <xf numFmtId="0" fontId="32" fillId="36" borderId="175" applyNumberFormat="0" applyAlignment="0" applyProtection="0"/>
    <xf numFmtId="0" fontId="33" fillId="37" borderId="210" applyNumberFormat="0" applyAlignment="0" applyProtection="0"/>
    <xf numFmtId="169" fontId="1" fillId="0" borderId="0" applyFont="0" applyFill="0" applyBorder="0" applyAlignment="0" applyProtection="0"/>
    <xf numFmtId="0" fontId="45" fillId="36" borderId="202" applyNumberFormat="0" applyAlignment="0" applyProtection="0"/>
    <xf numFmtId="0" fontId="39" fillId="21" borderId="185" applyNumberFormat="0" applyAlignment="0" applyProtection="0"/>
    <xf numFmtId="0" fontId="8" fillId="24" borderId="196" applyNumberFormat="0" applyFont="0" applyAlignment="0" applyProtection="0"/>
    <xf numFmtId="0" fontId="32" fillId="36" borderId="180" applyNumberFormat="0" applyAlignment="0" applyProtection="0"/>
    <xf numFmtId="169" fontId="1" fillId="0" borderId="0" applyFont="0" applyFill="0" applyBorder="0" applyAlignment="0" applyProtection="0"/>
    <xf numFmtId="0" fontId="45" fillId="36" borderId="207" applyNumberFormat="0" applyAlignment="0" applyProtection="0"/>
    <xf numFmtId="0" fontId="39" fillId="21" borderId="190" applyNumberFormat="0" applyAlignment="0" applyProtection="0"/>
    <xf numFmtId="0" fontId="8" fillId="24" borderId="201" applyNumberFormat="0" applyFont="0" applyAlignment="0" applyProtection="0"/>
    <xf numFmtId="0" fontId="32" fillId="36" borderId="185" applyNumberFormat="0" applyAlignment="0" applyProtection="0"/>
    <xf numFmtId="169" fontId="1" fillId="0" borderId="0" applyFont="0" applyFill="0" applyBorder="0" applyAlignment="0" applyProtection="0"/>
    <xf numFmtId="0" fontId="45" fillId="36" borderId="212" applyNumberFormat="0" applyAlignment="0" applyProtection="0"/>
    <xf numFmtId="0" fontId="39" fillId="21" borderId="195" applyNumberFormat="0" applyAlignment="0" applyProtection="0"/>
    <xf numFmtId="0" fontId="8" fillId="24" borderId="206" applyNumberFormat="0" applyFont="0" applyAlignment="0" applyProtection="0"/>
    <xf numFmtId="0" fontId="32" fillId="36" borderId="190" applyNumberFormat="0" applyAlignment="0" applyProtection="0"/>
    <xf numFmtId="169" fontId="1" fillId="0" borderId="0" applyFont="0" applyFill="0" applyBorder="0" applyAlignment="0" applyProtection="0"/>
    <xf numFmtId="0" fontId="39" fillId="21" borderId="200" applyNumberFormat="0" applyAlignment="0" applyProtection="0"/>
    <xf numFmtId="0" fontId="8" fillId="24" borderId="211" applyNumberFormat="0" applyFont="0" applyAlignment="0" applyProtection="0"/>
    <xf numFmtId="0" fontId="32" fillId="36" borderId="195" applyNumberFormat="0" applyAlignment="0" applyProtection="0"/>
    <xf numFmtId="169" fontId="1" fillId="0" borderId="0" applyFont="0" applyFill="0" applyBorder="0" applyAlignment="0" applyProtection="0"/>
    <xf numFmtId="0" fontId="39" fillId="21" borderId="205" applyNumberFormat="0" applyAlignment="0" applyProtection="0"/>
    <xf numFmtId="0" fontId="32" fillId="36" borderId="200" applyNumberFormat="0" applyAlignment="0" applyProtection="0"/>
    <xf numFmtId="169" fontId="1" fillId="0" borderId="0" applyFont="0" applyFill="0" applyBorder="0" applyAlignment="0" applyProtection="0"/>
    <xf numFmtId="0" fontId="39" fillId="21" borderId="210" applyNumberFormat="0" applyAlignment="0" applyProtection="0"/>
    <xf numFmtId="0" fontId="32" fillId="36" borderId="205" applyNumberFormat="0" applyAlignment="0" applyProtection="0"/>
    <xf numFmtId="169" fontId="1" fillId="0" borderId="0" applyFont="0" applyFill="0" applyBorder="0" applyAlignment="0" applyProtection="0"/>
    <xf numFmtId="0" fontId="32" fillId="36" borderId="210" applyNumberFormat="0" applyAlignment="0" applyProtection="0"/>
    <xf numFmtId="169" fontId="1" fillId="0" borderId="0" applyFont="0" applyFill="0" applyBorder="0" applyAlignment="0" applyProtection="0"/>
    <xf numFmtId="169"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 fillId="24" borderId="218" applyNumberFormat="0" applyFont="0" applyAlignment="0" applyProtection="0"/>
    <xf numFmtId="0" fontId="50" fillId="0" borderId="221" applyNumberFormat="0" applyFill="0" applyAlignment="0" applyProtection="0"/>
    <xf numFmtId="44" fontId="2" fillId="0" borderId="0" applyFont="0" applyFill="0" applyBorder="0" applyAlignment="0" applyProtection="0"/>
    <xf numFmtId="0" fontId="50" fillId="0" borderId="221" applyNumberFormat="0" applyFill="0" applyAlignment="0" applyProtection="0"/>
    <xf numFmtId="0" fontId="32" fillId="36" borderId="217" applyNumberFormat="0" applyAlignment="0" applyProtection="0"/>
    <xf numFmtId="0" fontId="33" fillId="37" borderId="217" applyNumberFormat="0" applyAlignment="0" applyProtection="0"/>
    <xf numFmtId="0" fontId="39" fillId="21" borderId="217" applyNumberFormat="0" applyAlignment="0" applyProtection="0"/>
    <xf numFmtId="0" fontId="32" fillId="36" borderId="217" applyNumberFormat="0" applyAlignment="0" applyProtection="0"/>
    <xf numFmtId="0" fontId="33" fillId="37" borderId="217" applyNumberFormat="0" applyAlignment="0" applyProtection="0"/>
    <xf numFmtId="0" fontId="32" fillId="36" borderId="217" applyNumberFormat="0" applyAlignment="0" applyProtection="0"/>
    <xf numFmtId="0" fontId="39" fillId="27" borderId="217" applyNumberFormat="0" applyAlignment="0" applyProtection="0"/>
    <xf numFmtId="0" fontId="39" fillId="21" borderId="217" applyNumberFormat="0" applyAlignment="0" applyProtection="0"/>
    <xf numFmtId="0" fontId="39" fillId="21" borderId="217" applyNumberFormat="0" applyAlignment="0" applyProtection="0"/>
    <xf numFmtId="44" fontId="2" fillId="0" borderId="0" applyFont="0" applyFill="0" applyBorder="0" applyAlignment="0" applyProtection="0"/>
    <xf numFmtId="0" fontId="8" fillId="24" borderId="218" applyNumberFormat="0" applyFont="0" applyAlignment="0" applyProtection="0"/>
    <xf numFmtId="0" fontId="8" fillId="24" borderId="218" applyNumberFormat="0" applyFont="0" applyAlignment="0" applyProtection="0"/>
    <xf numFmtId="0" fontId="2" fillId="24" borderId="218" applyNumberFormat="0" applyFont="0" applyAlignment="0" applyProtection="0"/>
    <xf numFmtId="0" fontId="45" fillId="36" borderId="219" applyNumberFormat="0" applyAlignment="0" applyProtection="0"/>
    <xf numFmtId="0" fontId="45" fillId="37" borderId="219" applyNumberFormat="0" applyAlignment="0" applyProtection="0"/>
    <xf numFmtId="0" fontId="45" fillId="36" borderId="219" applyNumberFormat="0" applyAlignment="0" applyProtection="0"/>
    <xf numFmtId="0" fontId="50" fillId="0" borderId="220" applyNumberFormat="0" applyFill="0" applyAlignment="0" applyProtection="0"/>
    <xf numFmtId="0" fontId="50" fillId="0" borderId="221" applyNumberFormat="0" applyFill="0" applyAlignment="0" applyProtection="0"/>
    <xf numFmtId="0" fontId="8" fillId="24" borderId="218" applyNumberFormat="0" applyFont="0" applyAlignment="0" applyProtection="0"/>
    <xf numFmtId="0" fontId="8" fillId="24" borderId="218" applyNumberFormat="0" applyFont="0" applyAlignment="0" applyProtection="0"/>
    <xf numFmtId="0" fontId="45" fillId="36" borderId="219" applyNumberFormat="0" applyAlignment="0" applyProtection="0"/>
    <xf numFmtId="0" fontId="45" fillId="36" borderId="219" applyNumberFormat="0" applyAlignment="0" applyProtection="0"/>
    <xf numFmtId="0" fontId="2" fillId="24" borderId="218" applyNumberFormat="0" applyFont="0" applyAlignment="0" applyProtection="0"/>
    <xf numFmtId="0" fontId="33" fillId="37" borderId="217" applyNumberFormat="0" applyAlignment="0" applyProtection="0"/>
    <xf numFmtId="0" fontId="33" fillId="37" borderId="217" applyNumberFormat="0" applyAlignment="0" applyProtection="0"/>
    <xf numFmtId="0" fontId="50" fillId="0" borderId="221" applyNumberFormat="0" applyFill="0" applyAlignment="0" applyProtection="0"/>
    <xf numFmtId="0" fontId="50" fillId="0" borderId="221" applyNumberFormat="0" applyFill="0" applyAlignment="0" applyProtection="0"/>
    <xf numFmtId="0" fontId="39" fillId="21" borderId="217" applyNumberFormat="0" applyAlignment="0" applyProtection="0"/>
    <xf numFmtId="0" fontId="39" fillId="27" borderId="217" applyNumberFormat="0" applyAlignment="0" applyProtection="0"/>
    <xf numFmtId="0" fontId="8" fillId="24" borderId="218" applyNumberFormat="0" applyFont="0" applyAlignment="0" applyProtection="0"/>
    <xf numFmtId="0" fontId="2" fillId="24" borderId="218" applyNumberFormat="0" applyFont="0" applyAlignment="0" applyProtection="0"/>
    <xf numFmtId="0" fontId="45" fillId="37" borderId="219" applyNumberFormat="0" applyAlignment="0" applyProtection="0"/>
    <xf numFmtId="0" fontId="45" fillId="36" borderId="219" applyNumberFormat="0" applyAlignment="0" applyProtection="0"/>
    <xf numFmtId="0" fontId="45" fillId="36" borderId="219" applyNumberFormat="0" applyAlignment="0" applyProtection="0"/>
    <xf numFmtId="0" fontId="45" fillId="36" borderId="219" applyNumberFormat="0" applyAlignment="0" applyProtection="0"/>
    <xf numFmtId="0" fontId="2" fillId="24" borderId="218" applyNumberFormat="0" applyFont="0" applyAlignment="0" applyProtection="0"/>
    <xf numFmtId="0" fontId="50" fillId="0" borderId="221" applyNumberFormat="0" applyFill="0" applyAlignment="0" applyProtection="0"/>
    <xf numFmtId="0" fontId="32" fillId="36" borderId="217" applyNumberFormat="0" applyAlignment="0" applyProtection="0"/>
    <xf numFmtId="0" fontId="45" fillId="36" borderId="219" applyNumberFormat="0" applyAlignment="0" applyProtection="0"/>
    <xf numFmtId="0" fontId="45" fillId="37" borderId="219" applyNumberFormat="0" applyAlignment="0" applyProtection="0"/>
    <xf numFmtId="0" fontId="39" fillId="27" borderId="217" applyNumberFormat="0" applyAlignment="0" applyProtection="0"/>
    <xf numFmtId="0" fontId="39" fillId="21" borderId="217" applyNumberFormat="0" applyAlignment="0" applyProtection="0"/>
    <xf numFmtId="0" fontId="39" fillId="27" borderId="217" applyNumberFormat="0" applyAlignment="0" applyProtection="0"/>
    <xf numFmtId="0" fontId="2" fillId="24" borderId="218" applyNumberFormat="0" applyFont="0" applyAlignment="0" applyProtection="0"/>
    <xf numFmtId="0" fontId="50" fillId="0" borderId="221" applyNumberFormat="0" applyFill="0" applyAlignment="0" applyProtection="0"/>
    <xf numFmtId="0" fontId="50" fillId="0" borderId="220" applyNumberFormat="0" applyFill="0" applyAlignment="0" applyProtection="0"/>
    <xf numFmtId="0" fontId="33" fillId="37" borderId="217" applyNumberFormat="0" applyAlignment="0" applyProtection="0"/>
    <xf numFmtId="0" fontId="39" fillId="27" borderId="217" applyNumberFormat="0" applyAlignment="0" applyProtection="0"/>
    <xf numFmtId="0" fontId="8" fillId="24" borderId="218" applyNumberFormat="0" applyFont="0" applyAlignment="0" applyProtection="0"/>
    <xf numFmtId="0" fontId="32" fillId="36" borderId="217" applyNumberFormat="0" applyAlignment="0" applyProtection="0"/>
    <xf numFmtId="0" fontId="8" fillId="24" borderId="218" applyNumberFormat="0" applyFont="0" applyAlignment="0" applyProtection="0"/>
    <xf numFmtId="0" fontId="50" fillId="0" borderId="220" applyNumberFormat="0" applyFill="0" applyAlignment="0" applyProtection="0"/>
    <xf numFmtId="0" fontId="8" fillId="24" borderId="218" applyNumberFormat="0" applyFont="0" applyAlignment="0" applyProtection="0"/>
    <xf numFmtId="0" fontId="45" fillId="36" borderId="219" applyNumberFormat="0" applyAlignment="0" applyProtection="0"/>
    <xf numFmtId="0" fontId="45" fillId="37" borderId="219" applyNumberFormat="0" applyAlignment="0" applyProtection="0"/>
    <xf numFmtId="0" fontId="8" fillId="24" borderId="218" applyNumberFormat="0" applyFont="0" applyAlignment="0" applyProtection="0"/>
    <xf numFmtId="0" fontId="2" fillId="24" borderId="218" applyNumberFormat="0" applyFont="0" applyAlignment="0" applyProtection="0"/>
    <xf numFmtId="0" fontId="32" fillId="36" borderId="217" applyNumberFormat="0" applyAlignment="0" applyProtection="0"/>
    <xf numFmtId="0" fontId="45" fillId="36" borderId="219" applyNumberFormat="0" applyAlignment="0" applyProtection="0"/>
    <xf numFmtId="0" fontId="2" fillId="24" borderId="218" applyNumberFormat="0" applyFont="0" applyAlignment="0" applyProtection="0"/>
    <xf numFmtId="0" fontId="8" fillId="24" borderId="218" applyNumberFormat="0" applyFont="0" applyAlignment="0" applyProtection="0"/>
    <xf numFmtId="0" fontId="8" fillId="24" borderId="218" applyNumberFormat="0" applyFont="0" applyAlignment="0" applyProtection="0"/>
    <xf numFmtId="0" fontId="45" fillId="36" borderId="219" applyNumberFormat="0" applyAlignment="0" applyProtection="0"/>
    <xf numFmtId="0" fontId="2" fillId="24" borderId="218" applyNumberFormat="0" applyFont="0" applyAlignment="0" applyProtection="0"/>
    <xf numFmtId="0" fontId="8" fillId="24" borderId="218" applyNumberFormat="0" applyFont="0" applyAlignment="0" applyProtection="0"/>
    <xf numFmtId="0" fontId="8" fillId="24" borderId="218" applyNumberFormat="0" applyFont="0" applyAlignment="0" applyProtection="0"/>
    <xf numFmtId="0" fontId="45" fillId="36" borderId="219" applyNumberFormat="0" applyAlignment="0" applyProtection="0"/>
    <xf numFmtId="0" fontId="39" fillId="27" borderId="217" applyNumberFormat="0" applyAlignment="0" applyProtection="0"/>
    <xf numFmtId="0" fontId="50" fillId="0" borderId="221" applyNumberFormat="0" applyFill="0" applyAlignment="0" applyProtection="0"/>
    <xf numFmtId="0" fontId="50" fillId="0" borderId="220" applyNumberFormat="0" applyFill="0" applyAlignment="0" applyProtection="0"/>
    <xf numFmtId="0" fontId="39" fillId="27" borderId="217" applyNumberFormat="0" applyAlignment="0" applyProtection="0"/>
    <xf numFmtId="0" fontId="45" fillId="36" borderId="219" applyNumberFormat="0" applyAlignment="0" applyProtection="0"/>
    <xf numFmtId="0" fontId="45" fillId="37" borderId="219" applyNumberFormat="0" applyAlignment="0" applyProtection="0"/>
    <xf numFmtId="0" fontId="45" fillId="37" borderId="219" applyNumberFormat="0" applyAlignment="0" applyProtection="0"/>
    <xf numFmtId="0" fontId="45" fillId="36" borderId="219" applyNumberFormat="0" applyAlignment="0" applyProtection="0"/>
    <xf numFmtId="0" fontId="8" fillId="24" borderId="218" applyNumberFormat="0" applyFont="0" applyAlignment="0" applyProtection="0"/>
    <xf numFmtId="0" fontId="45" fillId="37" borderId="219" applyNumberFormat="0" applyAlignment="0" applyProtection="0"/>
    <xf numFmtId="0" fontId="45" fillId="36" borderId="219" applyNumberFormat="0" applyAlignment="0" applyProtection="0"/>
    <xf numFmtId="0" fontId="32" fillId="36" borderId="217" applyNumberFormat="0" applyAlignment="0" applyProtection="0"/>
    <xf numFmtId="0" fontId="33" fillId="37" borderId="217" applyNumberFormat="0" applyAlignment="0" applyProtection="0"/>
    <xf numFmtId="0" fontId="32" fillId="36" borderId="217" applyNumberFormat="0" applyAlignment="0" applyProtection="0"/>
    <xf numFmtId="0" fontId="39" fillId="21" borderId="217" applyNumberFormat="0" applyAlignment="0" applyProtection="0"/>
    <xf numFmtId="0" fontId="45" fillId="36" borderId="219" applyNumberFormat="0" applyAlignment="0" applyProtection="0"/>
    <xf numFmtId="0" fontId="45" fillId="37" borderId="219" applyNumberFormat="0" applyAlignment="0" applyProtection="0"/>
    <xf numFmtId="0" fontId="8" fillId="24" borderId="218" applyNumberFormat="0" applyFont="0" applyAlignment="0" applyProtection="0"/>
    <xf numFmtId="0" fontId="39" fillId="21" borderId="217" applyNumberFormat="0" applyAlignment="0" applyProtection="0"/>
    <xf numFmtId="0" fontId="45" fillId="36" borderId="219" applyNumberFormat="0" applyAlignment="0" applyProtection="0"/>
    <xf numFmtId="0" fontId="33" fillId="37" borderId="217" applyNumberFormat="0" applyAlignment="0" applyProtection="0"/>
    <xf numFmtId="0" fontId="32" fillId="36" borderId="217" applyNumberFormat="0" applyAlignment="0" applyProtection="0"/>
    <xf numFmtId="0" fontId="39" fillId="21" borderId="217" applyNumberFormat="0" applyAlignment="0" applyProtection="0"/>
    <xf numFmtId="0" fontId="45" fillId="36" borderId="219" applyNumberFormat="0" applyAlignment="0" applyProtection="0"/>
    <xf numFmtId="0" fontId="8" fillId="24" borderId="218" applyNumberFormat="0" applyFont="0" applyAlignment="0" applyProtection="0"/>
    <xf numFmtId="0" fontId="45" fillId="37" borderId="219" applyNumberFormat="0" applyAlignment="0" applyProtection="0"/>
    <xf numFmtId="0" fontId="39" fillId="27" borderId="217" applyNumberFormat="0" applyAlignment="0" applyProtection="0"/>
    <xf numFmtId="0" fontId="39" fillId="21" borderId="217" applyNumberFormat="0" applyAlignment="0" applyProtection="0"/>
    <xf numFmtId="0" fontId="8" fillId="24" borderId="218" applyNumberFormat="0" applyFont="0" applyAlignment="0" applyProtection="0"/>
    <xf numFmtId="0" fontId="8" fillId="24" borderId="218" applyNumberFormat="0" applyFont="0" applyAlignment="0" applyProtection="0"/>
    <xf numFmtId="0" fontId="50" fillId="0" borderId="220" applyNumberFormat="0" applyFill="0" applyAlignment="0" applyProtection="0"/>
    <xf numFmtId="0" fontId="50" fillId="0" borderId="221" applyNumberFormat="0" applyFill="0" applyAlignment="0" applyProtection="0"/>
    <xf numFmtId="0" fontId="33" fillId="37" borderId="217" applyNumberFormat="0" applyAlignment="0" applyProtection="0"/>
    <xf numFmtId="0" fontId="50" fillId="0" borderId="221" applyNumberFormat="0" applyFill="0" applyAlignment="0" applyProtection="0"/>
    <xf numFmtId="0" fontId="33" fillId="37" borderId="217" applyNumberFormat="0" applyAlignment="0" applyProtection="0"/>
    <xf numFmtId="0" fontId="39" fillId="21" borderId="217" applyNumberFormat="0" applyAlignment="0" applyProtection="0"/>
    <xf numFmtId="0" fontId="45" fillId="36" borderId="219" applyNumberFormat="0" applyAlignment="0" applyProtection="0"/>
    <xf numFmtId="0" fontId="45" fillId="37" borderId="219" applyNumberFormat="0" applyAlignment="0" applyProtection="0"/>
    <xf numFmtId="0" fontId="8" fillId="24" borderId="218" applyNumberFormat="0" applyFont="0" applyAlignment="0" applyProtection="0"/>
    <xf numFmtId="0" fontId="8" fillId="24" borderId="218" applyNumberFormat="0" applyFont="0" applyAlignment="0" applyProtection="0"/>
    <xf numFmtId="0" fontId="33" fillId="37" borderId="217" applyNumberFormat="0" applyAlignment="0" applyProtection="0"/>
    <xf numFmtId="0" fontId="39" fillId="21" borderId="217" applyNumberFormat="0" applyAlignment="0" applyProtection="0"/>
    <xf numFmtId="0" fontId="39" fillId="27" borderId="217" applyNumberFormat="0" applyAlignment="0" applyProtection="0"/>
    <xf numFmtId="0" fontId="45" fillId="36" borderId="219" applyNumberFormat="0" applyAlignment="0" applyProtection="0"/>
    <xf numFmtId="0" fontId="33" fillId="37" borderId="217" applyNumberFormat="0" applyAlignment="0" applyProtection="0"/>
    <xf numFmtId="0" fontId="2" fillId="24" borderId="218" applyNumberFormat="0" applyFont="0" applyAlignment="0" applyProtection="0"/>
    <xf numFmtId="0" fontId="45" fillId="37" borderId="219" applyNumberFormat="0" applyAlignment="0" applyProtection="0"/>
    <xf numFmtId="0" fontId="39" fillId="21" borderId="217" applyNumberFormat="0" applyAlignment="0" applyProtection="0"/>
    <xf numFmtId="0" fontId="39" fillId="21" borderId="217" applyNumberFormat="0" applyAlignment="0" applyProtection="0"/>
    <xf numFmtId="0" fontId="2" fillId="24" borderId="218" applyNumberFormat="0" applyFont="0" applyAlignment="0" applyProtection="0"/>
    <xf numFmtId="0" fontId="39" fillId="21" borderId="217" applyNumberFormat="0" applyAlignment="0" applyProtection="0"/>
    <xf numFmtId="0" fontId="39" fillId="27" borderId="217" applyNumberFormat="0" applyAlignment="0" applyProtection="0"/>
    <xf numFmtId="0" fontId="39" fillId="21" borderId="217" applyNumberFormat="0" applyAlignment="0" applyProtection="0"/>
    <xf numFmtId="0" fontId="39" fillId="27" borderId="217" applyNumberFormat="0" applyAlignment="0" applyProtection="0"/>
    <xf numFmtId="0" fontId="32" fillId="36" borderId="217" applyNumberFormat="0" applyAlignment="0" applyProtection="0"/>
    <xf numFmtId="0" fontId="33" fillId="37" borderId="217" applyNumberFormat="0" applyAlignment="0" applyProtection="0"/>
    <xf numFmtId="0" fontId="39" fillId="21" borderId="217" applyNumberFormat="0" applyAlignment="0" applyProtection="0"/>
    <xf numFmtId="0" fontId="39" fillId="27" borderId="217" applyNumberFormat="0" applyAlignment="0" applyProtection="0"/>
    <xf numFmtId="0" fontId="39" fillId="21" borderId="217" applyNumberFormat="0" applyAlignment="0" applyProtection="0"/>
    <xf numFmtId="0" fontId="8" fillId="24" borderId="218" applyNumberFormat="0" applyFont="0" applyAlignment="0" applyProtection="0"/>
    <xf numFmtId="0" fontId="32" fillId="36" borderId="217" applyNumberFormat="0" applyAlignment="0" applyProtection="0"/>
    <xf numFmtId="0" fontId="2" fillId="24" borderId="218" applyNumberFormat="0" applyFont="0" applyAlignment="0" applyProtection="0"/>
    <xf numFmtId="0" fontId="50" fillId="0" borderId="220" applyNumberFormat="0" applyFill="0" applyAlignment="0" applyProtection="0"/>
    <xf numFmtId="0" fontId="45" fillId="36" borderId="219" applyNumberFormat="0" applyAlignment="0" applyProtection="0"/>
    <xf numFmtId="0" fontId="32" fillId="36" borderId="217" applyNumberFormat="0" applyAlignment="0" applyProtection="0"/>
    <xf numFmtId="0" fontId="32" fillId="36" borderId="217" applyNumberFormat="0" applyAlignment="0" applyProtection="0"/>
    <xf numFmtId="0" fontId="32" fillId="36" borderId="217" applyNumberFormat="0" applyAlignment="0" applyProtection="0"/>
    <xf numFmtId="0" fontId="45" fillId="36" borderId="219" applyNumberFormat="0" applyAlignment="0" applyProtection="0"/>
    <xf numFmtId="0" fontId="45" fillId="36" borderId="219" applyNumberFormat="0" applyAlignment="0" applyProtection="0"/>
    <xf numFmtId="0" fontId="45" fillId="36" borderId="219" applyNumberFormat="0" applyAlignment="0" applyProtection="0"/>
    <xf numFmtId="0" fontId="8" fillId="24" borderId="218" applyNumberFormat="0" applyFont="0" applyAlignment="0" applyProtection="0"/>
    <xf numFmtId="0" fontId="8" fillId="24" borderId="218" applyNumberFormat="0" applyFont="0" applyAlignment="0" applyProtection="0"/>
    <xf numFmtId="0" fontId="32" fillId="36" borderId="217" applyNumberFormat="0" applyAlignment="0" applyProtection="0"/>
    <xf numFmtId="0" fontId="33" fillId="37" borderId="217" applyNumberFormat="0" applyAlignment="0" applyProtection="0"/>
    <xf numFmtId="0" fontId="45" fillId="36" borderId="219" applyNumberFormat="0" applyAlignment="0" applyProtection="0"/>
    <xf numFmtId="0" fontId="33" fillId="37" borderId="217" applyNumberFormat="0" applyAlignment="0" applyProtection="0"/>
    <xf numFmtId="0" fontId="39" fillId="21" borderId="217" applyNumberFormat="0" applyAlignment="0" applyProtection="0"/>
    <xf numFmtId="0" fontId="39" fillId="27" borderId="217" applyNumberFormat="0" applyAlignment="0" applyProtection="0"/>
    <xf numFmtId="0" fontId="50" fillId="0" borderId="220" applyNumberFormat="0" applyFill="0" applyAlignment="0" applyProtection="0"/>
    <xf numFmtId="0" fontId="50" fillId="0" borderId="221" applyNumberFormat="0" applyFill="0" applyAlignment="0" applyProtection="0"/>
    <xf numFmtId="0" fontId="50" fillId="0" borderId="220" applyNumberFormat="0" applyFill="0" applyAlignment="0" applyProtection="0"/>
    <xf numFmtId="0" fontId="33" fillId="37" borderId="217" applyNumberFormat="0" applyAlignment="0" applyProtection="0"/>
    <xf numFmtId="0" fontId="50" fillId="0" borderId="221" applyNumberFormat="0" applyFill="0" applyAlignment="0" applyProtection="0"/>
    <xf numFmtId="0" fontId="8" fillId="24" borderId="218" applyNumberFormat="0" applyFont="0" applyAlignment="0" applyProtection="0"/>
    <xf numFmtId="0" fontId="45" fillId="36" borderId="219" applyNumberFormat="0" applyAlignment="0" applyProtection="0"/>
    <xf numFmtId="0" fontId="45" fillId="37" borderId="219" applyNumberFormat="0" applyAlignment="0" applyProtection="0"/>
    <xf numFmtId="0" fontId="45" fillId="37" borderId="219" applyNumberFormat="0" applyAlignment="0" applyProtection="0"/>
    <xf numFmtId="0" fontId="45" fillId="36" borderId="219" applyNumberFormat="0" applyAlignment="0" applyProtection="0"/>
    <xf numFmtId="0" fontId="32" fillId="36" borderId="217" applyNumberFormat="0" applyAlignment="0" applyProtection="0"/>
    <xf numFmtId="0" fontId="50" fillId="0" borderId="221" applyNumberFormat="0" applyFill="0" applyAlignment="0" applyProtection="0"/>
    <xf numFmtId="0" fontId="45" fillId="36" borderId="219" applyNumberFormat="0" applyAlignment="0" applyProtection="0"/>
    <xf numFmtId="0" fontId="45" fillId="36" borderId="219" applyNumberFormat="0" applyAlignment="0" applyProtection="0"/>
    <xf numFmtId="0" fontId="8" fillId="24" borderId="218" applyNumberFormat="0" applyFont="0" applyAlignment="0" applyProtection="0"/>
    <xf numFmtId="0" fontId="32" fillId="36" borderId="217" applyNumberFormat="0" applyAlignment="0" applyProtection="0"/>
    <xf numFmtId="0" fontId="8" fillId="24" borderId="218" applyNumberFormat="0" applyFont="0" applyAlignment="0" applyProtection="0"/>
    <xf numFmtId="0" fontId="50" fillId="0" borderId="220" applyNumberFormat="0" applyFill="0" applyAlignment="0" applyProtection="0"/>
    <xf numFmtId="0" fontId="50" fillId="0" borderId="221" applyNumberFormat="0" applyFill="0" applyAlignment="0" applyProtection="0"/>
    <xf numFmtId="0" fontId="39" fillId="27" borderId="217" applyNumberFormat="0" applyAlignment="0" applyProtection="0"/>
    <xf numFmtId="0" fontId="45" fillId="36" borderId="219" applyNumberFormat="0" applyAlignment="0" applyProtection="0"/>
    <xf numFmtId="0" fontId="50" fillId="0" borderId="221" applyNumberFormat="0" applyFill="0" applyAlignment="0" applyProtection="0"/>
    <xf numFmtId="0" fontId="8" fillId="24" borderId="218" applyNumberFormat="0" applyFont="0" applyAlignment="0" applyProtection="0"/>
    <xf numFmtId="0" fontId="8" fillId="24" borderId="218" applyNumberFormat="0" applyFont="0" applyAlignment="0" applyProtection="0"/>
    <xf numFmtId="0" fontId="2" fillId="24" borderId="218" applyNumberFormat="0" applyFont="0" applyAlignment="0" applyProtection="0"/>
    <xf numFmtId="0" fontId="45" fillId="36" borderId="219" applyNumberFormat="0" applyAlignment="0" applyProtection="0"/>
    <xf numFmtId="0" fontId="2" fillId="24" borderId="218" applyNumberFormat="0" applyFont="0" applyAlignment="0" applyProtection="0"/>
    <xf numFmtId="0" fontId="50" fillId="0" borderId="220" applyNumberFormat="0" applyFill="0" applyAlignment="0" applyProtection="0"/>
    <xf numFmtId="0" fontId="50" fillId="0" borderId="220" applyNumberFormat="0" applyFill="0" applyAlignment="0" applyProtection="0"/>
    <xf numFmtId="0" fontId="39" fillId="21" borderId="217" applyNumberFormat="0" applyAlignment="0" applyProtection="0"/>
    <xf numFmtId="0" fontId="45" fillId="37" borderId="219" applyNumberFormat="0" applyAlignment="0" applyProtection="0"/>
    <xf numFmtId="0" fontId="45" fillId="36" borderId="219" applyNumberFormat="0" applyAlignment="0" applyProtection="0"/>
    <xf numFmtId="0" fontId="2" fillId="24" borderId="218" applyNumberFormat="0" applyFont="0" applyAlignment="0" applyProtection="0"/>
    <xf numFmtId="0" fontId="50" fillId="0" borderId="221" applyNumberFormat="0" applyFill="0" applyAlignment="0" applyProtection="0"/>
    <xf numFmtId="0" fontId="33" fillId="37" borderId="217" applyNumberFormat="0" applyAlignment="0" applyProtection="0"/>
    <xf numFmtId="0" fontId="8" fillId="24" borderId="218" applyNumberFormat="0" applyFont="0" applyAlignment="0" applyProtection="0"/>
    <xf numFmtId="0" fontId="50" fillId="0" borderId="220" applyNumberFormat="0" applyFill="0" applyAlignment="0" applyProtection="0"/>
    <xf numFmtId="0" fontId="8" fillId="24" borderId="218" applyNumberFormat="0" applyFont="0" applyAlignment="0" applyProtection="0"/>
    <xf numFmtId="0" fontId="33" fillId="37" borderId="217" applyNumberFormat="0" applyAlignment="0" applyProtection="0"/>
    <xf numFmtId="0" fontId="32" fillId="36" borderId="217" applyNumberFormat="0" applyAlignment="0" applyProtection="0"/>
    <xf numFmtId="0" fontId="50" fillId="0" borderId="220" applyNumberFormat="0" applyFill="0" applyAlignment="0" applyProtection="0"/>
    <xf numFmtId="0" fontId="50" fillId="0" borderId="221" applyNumberFormat="0" applyFill="0" applyAlignment="0" applyProtection="0"/>
    <xf numFmtId="0" fontId="8" fillId="24" borderId="218" applyNumberFormat="0" applyFont="0" applyAlignment="0" applyProtection="0"/>
    <xf numFmtId="0" fontId="45" fillId="37" borderId="219" applyNumberFormat="0" applyAlignment="0" applyProtection="0"/>
    <xf numFmtId="0" fontId="8" fillId="24" borderId="218" applyNumberFormat="0" applyFont="0" applyAlignment="0" applyProtection="0"/>
    <xf numFmtId="0" fontId="39" fillId="27" borderId="217" applyNumberFormat="0" applyAlignment="0" applyProtection="0"/>
    <xf numFmtId="0" fontId="45" fillId="36" borderId="219" applyNumberFormat="0" applyAlignment="0" applyProtection="0"/>
    <xf numFmtId="0" fontId="45" fillId="37" borderId="219" applyNumberFormat="0" applyAlignment="0" applyProtection="0"/>
    <xf numFmtId="0" fontId="8" fillId="24" borderId="218" applyNumberFormat="0" applyFont="0" applyAlignment="0" applyProtection="0"/>
    <xf numFmtId="0" fontId="39" fillId="21" borderId="217" applyNumberFormat="0" applyAlignment="0" applyProtection="0"/>
    <xf numFmtId="0" fontId="33" fillId="37" borderId="217" applyNumberFormat="0" applyAlignment="0" applyProtection="0"/>
    <xf numFmtId="0" fontId="50" fillId="0" borderId="220" applyNumberFormat="0" applyFill="0" applyAlignment="0" applyProtection="0"/>
    <xf numFmtId="0" fontId="39" fillId="27" borderId="217" applyNumberFormat="0" applyAlignment="0" applyProtection="0"/>
    <xf numFmtId="0" fontId="45" fillId="36" borderId="219" applyNumberFormat="0" applyAlignment="0" applyProtection="0"/>
    <xf numFmtId="0" fontId="45" fillId="37" borderId="219" applyNumberFormat="0" applyAlignment="0" applyProtection="0"/>
    <xf numFmtId="0" fontId="32" fillId="36" borderId="217" applyNumberFormat="0" applyAlignment="0" applyProtection="0"/>
    <xf numFmtId="0" fontId="32" fillId="36" borderId="217" applyNumberFormat="0" applyAlignment="0" applyProtection="0"/>
    <xf numFmtId="0" fontId="39" fillId="21" borderId="217" applyNumberFormat="0" applyAlignment="0" applyProtection="0"/>
    <xf numFmtId="0" fontId="2" fillId="24" borderId="218" applyNumberFormat="0" applyFont="0" applyAlignment="0" applyProtection="0"/>
    <xf numFmtId="0" fontId="39" fillId="21" borderId="217" applyNumberFormat="0" applyAlignment="0" applyProtection="0"/>
    <xf numFmtId="0" fontId="39" fillId="21" borderId="217" applyNumberFormat="0" applyAlignment="0" applyProtection="0"/>
    <xf numFmtId="0" fontId="32" fillId="36" borderId="217" applyNumberFormat="0" applyAlignment="0" applyProtection="0"/>
    <xf numFmtId="0" fontId="45" fillId="36" borderId="219" applyNumberFormat="0" applyAlignment="0" applyProtection="0"/>
    <xf numFmtId="0" fontId="8" fillId="24" borderId="218" applyNumberFormat="0" applyFont="0" applyAlignment="0" applyProtection="0"/>
    <xf numFmtId="0" fontId="32" fillId="36" borderId="217" applyNumberFormat="0" applyAlignment="0" applyProtection="0"/>
    <xf numFmtId="0" fontId="39" fillId="21" borderId="217" applyNumberFormat="0" applyAlignment="0" applyProtection="0"/>
    <xf numFmtId="0" fontId="39" fillId="21" borderId="217" applyNumberFormat="0" applyAlignment="0" applyProtection="0"/>
    <xf numFmtId="0" fontId="45" fillId="36" borderId="219" applyNumberFormat="0" applyAlignment="0" applyProtection="0"/>
    <xf numFmtId="0" fontId="45" fillId="36" borderId="219" applyNumberFormat="0" applyAlignment="0" applyProtection="0"/>
    <xf numFmtId="0" fontId="50" fillId="0" borderId="221" applyNumberFormat="0" applyFill="0" applyAlignment="0" applyProtection="0"/>
    <xf numFmtId="0" fontId="50" fillId="0" borderId="221" applyNumberFormat="0" applyFill="0" applyAlignment="0" applyProtection="0"/>
    <xf numFmtId="0" fontId="33" fillId="37" borderId="217" applyNumberFormat="0" applyAlignment="0" applyProtection="0"/>
    <xf numFmtId="0" fontId="32" fillId="36" borderId="217" applyNumberFormat="0" applyAlignment="0" applyProtection="0"/>
    <xf numFmtId="0" fontId="39" fillId="21" borderId="217" applyNumberFormat="0" applyAlignment="0" applyProtection="0"/>
    <xf numFmtId="0" fontId="39" fillId="27" borderId="217" applyNumberFormat="0" applyAlignment="0" applyProtection="0"/>
    <xf numFmtId="0" fontId="45" fillId="37" borderId="219" applyNumberFormat="0" applyAlignment="0" applyProtection="0"/>
    <xf numFmtId="0" fontId="32" fillId="36" borderId="217" applyNumberFormat="0" applyAlignment="0" applyProtection="0"/>
    <xf numFmtId="0" fontId="45" fillId="36" borderId="219" applyNumberFormat="0" applyAlignment="0" applyProtection="0"/>
    <xf numFmtId="0" fontId="39" fillId="21" borderId="217" applyNumberFormat="0" applyAlignment="0" applyProtection="0"/>
    <xf numFmtId="0" fontId="33" fillId="37" borderId="217" applyNumberFormat="0" applyAlignment="0" applyProtection="0"/>
    <xf numFmtId="0" fontId="50" fillId="0" borderId="220" applyNumberFormat="0" applyFill="0" applyAlignment="0" applyProtection="0"/>
    <xf numFmtId="0" fontId="45" fillId="37" borderId="219" applyNumberFormat="0" applyAlignment="0" applyProtection="0"/>
    <xf numFmtId="0" fontId="32" fillId="36" borderId="217" applyNumberFormat="0" applyAlignment="0" applyProtection="0"/>
    <xf numFmtId="0" fontId="45" fillId="36" borderId="219" applyNumberFormat="0" applyAlignment="0" applyProtection="0"/>
    <xf numFmtId="0" fontId="8" fillId="24" borderId="218" applyNumberFormat="0" applyFont="0" applyAlignment="0" applyProtection="0"/>
    <xf numFmtId="0" fontId="8" fillId="24" borderId="218" applyNumberFormat="0" applyFont="0" applyAlignment="0" applyProtection="0"/>
    <xf numFmtId="0" fontId="32" fillId="36" borderId="217" applyNumberFormat="0" applyAlignment="0" applyProtection="0"/>
    <xf numFmtId="0" fontId="32" fillId="36" borderId="217" applyNumberFormat="0" applyAlignment="0" applyProtection="0"/>
    <xf numFmtId="0" fontId="39" fillId="27" borderId="217" applyNumberFormat="0" applyAlignment="0" applyProtection="0"/>
    <xf numFmtId="0" fontId="45" fillId="36" borderId="219" applyNumberFormat="0" applyAlignment="0" applyProtection="0"/>
    <xf numFmtId="0" fontId="2" fillId="24" borderId="218" applyNumberFormat="0" applyFont="0" applyAlignment="0" applyProtection="0"/>
    <xf numFmtId="0" fontId="50" fillId="0" borderId="221" applyNumberFormat="0" applyFill="0" applyAlignment="0" applyProtection="0"/>
    <xf numFmtId="0" fontId="32" fillId="36" borderId="217" applyNumberFormat="0" applyAlignment="0" applyProtection="0"/>
    <xf numFmtId="0" fontId="33" fillId="37" borderId="217" applyNumberFormat="0" applyAlignment="0" applyProtection="0"/>
    <xf numFmtId="0" fontId="2" fillId="24" borderId="218" applyNumberFormat="0" applyFont="0" applyAlignment="0" applyProtection="0"/>
    <xf numFmtId="0" fontId="8" fillId="24" borderId="218" applyNumberFormat="0" applyFont="0" applyAlignment="0" applyProtection="0"/>
    <xf numFmtId="0" fontId="39" fillId="27" borderId="217" applyNumberFormat="0" applyAlignment="0" applyProtection="0"/>
    <xf numFmtId="0" fontId="39" fillId="21" borderId="217" applyNumberFormat="0" applyAlignment="0" applyProtection="0"/>
    <xf numFmtId="0" fontId="50" fillId="0" borderId="221" applyNumberFormat="0" applyFill="0" applyAlignment="0" applyProtection="0"/>
    <xf numFmtId="0" fontId="8" fillId="24" borderId="218" applyNumberFormat="0" applyFont="0" applyAlignment="0" applyProtection="0"/>
    <xf numFmtId="0" fontId="39" fillId="21" borderId="217" applyNumberFormat="0" applyAlignment="0" applyProtection="0"/>
    <xf numFmtId="0" fontId="8" fillId="24" borderId="218" applyNumberFormat="0" applyFont="0" applyAlignment="0" applyProtection="0"/>
    <xf numFmtId="0" fontId="39" fillId="21" borderId="217" applyNumberFormat="0" applyAlignment="0" applyProtection="0"/>
    <xf numFmtId="0" fontId="33" fillId="37" borderId="217" applyNumberFormat="0" applyAlignment="0" applyProtection="0"/>
    <xf numFmtId="0" fontId="50" fillId="0" borderId="220" applyNumberFormat="0" applyFill="0" applyAlignment="0" applyProtection="0"/>
    <xf numFmtId="0" fontId="39" fillId="27" borderId="217" applyNumberFormat="0" applyAlignment="0" applyProtection="0"/>
    <xf numFmtId="0" fontId="50" fillId="0" borderId="220" applyNumberFormat="0" applyFill="0" applyAlignment="0" applyProtection="0"/>
    <xf numFmtId="0" fontId="8" fillId="24" borderId="218" applyNumberFormat="0" applyFont="0" applyAlignment="0" applyProtection="0"/>
    <xf numFmtId="0" fontId="32" fillId="36" borderId="217" applyNumberFormat="0" applyAlignment="0" applyProtection="0"/>
    <xf numFmtId="0" fontId="39" fillId="27" borderId="217" applyNumberFormat="0" applyAlignment="0" applyProtection="0"/>
    <xf numFmtId="0" fontId="8" fillId="24" borderId="218" applyNumberFormat="0" applyFont="0" applyAlignment="0" applyProtection="0"/>
    <xf numFmtId="0" fontId="50" fillId="0" borderId="220" applyNumberFormat="0" applyFill="0" applyAlignment="0" applyProtection="0"/>
    <xf numFmtId="0" fontId="50" fillId="0" borderId="220" applyNumberFormat="0" applyFill="0" applyAlignment="0" applyProtection="0"/>
    <xf numFmtId="0" fontId="45" fillId="36" borderId="219" applyNumberFormat="0" applyAlignment="0" applyProtection="0"/>
    <xf numFmtId="0" fontId="50" fillId="0" borderId="220" applyNumberFormat="0" applyFill="0" applyAlignment="0" applyProtection="0"/>
    <xf numFmtId="0" fontId="2" fillId="24" borderId="218" applyNumberFormat="0" applyFont="0" applyAlignment="0" applyProtection="0"/>
    <xf numFmtId="0" fontId="2" fillId="24" borderId="218" applyNumberFormat="0" applyFont="0" applyAlignment="0" applyProtection="0"/>
    <xf numFmtId="0" fontId="39" fillId="21" borderId="217" applyNumberFormat="0" applyAlignment="0" applyProtection="0"/>
    <xf numFmtId="0" fontId="8" fillId="24" borderId="218" applyNumberFormat="0" applyFont="0" applyAlignment="0" applyProtection="0"/>
    <xf numFmtId="0" fontId="32" fillId="36" borderId="217" applyNumberFormat="0" applyAlignment="0" applyProtection="0"/>
    <xf numFmtId="0" fontId="45" fillId="37" borderId="219" applyNumberFormat="0" applyAlignment="0" applyProtection="0"/>
    <xf numFmtId="0" fontId="39" fillId="21" borderId="217" applyNumberFormat="0" applyAlignment="0" applyProtection="0"/>
    <xf numFmtId="0" fontId="39" fillId="21" borderId="217" applyNumberFormat="0" applyAlignment="0" applyProtection="0"/>
    <xf numFmtId="0" fontId="33" fillId="37" borderId="217" applyNumberFormat="0" applyAlignment="0" applyProtection="0"/>
    <xf numFmtId="0" fontId="32" fillId="36" borderId="217" applyNumberFormat="0" applyAlignment="0" applyProtection="0"/>
    <xf numFmtId="0" fontId="2" fillId="24" borderId="218" applyNumberFormat="0" applyFont="0" applyAlignment="0" applyProtection="0"/>
    <xf numFmtId="0" fontId="32" fillId="36" borderId="217" applyNumberFormat="0" applyAlignment="0" applyProtection="0"/>
    <xf numFmtId="0" fontId="45" fillId="36" borderId="219" applyNumberFormat="0" applyAlignment="0" applyProtection="0"/>
    <xf numFmtId="0" fontId="39" fillId="21" borderId="217" applyNumberFormat="0" applyAlignment="0" applyProtection="0"/>
    <xf numFmtId="0" fontId="50" fillId="0" borderId="220" applyNumberFormat="0" applyFill="0" applyAlignment="0" applyProtection="0"/>
    <xf numFmtId="0" fontId="39" fillId="21" borderId="217" applyNumberFormat="0" applyAlignment="0" applyProtection="0"/>
    <xf numFmtId="0" fontId="8" fillId="24" borderId="218" applyNumberFormat="0" applyFont="0" applyAlignment="0" applyProtection="0"/>
    <xf numFmtId="0" fontId="32" fillId="36" borderId="217" applyNumberFormat="0" applyAlignment="0" applyProtection="0"/>
    <xf numFmtId="0" fontId="45" fillId="37" borderId="219" applyNumberFormat="0" applyAlignment="0" applyProtection="0"/>
    <xf numFmtId="0" fontId="39" fillId="27" borderId="217" applyNumberFormat="0" applyAlignment="0" applyProtection="0"/>
    <xf numFmtId="0" fontId="50" fillId="0" borderId="221" applyNumberFormat="0" applyFill="0" applyAlignment="0" applyProtection="0"/>
    <xf numFmtId="0" fontId="39" fillId="27" borderId="217" applyNumberFormat="0" applyAlignment="0" applyProtection="0"/>
    <xf numFmtId="0" fontId="50" fillId="0" borderId="220" applyNumberFormat="0" applyFill="0" applyAlignment="0" applyProtection="0"/>
    <xf numFmtId="0" fontId="50" fillId="0" borderId="221" applyNumberFormat="0" applyFill="0" applyAlignment="0" applyProtection="0"/>
    <xf numFmtId="0" fontId="45" fillId="36" borderId="219" applyNumberFormat="0" applyAlignment="0" applyProtection="0"/>
    <xf numFmtId="0" fontId="45" fillId="36" borderId="219" applyNumberFormat="0" applyAlignment="0" applyProtection="0"/>
    <xf numFmtId="0" fontId="32" fillId="36" borderId="217" applyNumberFormat="0" applyAlignment="0" applyProtection="0"/>
    <xf numFmtId="0" fontId="45" fillId="37" borderId="219" applyNumberFormat="0" applyAlignment="0" applyProtection="0"/>
    <xf numFmtId="0" fontId="39" fillId="27" borderId="217" applyNumberFormat="0" applyAlignment="0" applyProtection="0"/>
    <xf numFmtId="0" fontId="8" fillId="24" borderId="218" applyNumberFormat="0" applyFont="0" applyAlignment="0" applyProtection="0"/>
    <xf numFmtId="0" fontId="45" fillId="36" borderId="219" applyNumberFormat="0" applyAlignment="0" applyProtection="0"/>
    <xf numFmtId="0" fontId="2" fillId="24" borderId="218" applyNumberFormat="0" applyFont="0" applyAlignment="0" applyProtection="0"/>
    <xf numFmtId="0" fontId="39" fillId="27" borderId="217" applyNumberFormat="0" applyAlignment="0" applyProtection="0"/>
    <xf numFmtId="0" fontId="8" fillId="24" borderId="218" applyNumberFormat="0" applyFont="0" applyAlignment="0" applyProtection="0"/>
    <xf numFmtId="0" fontId="39" fillId="21" borderId="217" applyNumberFormat="0" applyAlignment="0" applyProtection="0"/>
    <xf numFmtId="0" fontId="8" fillId="24" borderId="218" applyNumberFormat="0" applyFont="0" applyAlignment="0" applyProtection="0"/>
    <xf numFmtId="0" fontId="2" fillId="24" borderId="218" applyNumberFormat="0" applyFont="0" applyAlignment="0" applyProtection="0"/>
    <xf numFmtId="0" fontId="50" fillId="0" borderId="220" applyNumberFormat="0" applyFill="0" applyAlignment="0" applyProtection="0"/>
    <xf numFmtId="0" fontId="39" fillId="21" borderId="217" applyNumberFormat="0" applyAlignment="0" applyProtection="0"/>
    <xf numFmtId="0" fontId="45" fillId="36" borderId="219" applyNumberFormat="0" applyAlignment="0" applyProtection="0"/>
    <xf numFmtId="0" fontId="8" fillId="24" borderId="218" applyNumberFormat="0" applyFont="0" applyAlignment="0" applyProtection="0"/>
    <xf numFmtId="0" fontId="45" fillId="37" borderId="219" applyNumberFormat="0" applyAlignment="0" applyProtection="0"/>
    <xf numFmtId="0" fontId="50" fillId="0" borderId="221" applyNumberFormat="0" applyFill="0" applyAlignment="0" applyProtection="0"/>
    <xf numFmtId="0" fontId="50" fillId="0" borderId="221" applyNumberFormat="0" applyFill="0" applyAlignment="0" applyProtection="0"/>
    <xf numFmtId="0" fontId="50" fillId="0" borderId="220" applyNumberFormat="0" applyFill="0" applyAlignment="0" applyProtection="0"/>
    <xf numFmtId="0" fontId="32" fillId="36" borderId="217" applyNumberFormat="0" applyAlignment="0" applyProtection="0"/>
    <xf numFmtId="0" fontId="50" fillId="0" borderId="220" applyNumberFormat="0" applyFill="0" applyAlignment="0" applyProtection="0"/>
    <xf numFmtId="0" fontId="39" fillId="21" borderId="217" applyNumberFormat="0" applyAlignment="0" applyProtection="0"/>
    <xf numFmtId="0" fontId="45" fillId="36" borderId="219" applyNumberFormat="0" applyAlignment="0" applyProtection="0"/>
    <xf numFmtId="0" fontId="32" fillId="36" borderId="217" applyNumberFormat="0" applyAlignment="0" applyProtection="0"/>
    <xf numFmtId="0" fontId="8" fillId="24" borderId="218" applyNumberFormat="0" applyFont="0" applyAlignment="0" applyProtection="0"/>
    <xf numFmtId="0" fontId="50" fillId="0" borderId="221" applyNumberFormat="0" applyFill="0" applyAlignment="0" applyProtection="0"/>
    <xf numFmtId="0" fontId="8" fillId="24" borderId="218" applyNumberFormat="0" applyFont="0" applyAlignment="0" applyProtection="0"/>
    <xf numFmtId="0" fontId="39" fillId="21" borderId="217" applyNumberFormat="0" applyAlignment="0" applyProtection="0"/>
    <xf numFmtId="0" fontId="45" fillId="36" borderId="219" applyNumberFormat="0" applyAlignment="0" applyProtection="0"/>
    <xf numFmtId="0" fontId="2" fillId="24" borderId="218" applyNumberFormat="0" applyFont="0" applyAlignment="0" applyProtection="0"/>
    <xf numFmtId="0" fontId="45" fillId="37" borderId="219" applyNumberFormat="0" applyAlignment="0" applyProtection="0"/>
    <xf numFmtId="0" fontId="39" fillId="21" borderId="217" applyNumberFormat="0" applyAlignment="0" applyProtection="0"/>
    <xf numFmtId="0" fontId="50" fillId="0" borderId="220" applyNumberFormat="0" applyFill="0" applyAlignment="0" applyProtection="0"/>
    <xf numFmtId="0" fontId="8" fillId="24" borderId="218" applyNumberFormat="0" applyFont="0" applyAlignment="0" applyProtection="0"/>
    <xf numFmtId="0" fontId="32" fillId="36" borderId="217" applyNumberFormat="0" applyAlignment="0" applyProtection="0"/>
    <xf numFmtId="0" fontId="32" fillId="36" borderId="217" applyNumberFormat="0" applyAlignment="0" applyProtection="0"/>
    <xf numFmtId="0" fontId="45" fillId="37" borderId="219" applyNumberFormat="0" applyAlignment="0" applyProtection="0"/>
    <xf numFmtId="0" fontId="32" fillId="36" borderId="217" applyNumberFormat="0" applyAlignment="0" applyProtection="0"/>
    <xf numFmtId="0" fontId="33" fillId="37" borderId="217" applyNumberFormat="0" applyAlignment="0" applyProtection="0"/>
    <xf numFmtId="0" fontId="8" fillId="24" borderId="218" applyNumberFormat="0" applyFont="0" applyAlignment="0" applyProtection="0"/>
    <xf numFmtId="0" fontId="45" fillId="36" borderId="219" applyNumberFormat="0" applyAlignment="0" applyProtection="0"/>
    <xf numFmtId="0" fontId="45" fillId="36" borderId="219" applyNumberFormat="0" applyAlignment="0" applyProtection="0"/>
    <xf numFmtId="0" fontId="33" fillId="37" borderId="217" applyNumberFormat="0" applyAlignment="0" applyProtection="0"/>
    <xf numFmtId="0" fontId="2" fillId="24" borderId="218" applyNumberFormat="0" applyFont="0" applyAlignment="0" applyProtection="0"/>
    <xf numFmtId="0" fontId="39" fillId="21" borderId="217" applyNumberFormat="0" applyAlignment="0" applyProtection="0"/>
    <xf numFmtId="0" fontId="39" fillId="21" borderId="217" applyNumberFormat="0" applyAlignment="0" applyProtection="0"/>
    <xf numFmtId="0" fontId="39" fillId="21" borderId="217" applyNumberFormat="0" applyAlignment="0" applyProtection="0"/>
    <xf numFmtId="0" fontId="2" fillId="24" borderId="218" applyNumberFormat="0" applyFont="0" applyAlignment="0" applyProtection="0"/>
    <xf numFmtId="0" fontId="33" fillId="37" borderId="217" applyNumberFormat="0" applyAlignment="0" applyProtection="0"/>
    <xf numFmtId="0" fontId="45" fillId="36" borderId="219" applyNumberFormat="0" applyAlignment="0" applyProtection="0"/>
    <xf numFmtId="0" fontId="39" fillId="21" borderId="217" applyNumberFormat="0" applyAlignment="0" applyProtection="0"/>
    <xf numFmtId="0" fontId="50" fillId="0" borderId="220" applyNumberFormat="0" applyFill="0" applyAlignment="0" applyProtection="0"/>
    <xf numFmtId="0" fontId="39" fillId="21" borderId="217" applyNumberFormat="0" applyAlignment="0" applyProtection="0"/>
    <xf numFmtId="0" fontId="39" fillId="27" borderId="217" applyNumberFormat="0" applyAlignment="0" applyProtection="0"/>
    <xf numFmtId="0" fontId="45" fillId="36" borderId="219" applyNumberFormat="0" applyAlignment="0" applyProtection="0"/>
    <xf numFmtId="0" fontId="39" fillId="27" borderId="217" applyNumberFormat="0" applyAlignment="0" applyProtection="0"/>
    <xf numFmtId="0" fontId="50" fillId="0" borderId="220" applyNumberFormat="0" applyFill="0" applyAlignment="0" applyProtection="0"/>
    <xf numFmtId="0" fontId="50" fillId="0" borderId="220" applyNumberFormat="0" applyFill="0" applyAlignment="0" applyProtection="0"/>
    <xf numFmtId="0" fontId="8" fillId="24" borderId="218" applyNumberFormat="0" applyFont="0" applyAlignment="0" applyProtection="0"/>
    <xf numFmtId="0" fontId="2" fillId="24" borderId="218" applyNumberFormat="0" applyFont="0" applyAlignment="0" applyProtection="0"/>
    <xf numFmtId="0" fontId="39" fillId="21" borderId="217" applyNumberFormat="0" applyAlignment="0" applyProtection="0"/>
    <xf numFmtId="0" fontId="8" fillId="24" borderId="218" applyNumberFormat="0" applyFont="0" applyAlignment="0" applyProtection="0"/>
    <xf numFmtId="0" fontId="32" fillId="36" borderId="217" applyNumberFormat="0" applyAlignment="0" applyProtection="0"/>
    <xf numFmtId="0" fontId="50" fillId="0" borderId="220" applyNumberFormat="0" applyFill="0" applyAlignment="0" applyProtection="0"/>
    <xf numFmtId="0" fontId="45" fillId="36" borderId="219" applyNumberFormat="0" applyAlignment="0" applyProtection="0"/>
    <xf numFmtId="0" fontId="45" fillId="36" borderId="219" applyNumberFormat="0" applyAlignment="0" applyProtection="0"/>
    <xf numFmtId="0" fontId="50" fillId="0" borderId="221" applyNumberFormat="0" applyFill="0" applyAlignment="0" applyProtection="0"/>
    <xf numFmtId="0" fontId="39" fillId="27" borderId="217" applyNumberFormat="0" applyAlignment="0" applyProtection="0"/>
    <xf numFmtId="0" fontId="8" fillId="24" borderId="218" applyNumberFormat="0" applyFont="0" applyAlignment="0" applyProtection="0"/>
    <xf numFmtId="0" fontId="39" fillId="21" borderId="217" applyNumberFormat="0" applyAlignment="0" applyProtection="0"/>
    <xf numFmtId="0" fontId="8" fillId="24" borderId="218" applyNumberFormat="0" applyFont="0" applyAlignment="0" applyProtection="0"/>
    <xf numFmtId="0" fontId="32" fillId="36" borderId="217" applyNumberFormat="0" applyAlignment="0" applyProtection="0"/>
    <xf numFmtId="0" fontId="50" fillId="0" borderId="220" applyNumberFormat="0" applyFill="0" applyAlignment="0" applyProtection="0"/>
    <xf numFmtId="0" fontId="45" fillId="37" borderId="219" applyNumberFormat="0" applyAlignment="0" applyProtection="0"/>
    <xf numFmtId="0" fontId="39" fillId="21" borderId="217" applyNumberFormat="0" applyAlignment="0" applyProtection="0"/>
    <xf numFmtId="0" fontId="32" fillId="36" borderId="217" applyNumberFormat="0" applyAlignment="0" applyProtection="0"/>
    <xf numFmtId="0" fontId="39" fillId="21" borderId="217" applyNumberFormat="0" applyAlignment="0" applyProtection="0"/>
    <xf numFmtId="0" fontId="45" fillId="36" borderId="219" applyNumberFormat="0" applyAlignment="0" applyProtection="0"/>
    <xf numFmtId="0" fontId="8" fillId="24" borderId="218" applyNumberFormat="0" applyFont="0" applyAlignment="0" applyProtection="0"/>
    <xf numFmtId="0" fontId="32" fillId="36" borderId="217" applyNumberFormat="0" applyAlignment="0" applyProtection="0"/>
    <xf numFmtId="0" fontId="50" fillId="0" borderId="221" applyNumberFormat="0" applyFill="0" applyAlignment="0" applyProtection="0"/>
    <xf numFmtId="0" fontId="39" fillId="21" borderId="217" applyNumberFormat="0" applyAlignment="0" applyProtection="0"/>
    <xf numFmtId="0" fontId="50" fillId="0" borderId="220" applyNumberFormat="0" applyFill="0" applyAlignment="0" applyProtection="0"/>
    <xf numFmtId="0" fontId="8" fillId="24" borderId="218" applyNumberFormat="0" applyFont="0" applyAlignment="0" applyProtection="0"/>
    <xf numFmtId="0" fontId="32" fillId="36" borderId="217" applyNumberFormat="0" applyAlignment="0" applyProtection="0"/>
    <xf numFmtId="0" fontId="33" fillId="37" borderId="217" applyNumberFormat="0" applyAlignment="0" applyProtection="0"/>
    <xf numFmtId="0" fontId="45" fillId="37" borderId="219" applyNumberFormat="0" applyAlignment="0" applyProtection="0"/>
    <xf numFmtId="0" fontId="45" fillId="36" borderId="219" applyNumberFormat="0" applyAlignment="0" applyProtection="0"/>
    <xf numFmtId="0" fontId="32" fillId="36" borderId="217" applyNumberFormat="0" applyAlignment="0" applyProtection="0"/>
    <xf numFmtId="0" fontId="32" fillId="36" borderId="217" applyNumberFormat="0" applyAlignment="0" applyProtection="0"/>
    <xf numFmtId="0" fontId="45" fillId="37" borderId="219" applyNumberFormat="0" applyAlignment="0" applyProtection="0"/>
    <xf numFmtId="0" fontId="8" fillId="24" borderId="218" applyNumberFormat="0" applyFont="0" applyAlignment="0" applyProtection="0"/>
    <xf numFmtId="0" fontId="45" fillId="36" borderId="219" applyNumberFormat="0" applyAlignment="0" applyProtection="0"/>
    <xf numFmtId="0" fontId="45" fillId="36" borderId="219" applyNumberFormat="0" applyAlignment="0" applyProtection="0"/>
    <xf numFmtId="0" fontId="33" fillId="37" borderId="217" applyNumberFormat="0" applyAlignment="0" applyProtection="0"/>
    <xf numFmtId="0" fontId="2" fillId="24" borderId="218" applyNumberFormat="0" applyFont="0" applyAlignment="0" applyProtection="0"/>
    <xf numFmtId="0" fontId="39" fillId="21" borderId="217" applyNumberFormat="0" applyAlignment="0" applyProtection="0"/>
    <xf numFmtId="0" fontId="39" fillId="21" borderId="217" applyNumberFormat="0" applyAlignment="0" applyProtection="0"/>
    <xf numFmtId="0" fontId="50" fillId="0" borderId="221" applyNumberFormat="0" applyFill="0" applyAlignment="0" applyProtection="0"/>
    <xf numFmtId="0" fontId="32" fillId="36" borderId="217" applyNumberFormat="0" applyAlignment="0" applyProtection="0"/>
    <xf numFmtId="0" fontId="39" fillId="21" borderId="217" applyNumberFormat="0" applyAlignment="0" applyProtection="0"/>
    <xf numFmtId="0" fontId="2" fillId="24" borderId="218" applyNumberFormat="0" applyFont="0" applyAlignment="0" applyProtection="0"/>
    <xf numFmtId="0" fontId="33" fillId="37" borderId="217" applyNumberFormat="0" applyAlignment="0" applyProtection="0"/>
    <xf numFmtId="0" fontId="33" fillId="37" borderId="217" applyNumberFormat="0" applyAlignment="0" applyProtection="0"/>
    <xf numFmtId="0" fontId="32" fillId="36" borderId="217" applyNumberFormat="0" applyAlignment="0" applyProtection="0"/>
    <xf numFmtId="0" fontId="45" fillId="36" borderId="219" applyNumberFormat="0" applyAlignment="0" applyProtection="0"/>
    <xf numFmtId="0" fontId="45" fillId="36" borderId="219" applyNumberFormat="0" applyAlignment="0" applyProtection="0"/>
    <xf numFmtId="0" fontId="45" fillId="37" borderId="219" applyNumberFormat="0" applyAlignment="0" applyProtection="0"/>
    <xf numFmtId="0" fontId="2" fillId="24" borderId="218" applyNumberFormat="0" applyFont="0" applyAlignment="0" applyProtection="0"/>
    <xf numFmtId="0" fontId="39" fillId="21" borderId="217" applyNumberFormat="0" applyAlignment="0" applyProtection="0"/>
    <xf numFmtId="0" fontId="33" fillId="37" borderId="217" applyNumberFormat="0" applyAlignment="0" applyProtection="0"/>
    <xf numFmtId="0" fontId="45" fillId="37" borderId="219" applyNumberFormat="0" applyAlignment="0" applyProtection="0"/>
    <xf numFmtId="0" fontId="32" fillId="36" borderId="217" applyNumberFormat="0" applyAlignment="0" applyProtection="0"/>
    <xf numFmtId="0" fontId="32" fillId="36" borderId="217" applyNumberFormat="0" applyAlignment="0" applyProtection="0"/>
    <xf numFmtId="0" fontId="45" fillId="37" borderId="219" applyNumberFormat="0" applyAlignment="0" applyProtection="0"/>
    <xf numFmtId="0" fontId="39" fillId="27" borderId="217" applyNumberFormat="0" applyAlignment="0" applyProtection="0"/>
    <xf numFmtId="0" fontId="39" fillId="27" borderId="217" applyNumberFormat="0" applyAlignment="0" applyProtection="0"/>
    <xf numFmtId="0" fontId="2" fillId="24" borderId="218" applyNumberFormat="0" applyFont="0" applyAlignment="0" applyProtection="0"/>
    <xf numFmtId="0" fontId="32" fillId="36" borderId="217" applyNumberFormat="0" applyAlignment="0" applyProtection="0"/>
    <xf numFmtId="0" fontId="45" fillId="37" borderId="219" applyNumberFormat="0" applyAlignment="0" applyProtection="0"/>
    <xf numFmtId="0" fontId="39" fillId="21" borderId="217" applyNumberFormat="0" applyAlignment="0" applyProtection="0"/>
    <xf numFmtId="0" fontId="32" fillId="36" borderId="217" applyNumberFormat="0" applyAlignment="0" applyProtection="0"/>
    <xf numFmtId="0" fontId="39" fillId="21" borderId="217" applyNumberFormat="0" applyAlignment="0" applyProtection="0"/>
    <xf numFmtId="0" fontId="39" fillId="21" borderId="217" applyNumberFormat="0" applyAlignment="0" applyProtection="0"/>
    <xf numFmtId="0" fontId="50" fillId="0" borderId="220" applyNumberFormat="0" applyFill="0" applyAlignment="0" applyProtection="0"/>
    <xf numFmtId="0" fontId="39" fillId="27" borderId="217" applyNumberFormat="0" applyAlignment="0" applyProtection="0"/>
    <xf numFmtId="0" fontId="39" fillId="21" borderId="217" applyNumberFormat="0" applyAlignment="0" applyProtection="0"/>
    <xf numFmtId="0" fontId="32" fillId="36" borderId="217" applyNumberFormat="0" applyAlignment="0" applyProtection="0"/>
    <xf numFmtId="0" fontId="39" fillId="27" borderId="217" applyNumberFormat="0" applyAlignment="0" applyProtection="0"/>
    <xf numFmtId="0" fontId="32" fillId="36" borderId="217" applyNumberFormat="0" applyAlignment="0" applyProtection="0"/>
    <xf numFmtId="0" fontId="39" fillId="21" borderId="217" applyNumberFormat="0" applyAlignment="0" applyProtection="0"/>
    <xf numFmtId="0" fontId="45" fillId="36" borderId="219" applyNumberFormat="0" applyAlignment="0" applyProtection="0"/>
    <xf numFmtId="0" fontId="45" fillId="37" borderId="219" applyNumberFormat="0" applyAlignment="0" applyProtection="0"/>
    <xf numFmtId="0" fontId="39" fillId="27" borderId="217" applyNumberFormat="0" applyAlignment="0" applyProtection="0"/>
    <xf numFmtId="0" fontId="50" fillId="0" borderId="221" applyNumberFormat="0" applyFill="0" applyAlignment="0" applyProtection="0"/>
    <xf numFmtId="0" fontId="8" fillId="24" borderId="218" applyNumberFormat="0" applyFont="0" applyAlignment="0" applyProtection="0"/>
    <xf numFmtId="0" fontId="45" fillId="37" borderId="219" applyNumberFormat="0" applyAlignment="0" applyProtection="0"/>
    <xf numFmtId="0" fontId="50" fillId="0" borderId="221" applyNumberFormat="0" applyFill="0" applyAlignment="0" applyProtection="0"/>
    <xf numFmtId="0" fontId="39" fillId="27" borderId="217" applyNumberFormat="0" applyAlignment="0" applyProtection="0"/>
    <xf numFmtId="0" fontId="50" fillId="0" borderId="221" applyNumberFormat="0" applyFill="0" applyAlignment="0" applyProtection="0"/>
    <xf numFmtId="0" fontId="45" fillId="36" borderId="219" applyNumberFormat="0" applyAlignment="0" applyProtection="0"/>
    <xf numFmtId="0" fontId="2" fillId="24" borderId="218" applyNumberFormat="0" applyFont="0" applyAlignment="0" applyProtection="0"/>
    <xf numFmtId="0" fontId="39" fillId="27" borderId="217" applyNumberFormat="0" applyAlignment="0" applyProtection="0"/>
    <xf numFmtId="0" fontId="45" fillId="37" borderId="219" applyNumberFormat="0" applyAlignment="0" applyProtection="0"/>
    <xf numFmtId="0" fontId="45" fillId="36" borderId="219" applyNumberFormat="0" applyAlignment="0" applyProtection="0"/>
    <xf numFmtId="0" fontId="2" fillId="24" borderId="218" applyNumberFormat="0" applyFont="0" applyAlignment="0" applyProtection="0"/>
    <xf numFmtId="0" fontId="32" fillId="36" borderId="217" applyNumberFormat="0" applyAlignment="0" applyProtection="0"/>
    <xf numFmtId="0" fontId="45" fillId="36" borderId="219" applyNumberFormat="0" applyAlignment="0" applyProtection="0"/>
    <xf numFmtId="0" fontId="32" fillId="36" borderId="217" applyNumberFormat="0" applyAlignment="0" applyProtection="0"/>
    <xf numFmtId="0" fontId="50" fillId="0" borderId="220" applyNumberFormat="0" applyFill="0" applyAlignment="0" applyProtection="0"/>
    <xf numFmtId="0" fontId="50" fillId="0" borderId="220" applyNumberFormat="0" applyFill="0" applyAlignment="0" applyProtection="0"/>
    <xf numFmtId="0" fontId="32" fillId="36" borderId="217" applyNumberFormat="0" applyAlignment="0" applyProtection="0"/>
    <xf numFmtId="0" fontId="32" fillId="36" borderId="217" applyNumberFormat="0" applyAlignment="0" applyProtection="0"/>
    <xf numFmtId="0" fontId="50" fillId="0" borderId="220" applyNumberFormat="0" applyFill="0" applyAlignment="0" applyProtection="0"/>
    <xf numFmtId="0" fontId="8" fillId="24" borderId="218" applyNumberFormat="0" applyFont="0" applyAlignment="0" applyProtection="0"/>
    <xf numFmtId="0" fontId="45" fillId="37" borderId="219" applyNumberFormat="0" applyAlignment="0" applyProtection="0"/>
    <xf numFmtId="0" fontId="39" fillId="21" borderId="217" applyNumberFormat="0" applyAlignment="0" applyProtection="0"/>
    <xf numFmtId="0" fontId="2" fillId="24" borderId="218" applyNumberFormat="0" applyFont="0" applyAlignment="0" applyProtection="0"/>
    <xf numFmtId="0" fontId="8" fillId="24" borderId="218" applyNumberFormat="0" applyFont="0" applyAlignment="0" applyProtection="0"/>
    <xf numFmtId="0" fontId="32" fillId="36" borderId="217" applyNumberFormat="0" applyAlignment="0" applyProtection="0"/>
    <xf numFmtId="0" fontId="39" fillId="21" borderId="217" applyNumberFormat="0" applyAlignment="0" applyProtection="0"/>
    <xf numFmtId="0" fontId="50" fillId="0" borderId="221" applyNumberFormat="0" applyFill="0" applyAlignment="0" applyProtection="0"/>
    <xf numFmtId="0" fontId="32" fillId="36" borderId="217" applyNumberFormat="0" applyAlignment="0" applyProtection="0"/>
    <xf numFmtId="0" fontId="50" fillId="0" borderId="221" applyNumberFormat="0" applyFill="0" applyAlignment="0" applyProtection="0"/>
    <xf numFmtId="0" fontId="2" fillId="24" borderId="218" applyNumberFormat="0" applyFont="0" applyAlignment="0" applyProtection="0"/>
    <xf numFmtId="0" fontId="2" fillId="24" borderId="218" applyNumberFormat="0" applyFont="0" applyAlignment="0" applyProtection="0"/>
    <xf numFmtId="0" fontId="8" fillId="24" borderId="218" applyNumberFormat="0" applyFont="0" applyAlignment="0" applyProtection="0"/>
    <xf numFmtId="0" fontId="39" fillId="27" borderId="217" applyNumberFormat="0" applyAlignment="0" applyProtection="0"/>
    <xf numFmtId="0" fontId="45" fillId="36" borderId="219" applyNumberFormat="0" applyAlignment="0" applyProtection="0"/>
    <xf numFmtId="0" fontId="50" fillId="0" borderId="221" applyNumberFormat="0" applyFill="0" applyAlignment="0" applyProtection="0"/>
    <xf numFmtId="0" fontId="39" fillId="21" borderId="217" applyNumberFormat="0" applyAlignment="0" applyProtection="0"/>
    <xf numFmtId="0" fontId="8" fillId="24" borderId="218" applyNumberFormat="0" applyFont="0" applyAlignment="0" applyProtection="0"/>
    <xf numFmtId="0" fontId="32" fillId="36" borderId="217" applyNumberFormat="0" applyAlignment="0" applyProtection="0"/>
    <xf numFmtId="0" fontId="33" fillId="37" borderId="217" applyNumberFormat="0" applyAlignment="0" applyProtection="0"/>
    <xf numFmtId="0" fontId="8" fillId="24" borderId="218" applyNumberFormat="0" applyFont="0" applyAlignment="0" applyProtection="0"/>
    <xf numFmtId="0" fontId="45" fillId="36" borderId="219" applyNumberFormat="0" applyAlignment="0" applyProtection="0"/>
    <xf numFmtId="0" fontId="50" fillId="0" borderId="221" applyNumberFormat="0" applyFill="0" applyAlignment="0" applyProtection="0"/>
    <xf numFmtId="0" fontId="39" fillId="21" borderId="217" applyNumberFormat="0" applyAlignment="0" applyProtection="0"/>
    <xf numFmtId="0" fontId="8" fillId="24" borderId="218" applyNumberFormat="0" applyFont="0" applyAlignment="0" applyProtection="0"/>
    <xf numFmtId="0" fontId="32" fillId="36" borderId="217" applyNumberFormat="0" applyAlignment="0" applyProtection="0"/>
    <xf numFmtId="0" fontId="33" fillId="37" borderId="217" applyNumberFormat="0" applyAlignment="0" applyProtection="0"/>
    <xf numFmtId="0" fontId="45" fillId="36" borderId="219" applyNumberFormat="0" applyAlignment="0" applyProtection="0"/>
    <xf numFmtId="0" fontId="39" fillId="21" borderId="217" applyNumberFormat="0" applyAlignment="0" applyProtection="0"/>
    <xf numFmtId="0" fontId="8" fillId="24" borderId="218" applyNumberFormat="0" applyFont="0" applyAlignment="0" applyProtection="0"/>
    <xf numFmtId="0" fontId="32" fillId="36" borderId="217" applyNumberFormat="0" applyAlignment="0" applyProtection="0"/>
    <xf numFmtId="0" fontId="33" fillId="37" borderId="217" applyNumberFormat="0" applyAlignment="0" applyProtection="0"/>
    <xf numFmtId="0" fontId="45" fillId="36" borderId="219" applyNumberFormat="0" applyAlignment="0" applyProtection="0"/>
    <xf numFmtId="0" fontId="39" fillId="21" borderId="217" applyNumberFormat="0" applyAlignment="0" applyProtection="0"/>
    <xf numFmtId="0" fontId="8" fillId="24" borderId="218" applyNumberFormat="0" applyFont="0" applyAlignment="0" applyProtection="0"/>
    <xf numFmtId="0" fontId="32" fillId="36" borderId="217" applyNumberFormat="0" applyAlignment="0" applyProtection="0"/>
    <xf numFmtId="0" fontId="33" fillId="37" borderId="217" applyNumberFormat="0" applyAlignment="0" applyProtection="0"/>
    <xf numFmtId="0" fontId="45" fillId="36" borderId="219" applyNumberFormat="0" applyAlignment="0" applyProtection="0"/>
    <xf numFmtId="0" fontId="39" fillId="21" borderId="217" applyNumberFormat="0" applyAlignment="0" applyProtection="0"/>
    <xf numFmtId="0" fontId="8" fillId="24" borderId="218" applyNumberFormat="0" applyFont="0" applyAlignment="0" applyProtection="0"/>
    <xf numFmtId="0" fontId="32" fillId="36" borderId="217" applyNumberFormat="0" applyAlignment="0" applyProtection="0"/>
    <xf numFmtId="0" fontId="33" fillId="37" borderId="217" applyNumberFormat="0" applyAlignment="0" applyProtection="0"/>
    <xf numFmtId="0" fontId="45" fillId="36" borderId="219" applyNumberFormat="0" applyAlignment="0" applyProtection="0"/>
    <xf numFmtId="0" fontId="39" fillId="21" borderId="217" applyNumberFormat="0" applyAlignment="0" applyProtection="0"/>
    <xf numFmtId="0" fontId="8" fillId="24" borderId="218" applyNumberFormat="0" applyFont="0" applyAlignment="0" applyProtection="0"/>
    <xf numFmtId="0" fontId="32" fillId="36" borderId="217" applyNumberFormat="0" applyAlignment="0" applyProtection="0"/>
    <xf numFmtId="0" fontId="45" fillId="36" borderId="219" applyNumberFormat="0" applyAlignment="0" applyProtection="0"/>
    <xf numFmtId="0" fontId="39" fillId="21" borderId="217" applyNumberFormat="0" applyAlignment="0" applyProtection="0"/>
    <xf numFmtId="0" fontId="8" fillId="24" borderId="218" applyNumberFormat="0" applyFont="0" applyAlignment="0" applyProtection="0"/>
    <xf numFmtId="0" fontId="32" fillId="36" borderId="217" applyNumberFormat="0" applyAlignment="0" applyProtection="0"/>
    <xf numFmtId="0" fontId="45" fillId="36" borderId="219" applyNumberFormat="0" applyAlignment="0" applyProtection="0"/>
    <xf numFmtId="0" fontId="39" fillId="21" borderId="217" applyNumberFormat="0" applyAlignment="0" applyProtection="0"/>
    <xf numFmtId="0" fontId="8" fillId="24" borderId="218" applyNumberFormat="0" applyFont="0" applyAlignment="0" applyProtection="0"/>
    <xf numFmtId="0" fontId="32" fillId="36" borderId="217" applyNumberFormat="0" applyAlignment="0" applyProtection="0"/>
    <xf numFmtId="0" fontId="39" fillId="21" borderId="217" applyNumberFormat="0" applyAlignment="0" applyProtection="0"/>
    <xf numFmtId="0" fontId="8" fillId="24" borderId="218" applyNumberFormat="0" applyFont="0" applyAlignment="0" applyProtection="0"/>
    <xf numFmtId="0" fontId="32" fillId="36" borderId="217" applyNumberFormat="0" applyAlignment="0" applyProtection="0"/>
    <xf numFmtId="0" fontId="39" fillId="21" borderId="217" applyNumberFormat="0" applyAlignment="0" applyProtection="0"/>
    <xf numFmtId="0" fontId="32" fillId="36" borderId="217" applyNumberFormat="0" applyAlignment="0" applyProtection="0"/>
    <xf numFmtId="0" fontId="39" fillId="21" borderId="217" applyNumberFormat="0" applyAlignment="0" applyProtection="0"/>
    <xf numFmtId="0" fontId="32" fillId="36" borderId="217" applyNumberFormat="0" applyAlignment="0" applyProtection="0"/>
    <xf numFmtId="0" fontId="32" fillId="36" borderId="217" applyNumberFormat="0" applyAlignment="0" applyProtection="0"/>
    <xf numFmtId="165" fontId="1" fillId="0" borderId="0" applyFont="0" applyFill="0" applyBorder="0" applyAlignment="0" applyProtection="0"/>
    <xf numFmtId="165" fontId="1" fillId="0" borderId="0" applyFont="0" applyFill="0" applyBorder="0" applyAlignment="0" applyProtection="0"/>
  </cellStyleXfs>
  <cellXfs count="1083">
    <xf numFmtId="0" fontId="0" fillId="0" borderId="0" xfId="0"/>
    <xf numFmtId="0" fontId="3" fillId="6" borderId="3" xfId="0" applyFont="1" applyFill="1" applyBorder="1" applyAlignment="1">
      <alignment horizontal="left" vertical="center" wrapText="1"/>
    </xf>
    <xf numFmtId="0" fontId="3" fillId="6" borderId="7" xfId="0" applyFont="1" applyFill="1" applyBorder="1" applyAlignment="1">
      <alignment vertical="center"/>
    </xf>
    <xf numFmtId="0" fontId="3" fillId="6" borderId="11" xfId="0" applyFont="1" applyFill="1" applyBorder="1" applyAlignment="1">
      <alignment vertical="center"/>
    </xf>
    <xf numFmtId="0" fontId="4" fillId="6" borderId="11" xfId="0" applyFont="1" applyFill="1" applyBorder="1" applyAlignment="1">
      <alignment horizontal="right" vertical="center"/>
    </xf>
    <xf numFmtId="170" fontId="5" fillId="2" borderId="3" xfId="1" applyNumberFormat="1"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3" xfId="0" applyFont="1" applyFill="1" applyBorder="1" applyAlignment="1">
      <alignment horizontal="justify" vertical="center" wrapText="1"/>
    </xf>
    <xf numFmtId="170" fontId="5" fillId="2" borderId="7" xfId="1" applyNumberFormat="1" applyFont="1" applyFill="1" applyBorder="1" applyAlignment="1">
      <alignment horizontal="center" vertical="center"/>
    </xf>
    <xf numFmtId="0" fontId="6"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170" fontId="5" fillId="0" borderId="7" xfId="1" applyNumberFormat="1" applyFont="1" applyFill="1" applyBorder="1" applyAlignment="1">
      <alignment horizontal="center" vertical="center"/>
    </xf>
    <xf numFmtId="0" fontId="5" fillId="0" borderId="3" xfId="0" applyNumberFormat="1" applyFont="1" applyFill="1" applyBorder="1" applyAlignment="1">
      <alignment horizontal="center" vertical="center" wrapText="1"/>
    </xf>
    <xf numFmtId="0" fontId="5" fillId="6" borderId="3" xfId="0" applyFont="1" applyFill="1" applyBorder="1" applyAlignment="1">
      <alignment horizontal="justify" vertical="center" wrapText="1"/>
    </xf>
    <xf numFmtId="170" fontId="5" fillId="0" borderId="3" xfId="1" applyNumberFormat="1" applyFont="1" applyFill="1" applyBorder="1" applyAlignment="1">
      <alignment horizontal="center" vertical="center"/>
    </xf>
    <xf numFmtId="0" fontId="5" fillId="0" borderId="7" xfId="0" applyNumberFormat="1" applyFont="1" applyFill="1" applyBorder="1" applyAlignment="1">
      <alignment horizontal="center" vertical="center" wrapText="1"/>
    </xf>
    <xf numFmtId="170" fontId="5" fillId="2" borderId="3" xfId="1" applyNumberFormat="1" applyFont="1" applyFill="1" applyBorder="1" applyAlignment="1">
      <alignment horizontal="center" vertical="center" wrapText="1"/>
    </xf>
    <xf numFmtId="170" fontId="5" fillId="2" borderId="3" xfId="1" applyNumberFormat="1" applyFont="1" applyFill="1" applyBorder="1" applyAlignment="1">
      <alignment horizontal="right" vertical="center"/>
    </xf>
    <xf numFmtId="170" fontId="5" fillId="0" borderId="3" xfId="1" applyNumberFormat="1" applyFont="1" applyFill="1" applyBorder="1" applyAlignment="1">
      <alignment horizontal="right" vertical="center"/>
    </xf>
    <xf numFmtId="0" fontId="3" fillId="0" borderId="13" xfId="0" applyFont="1" applyFill="1" applyBorder="1" applyAlignment="1">
      <alignment vertical="center" wrapText="1"/>
    </xf>
    <xf numFmtId="0" fontId="3" fillId="0" borderId="14" xfId="0" applyFont="1" applyFill="1" applyBorder="1" applyAlignment="1">
      <alignment vertical="center" wrapText="1"/>
    </xf>
    <xf numFmtId="0" fontId="6" fillId="0" borderId="3" xfId="0" applyFont="1" applyFill="1" applyBorder="1" applyAlignment="1">
      <alignment horizontal="center" vertical="center" wrapText="1"/>
    </xf>
    <xf numFmtId="0" fontId="3" fillId="0" borderId="0" xfId="0" applyFont="1" applyFill="1" applyBorder="1" applyAlignment="1">
      <alignment vertical="center" wrapText="1"/>
    </xf>
    <xf numFmtId="0" fontId="5" fillId="0" borderId="6" xfId="0" applyFont="1" applyFill="1" applyBorder="1" applyAlignment="1">
      <alignment vertical="center" wrapText="1"/>
    </xf>
    <xf numFmtId="0" fontId="5" fillId="0" borderId="3" xfId="0" applyNumberFormat="1" applyFont="1" applyFill="1" applyBorder="1" applyAlignment="1">
      <alignment horizontal="center" vertical="center"/>
    </xf>
    <xf numFmtId="0" fontId="5" fillId="0" borderId="3" xfId="0" applyNumberFormat="1" applyFont="1" applyFill="1" applyBorder="1" applyAlignment="1">
      <alignment horizontal="justify" vertical="center"/>
    </xf>
    <xf numFmtId="170" fontId="5" fillId="0" borderId="3" xfId="2" applyNumberFormat="1" applyFont="1" applyFill="1" applyBorder="1" applyAlignment="1">
      <alignment horizontal="justify" vertical="center"/>
    </xf>
    <xf numFmtId="170" fontId="5" fillId="0" borderId="7" xfId="2" applyNumberFormat="1" applyFont="1" applyFill="1" applyBorder="1" applyAlignment="1">
      <alignment horizontal="justify" vertical="center"/>
    </xf>
    <xf numFmtId="0" fontId="6" fillId="0" borderId="0" xfId="0" applyFont="1" applyFill="1" applyBorder="1"/>
    <xf numFmtId="0" fontId="5" fillId="0" borderId="14" xfId="0" applyFont="1" applyFill="1" applyBorder="1" applyAlignment="1">
      <alignment vertical="center" wrapText="1"/>
    </xf>
    <xf numFmtId="0" fontId="7" fillId="0" borderId="3" xfId="0" applyFont="1" applyFill="1" applyBorder="1" applyAlignment="1">
      <alignment horizontal="right" vertical="center"/>
    </xf>
    <xf numFmtId="0" fontId="5" fillId="0" borderId="10" xfId="0" applyFont="1" applyFill="1" applyBorder="1" applyAlignment="1">
      <alignment vertical="center" wrapText="1"/>
    </xf>
    <xf numFmtId="0" fontId="5" fillId="0" borderId="3" xfId="0" applyFont="1" applyFill="1" applyBorder="1" applyAlignment="1">
      <alignment horizontal="center" vertical="center"/>
    </xf>
    <xf numFmtId="3" fontId="5" fillId="0" borderId="3" xfId="0" applyNumberFormat="1" applyFont="1" applyFill="1" applyBorder="1" applyAlignment="1">
      <alignment horizontal="right" vertical="center" wrapText="1"/>
    </xf>
    <xf numFmtId="9" fontId="5" fillId="0" borderId="6" xfId="0" applyNumberFormat="1" applyFont="1" applyFill="1" applyBorder="1" applyAlignment="1">
      <alignment horizontal="center" vertical="center"/>
    </xf>
    <xf numFmtId="0" fontId="3" fillId="0" borderId="15" xfId="0" applyFont="1" applyFill="1" applyBorder="1" applyAlignment="1">
      <alignment vertical="center" wrapText="1"/>
    </xf>
    <xf numFmtId="0" fontId="5" fillId="0" borderId="2" xfId="0" applyFont="1" applyFill="1" applyBorder="1" applyAlignment="1">
      <alignment horizontal="justify" vertical="center" wrapText="1"/>
    </xf>
    <xf numFmtId="0" fontId="8" fillId="0" borderId="6" xfId="0" applyFont="1" applyFill="1" applyBorder="1" applyAlignment="1">
      <alignment horizontal="center" vertical="center"/>
    </xf>
    <xf numFmtId="0" fontId="7" fillId="0" borderId="3" xfId="0" applyFont="1" applyFill="1" applyBorder="1" applyAlignment="1">
      <alignment horizontal="right" vertical="center" wrapText="1"/>
    </xf>
    <xf numFmtId="170" fontId="5" fillId="0" borderId="3" xfId="2" applyNumberFormat="1" applyFont="1" applyFill="1" applyBorder="1" applyAlignment="1">
      <alignment vertical="center"/>
    </xf>
    <xf numFmtId="170" fontId="5" fillId="0" borderId="3" xfId="2" applyNumberFormat="1" applyFont="1" applyFill="1" applyBorder="1" applyAlignment="1">
      <alignment horizontal="center" vertical="center" wrapText="1"/>
    </xf>
    <xf numFmtId="3" fontId="5" fillId="0" borderId="3" xfId="0" applyNumberFormat="1" applyFont="1" applyFill="1" applyBorder="1" applyAlignment="1">
      <alignment vertical="center" wrapText="1"/>
    </xf>
    <xf numFmtId="3" fontId="6" fillId="0" borderId="3" xfId="0" applyNumberFormat="1" applyFont="1" applyFill="1" applyBorder="1" applyAlignment="1">
      <alignment vertical="center"/>
    </xf>
    <xf numFmtId="0" fontId="5" fillId="0" borderId="10" xfId="0" applyNumberFormat="1" applyFont="1" applyFill="1" applyBorder="1" applyAlignment="1">
      <alignment horizontal="center" vertical="center"/>
    </xf>
    <xf numFmtId="0" fontId="9" fillId="0" borderId="3" xfId="0" applyFont="1" applyFill="1" applyBorder="1" applyAlignment="1">
      <alignment horizontal="left" vertical="center"/>
    </xf>
    <xf numFmtId="170" fontId="5" fillId="0" borderId="10" xfId="2" applyNumberFormat="1" applyFont="1" applyFill="1" applyBorder="1" applyAlignment="1">
      <alignment horizontal="justify" vertical="center"/>
    </xf>
    <xf numFmtId="171" fontId="9" fillId="0" borderId="3" xfId="0" applyNumberFormat="1" applyFont="1" applyFill="1" applyBorder="1" applyAlignment="1">
      <alignment horizontal="left" vertical="center"/>
    </xf>
    <xf numFmtId="170" fontId="9" fillId="0" borderId="3" xfId="0" applyNumberFormat="1" applyFont="1" applyFill="1" applyBorder="1" applyAlignment="1">
      <alignment horizontal="left" vertical="center"/>
    </xf>
    <xf numFmtId="0" fontId="9" fillId="0" borderId="0" xfId="0" applyFont="1" applyFill="1" applyBorder="1" applyAlignment="1">
      <alignment vertical="center"/>
    </xf>
    <xf numFmtId="43" fontId="6" fillId="0" borderId="7" xfId="2" applyFont="1" applyFill="1" applyBorder="1"/>
    <xf numFmtId="43" fontId="6" fillId="0" borderId="0" xfId="0" applyNumberFormat="1" applyFont="1" applyFill="1" applyAlignment="1">
      <alignment vertical="center"/>
    </xf>
    <xf numFmtId="170" fontId="5" fillId="0" borderId="7" xfId="2" applyNumberFormat="1" applyFont="1" applyFill="1" applyBorder="1" applyAlignment="1">
      <alignment vertical="center"/>
    </xf>
    <xf numFmtId="0" fontId="5" fillId="0" borderId="3" xfId="0" applyNumberFormat="1" applyFont="1" applyFill="1" applyBorder="1" applyAlignment="1">
      <alignment horizontal="justify" vertical="center" wrapText="1"/>
    </xf>
    <xf numFmtId="170" fontId="6" fillId="0" borderId="7" xfId="1" applyNumberFormat="1" applyFont="1" applyFill="1" applyBorder="1" applyAlignment="1">
      <alignment horizontal="center" vertical="center"/>
    </xf>
    <xf numFmtId="0" fontId="5" fillId="0" borderId="3" xfId="2" applyNumberFormat="1" applyFont="1" applyFill="1" applyBorder="1" applyAlignment="1">
      <alignment horizontal="center" vertical="center" wrapText="1"/>
    </xf>
    <xf numFmtId="0" fontId="8" fillId="0" borderId="3" xfId="0" applyFont="1" applyFill="1" applyBorder="1" applyAlignment="1">
      <alignment horizontal="justify" vertical="center" wrapText="1"/>
    </xf>
    <xf numFmtId="170" fontId="5" fillId="0" borderId="6" xfId="1" applyNumberFormat="1" applyFont="1" applyFill="1" applyBorder="1" applyAlignment="1">
      <alignment vertical="center"/>
    </xf>
    <xf numFmtId="0" fontId="5" fillId="0" borderId="7" xfId="0" applyNumberFormat="1" applyFont="1" applyFill="1" applyBorder="1" applyAlignment="1">
      <alignment horizontal="center" vertical="center"/>
    </xf>
    <xf numFmtId="3" fontId="5" fillId="0" borderId="3" xfId="0" applyNumberFormat="1" applyFont="1" applyFill="1" applyBorder="1" applyAlignment="1">
      <alignment horizontal="center" vertical="center" wrapText="1"/>
    </xf>
    <xf numFmtId="3" fontId="6" fillId="0" borderId="16" xfId="0" applyNumberFormat="1" applyFont="1" applyFill="1" applyBorder="1" applyAlignment="1">
      <alignment vertical="center"/>
    </xf>
    <xf numFmtId="43" fontId="6" fillId="0" borderId="7" xfId="2" applyFont="1" applyFill="1" applyBorder="1" applyAlignment="1">
      <alignment vertical="center"/>
    </xf>
    <xf numFmtId="3" fontId="5" fillId="0" borderId="6"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1" fontId="6" fillId="0" borderId="17" xfId="0" applyNumberFormat="1" applyFont="1" applyFill="1" applyBorder="1" applyAlignment="1">
      <alignment horizontal="center" vertical="center"/>
    </xf>
    <xf numFmtId="1" fontId="6" fillId="0" borderId="6"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5" fillId="0" borderId="3" xfId="2" applyNumberFormat="1" applyFont="1" applyFill="1" applyBorder="1" applyAlignment="1">
      <alignment horizontal="center" vertical="center"/>
    </xf>
    <xf numFmtId="1" fontId="6" fillId="0" borderId="18" xfId="0" applyNumberFormat="1" applyFont="1" applyFill="1" applyBorder="1" applyAlignment="1">
      <alignment horizontal="center" vertical="center"/>
    </xf>
    <xf numFmtId="0" fontId="6" fillId="0" borderId="10" xfId="0" applyFont="1" applyFill="1" applyBorder="1" applyAlignment="1">
      <alignment horizontal="center" vertical="center"/>
    </xf>
    <xf numFmtId="0" fontId="6" fillId="0" borderId="14" xfId="0" applyFont="1" applyFill="1" applyBorder="1" applyAlignment="1">
      <alignment horizontal="center" vertical="center"/>
    </xf>
    <xf numFmtId="0" fontId="5" fillId="0" borderId="3" xfId="0" applyFont="1" applyFill="1" applyBorder="1" applyAlignment="1">
      <alignment horizontal="justify" vertical="center"/>
    </xf>
    <xf numFmtId="0" fontId="5" fillId="0" borderId="9" xfId="0" applyFont="1" applyFill="1" applyBorder="1" applyAlignment="1">
      <alignment horizontal="center" vertical="top" wrapText="1"/>
    </xf>
    <xf numFmtId="0" fontId="5" fillId="0" borderId="3" xfId="0" applyFont="1" applyFill="1" applyBorder="1" applyAlignment="1">
      <alignment horizontal="justify" vertical="top" wrapText="1"/>
    </xf>
    <xf numFmtId="0" fontId="5" fillId="0" borderId="10" xfId="0" applyFont="1" applyFill="1" applyBorder="1" applyAlignment="1">
      <alignment horizontal="center" vertical="top" wrapText="1"/>
    </xf>
    <xf numFmtId="2" fontId="5" fillId="0" borderId="10" xfId="0" applyNumberFormat="1" applyFont="1" applyFill="1" applyBorder="1" applyAlignment="1">
      <alignment horizontal="center" vertical="center" wrapText="1"/>
    </xf>
    <xf numFmtId="43" fontId="5" fillId="0" borderId="3" xfId="2" applyFont="1" applyFill="1" applyBorder="1" applyAlignment="1">
      <alignment horizontal="center" vertical="center"/>
    </xf>
    <xf numFmtId="170" fontId="5" fillId="0" borderId="3" xfId="3" applyNumberFormat="1" applyFont="1" applyFill="1" applyBorder="1" applyAlignment="1">
      <alignment horizontal="center" vertical="center"/>
    </xf>
    <xf numFmtId="0" fontId="6" fillId="0" borderId="3" xfId="0" applyFont="1" applyFill="1" applyBorder="1"/>
    <xf numFmtId="0" fontId="3" fillId="0" borderId="3" xfId="0" applyFont="1" applyFill="1" applyBorder="1" applyAlignment="1">
      <alignment horizontal="justify" vertical="center" wrapText="1"/>
    </xf>
    <xf numFmtId="170" fontId="5" fillId="0" borderId="4" xfId="1" applyNumberFormat="1" applyFont="1" applyFill="1" applyBorder="1" applyAlignment="1">
      <alignment horizontal="center" vertical="center"/>
    </xf>
    <xf numFmtId="9" fontId="5" fillId="0" borderId="3" xfId="0" applyNumberFormat="1" applyFont="1" applyFill="1" applyBorder="1" applyAlignment="1">
      <alignment horizontal="center" vertical="center" wrapText="1"/>
    </xf>
    <xf numFmtId="170" fontId="5" fillId="0" borderId="6" xfId="2" applyNumberFormat="1" applyFont="1" applyFill="1" applyBorder="1" applyAlignment="1">
      <alignment horizontal="justify" vertical="center"/>
    </xf>
    <xf numFmtId="170" fontId="5" fillId="0" borderId="4" xfId="2" applyNumberFormat="1" applyFont="1" applyFill="1" applyBorder="1" applyAlignment="1">
      <alignment horizontal="justify" vertical="center"/>
    </xf>
    <xf numFmtId="170" fontId="5" fillId="0" borderId="6" xfId="2" applyNumberFormat="1" applyFont="1" applyFill="1" applyBorder="1" applyAlignment="1">
      <alignment vertical="center"/>
    </xf>
    <xf numFmtId="10" fontId="5" fillId="0" borderId="3" xfId="0" applyNumberFormat="1" applyFont="1" applyFill="1" applyBorder="1" applyAlignment="1">
      <alignment horizontal="center" vertical="center" wrapText="1"/>
    </xf>
    <xf numFmtId="170" fontId="5" fillId="0" borderId="13" xfId="2" applyNumberFormat="1" applyFont="1" applyFill="1" applyBorder="1" applyAlignment="1">
      <alignment horizontal="justify" vertical="center"/>
    </xf>
    <xf numFmtId="170" fontId="3" fillId="0" borderId="3" xfId="2" applyNumberFormat="1" applyFont="1" applyFill="1" applyBorder="1" applyAlignment="1">
      <alignment horizontal="justify" vertical="center"/>
    </xf>
    <xf numFmtId="0" fontId="5" fillId="0" borderId="3" xfId="0" applyFont="1" applyFill="1" applyBorder="1" applyAlignment="1">
      <alignment vertical="center" wrapText="1"/>
    </xf>
    <xf numFmtId="3" fontId="5" fillId="0" borderId="3" xfId="0" applyNumberFormat="1" applyFont="1" applyFill="1" applyBorder="1" applyAlignment="1">
      <alignment horizontal="center" vertical="center"/>
    </xf>
    <xf numFmtId="0" fontId="6" fillId="0" borderId="3" xfId="0" applyFont="1" applyFill="1" applyBorder="1" applyAlignment="1"/>
    <xf numFmtId="10" fontId="5" fillId="0" borderId="3" xfId="0" applyNumberFormat="1" applyFont="1" applyFill="1" applyBorder="1" applyAlignment="1">
      <alignment vertical="center" wrapText="1"/>
    </xf>
    <xf numFmtId="0" fontId="5" fillId="0" borderId="5" xfId="0" applyFont="1" applyFill="1" applyBorder="1" applyAlignment="1">
      <alignment horizontal="justify" vertical="center" wrapText="1"/>
    </xf>
    <xf numFmtId="0" fontId="5" fillId="0" borderId="5" xfId="0" applyNumberFormat="1" applyFont="1" applyFill="1" applyBorder="1" applyAlignment="1">
      <alignment horizontal="center" vertical="center" wrapText="1"/>
    </xf>
    <xf numFmtId="3" fontId="6" fillId="0" borderId="3" xfId="0" applyNumberFormat="1" applyFont="1" applyFill="1" applyBorder="1" applyAlignment="1">
      <alignment horizontal="center" vertical="center"/>
    </xf>
    <xf numFmtId="170" fontId="5" fillId="0" borderId="14" xfId="2" applyNumberFormat="1" applyFont="1" applyFill="1" applyBorder="1" applyAlignment="1">
      <alignment vertical="center"/>
    </xf>
    <xf numFmtId="0" fontId="5" fillId="0" borderId="15" xfId="0" applyFont="1" applyFill="1" applyBorder="1" applyAlignment="1">
      <alignment horizontal="justify" vertical="center" wrapText="1"/>
    </xf>
    <xf numFmtId="10" fontId="5" fillId="0" borderId="15" xfId="0" applyNumberFormat="1" applyFont="1" applyFill="1" applyBorder="1" applyAlignment="1">
      <alignment horizontal="center" vertical="center" wrapText="1"/>
    </xf>
    <xf numFmtId="0" fontId="5" fillId="0" borderId="15" xfId="0" applyNumberFormat="1" applyFont="1" applyFill="1" applyBorder="1" applyAlignment="1">
      <alignment horizontal="center" vertical="center" wrapText="1"/>
    </xf>
    <xf numFmtId="0" fontId="6" fillId="0" borderId="14" xfId="0" applyFont="1" applyFill="1" applyBorder="1" applyAlignment="1">
      <alignment horizontal="center"/>
    </xf>
    <xf numFmtId="0" fontId="6" fillId="0" borderId="14" xfId="0" applyFont="1" applyFill="1" applyBorder="1"/>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175" fontId="6" fillId="0" borderId="3" xfId="0" applyNumberFormat="1" applyFont="1" applyFill="1" applyBorder="1" applyAlignment="1">
      <alignment vertical="center"/>
    </xf>
    <xf numFmtId="10" fontId="5" fillId="0" borderId="14" xfId="0" applyNumberFormat="1" applyFont="1" applyFill="1" applyBorder="1" applyAlignment="1">
      <alignment vertical="center" wrapText="1"/>
    </xf>
    <xf numFmtId="0" fontId="5" fillId="0" borderId="9" xfId="0" applyFont="1" applyFill="1" applyBorder="1" applyAlignment="1">
      <alignment vertical="center" wrapText="1"/>
    </xf>
    <xf numFmtId="0" fontId="6" fillId="0" borderId="6" xfId="0" applyFont="1" applyFill="1" applyBorder="1" applyAlignment="1">
      <alignment horizontal="center" vertical="center"/>
    </xf>
    <xf numFmtId="0" fontId="5" fillId="6" borderId="10" xfId="0" applyNumberFormat="1" applyFont="1" applyFill="1" applyBorder="1" applyAlignment="1">
      <alignment horizontal="center" vertical="center" wrapText="1"/>
    </xf>
    <xf numFmtId="170" fontId="5" fillId="0" borderId="0" xfId="2" applyNumberFormat="1" applyFont="1" applyFill="1" applyBorder="1" applyAlignment="1">
      <alignment horizontal="justify" vertical="center"/>
    </xf>
    <xf numFmtId="0" fontId="9" fillId="0" borderId="10" xfId="0" applyFont="1" applyFill="1" applyBorder="1" applyAlignment="1">
      <alignment horizontal="left" vertical="center"/>
    </xf>
    <xf numFmtId="0" fontId="3" fillId="6" borderId="2" xfId="0" applyFont="1" applyFill="1" applyBorder="1" applyAlignment="1">
      <alignment vertical="center"/>
    </xf>
    <xf numFmtId="170" fontId="5" fillId="0" borderId="14" xfId="2" applyNumberFormat="1" applyFont="1" applyFill="1" applyBorder="1" applyAlignment="1">
      <alignment horizontal="justify" vertical="center"/>
    </xf>
    <xf numFmtId="172" fontId="3" fillId="6" borderId="11" xfId="1" applyNumberFormat="1" applyFont="1" applyFill="1" applyBorder="1" applyAlignment="1">
      <alignment horizontal="center" vertical="center"/>
    </xf>
    <xf numFmtId="172" fontId="5" fillId="0" borderId="3" xfId="1" applyNumberFormat="1" applyFont="1" applyFill="1" applyBorder="1" applyAlignment="1">
      <alignment horizontal="center" vertical="center"/>
    </xf>
    <xf numFmtId="172" fontId="5" fillId="0" borderId="3" xfId="1" applyNumberFormat="1" applyFont="1" applyFill="1" applyBorder="1" applyAlignment="1">
      <alignment horizontal="center" vertical="center" wrapText="1"/>
    </xf>
    <xf numFmtId="172" fontId="5" fillId="0" borderId="7" xfId="1" applyNumberFormat="1" applyFont="1" applyFill="1" applyBorder="1" applyAlignment="1">
      <alignment horizontal="center" vertical="center"/>
    </xf>
    <xf numFmtId="172" fontId="6" fillId="0" borderId="3" xfId="1" applyNumberFormat="1" applyFont="1" applyFill="1" applyBorder="1" applyAlignment="1">
      <alignment horizontal="center" vertical="center"/>
    </xf>
    <xf numFmtId="172" fontId="5" fillId="2" borderId="3" xfId="1" applyNumberFormat="1" applyFont="1" applyFill="1" applyBorder="1" applyAlignment="1">
      <alignment horizontal="center" vertical="center"/>
    </xf>
    <xf numFmtId="172" fontId="5" fillId="0" borderId="6" xfId="1" applyNumberFormat="1" applyFont="1" applyFill="1" applyBorder="1" applyAlignment="1">
      <alignment horizontal="center" vertical="center"/>
    </xf>
    <xf numFmtId="172" fontId="6" fillId="0" borderId="3" xfId="1" applyNumberFormat="1" applyFont="1" applyFill="1" applyBorder="1" applyAlignment="1">
      <alignment horizontal="center"/>
    </xf>
    <xf numFmtId="172" fontId="5" fillId="0" borderId="14" xfId="1" applyNumberFormat="1" applyFont="1" applyFill="1" applyBorder="1" applyAlignment="1">
      <alignment horizontal="center" vertical="center"/>
    </xf>
    <xf numFmtId="172" fontId="5" fillId="2" borderId="7" xfId="1" applyNumberFormat="1" applyFont="1" applyFill="1" applyBorder="1" applyAlignment="1">
      <alignment horizontal="center" vertical="center"/>
    </xf>
    <xf numFmtId="0" fontId="5" fillId="6" borderId="10" xfId="0" applyFont="1" applyFill="1" applyBorder="1" applyAlignment="1">
      <alignment horizontal="justify" vertical="center" wrapText="1"/>
    </xf>
    <xf numFmtId="0" fontId="7" fillId="6" borderId="10" xfId="0" applyFont="1" applyFill="1" applyBorder="1" applyAlignment="1">
      <alignment horizontal="right" vertical="center" wrapText="1"/>
    </xf>
    <xf numFmtId="0" fontId="5" fillId="6" borderId="10" xfId="0" applyFont="1" applyFill="1" applyBorder="1" applyAlignment="1">
      <alignment horizontal="center" vertical="center" wrapText="1"/>
    </xf>
    <xf numFmtId="0" fontId="5" fillId="6" borderId="3" xfId="0" applyFont="1" applyFill="1" applyBorder="1" applyAlignment="1">
      <alignment horizontal="center" vertical="center" wrapText="1"/>
    </xf>
    <xf numFmtId="170" fontId="5" fillId="6" borderId="3" xfId="2" applyNumberFormat="1" applyFont="1" applyFill="1" applyBorder="1" applyAlignment="1">
      <alignment horizontal="justify" vertical="center"/>
    </xf>
    <xf numFmtId="165" fontId="5" fillId="0" borderId="3" xfId="1" applyNumberFormat="1" applyFont="1" applyFill="1" applyBorder="1" applyAlignment="1">
      <alignment horizontal="center" vertical="center"/>
    </xf>
    <xf numFmtId="170" fontId="12" fillId="0" borderId="3" xfId="2" applyNumberFormat="1" applyFont="1" applyFill="1" applyBorder="1" applyAlignment="1">
      <alignment horizontal="justify" vertical="center"/>
    </xf>
    <xf numFmtId="170" fontId="8" fillId="0" borderId="3" xfId="2" applyNumberFormat="1" applyFont="1" applyFill="1" applyBorder="1" applyAlignment="1">
      <alignment horizontal="justify" vertical="center"/>
    </xf>
    <xf numFmtId="4" fontId="11" fillId="0" borderId="3" xfId="0" applyNumberFormat="1" applyFont="1" applyFill="1" applyBorder="1" applyAlignment="1">
      <alignment vertical="center"/>
    </xf>
    <xf numFmtId="43" fontId="6" fillId="0" borderId="3" xfId="0" applyNumberFormat="1" applyFont="1" applyFill="1" applyBorder="1" applyAlignment="1">
      <alignment horizontal="center" vertical="center"/>
    </xf>
    <xf numFmtId="43" fontId="6" fillId="0" borderId="3" xfId="0" applyNumberFormat="1" applyFont="1" applyFill="1" applyBorder="1" applyAlignment="1">
      <alignment vertical="center"/>
    </xf>
    <xf numFmtId="0" fontId="5" fillId="0" borderId="6"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justify" vertical="center" wrapText="1"/>
    </xf>
    <xf numFmtId="0" fontId="5" fillId="0" borderId="14" xfId="0" applyFont="1" applyFill="1" applyBorder="1" applyAlignment="1">
      <alignment horizontal="justify" vertical="center" wrapText="1"/>
    </xf>
    <xf numFmtId="0" fontId="5" fillId="0" borderId="10" xfId="0" applyFont="1" applyFill="1" applyBorder="1" applyAlignment="1">
      <alignment horizontal="justify" vertical="center" wrapText="1"/>
    </xf>
    <xf numFmtId="0" fontId="7" fillId="0" borderId="6" xfId="0" applyFont="1" applyFill="1" applyBorder="1" applyAlignment="1">
      <alignment horizontal="right" vertical="center" wrapText="1"/>
    </xf>
    <xf numFmtId="0" fontId="7" fillId="0" borderId="10" xfId="0" applyFont="1" applyFill="1" applyBorder="1" applyAlignment="1">
      <alignment horizontal="right" vertical="center" wrapText="1"/>
    </xf>
    <xf numFmtId="0" fontId="5" fillId="0" borderId="6"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10" fontId="5" fillId="0" borderId="6" xfId="0" applyNumberFormat="1" applyFont="1" applyFill="1" applyBorder="1" applyAlignment="1">
      <alignment horizontal="center" vertical="center" wrapText="1"/>
    </xf>
    <xf numFmtId="10" fontId="5" fillId="0" borderId="14" xfId="0" applyNumberFormat="1" applyFont="1" applyFill="1" applyBorder="1" applyAlignment="1">
      <alignment horizontal="center" vertical="center" wrapText="1"/>
    </xf>
    <xf numFmtId="10" fontId="5" fillId="0" borderId="10" xfId="0" applyNumberFormat="1" applyFont="1" applyFill="1" applyBorder="1" applyAlignment="1">
      <alignment horizontal="center" vertical="center" wrapText="1"/>
    </xf>
    <xf numFmtId="9" fontId="5" fillId="0" borderId="10"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6" xfId="0" applyFont="1" applyFill="1" applyBorder="1" applyAlignment="1">
      <alignment horizontal="right" vertical="center"/>
    </xf>
    <xf numFmtId="0" fontId="6" fillId="0" borderId="0" xfId="0" applyFont="1"/>
    <xf numFmtId="0" fontId="6" fillId="0" borderId="0" xfId="0" applyFont="1" applyFill="1"/>
    <xf numFmtId="0" fontId="6" fillId="0" borderId="0" xfId="0" applyFont="1" applyAlignment="1">
      <alignment horizontal="center"/>
    </xf>
    <xf numFmtId="0" fontId="6" fillId="0" borderId="0" xfId="0" applyFont="1" applyAlignment="1"/>
    <xf numFmtId="0" fontId="4" fillId="0" borderId="3" xfId="0" applyFont="1" applyBorder="1" applyAlignment="1">
      <alignment vertical="center"/>
    </xf>
    <xf numFmtId="0" fontId="4" fillId="0" borderId="3" xfId="0" applyFont="1" applyBorder="1" applyAlignment="1">
      <alignment horizontal="left" vertical="center"/>
    </xf>
    <xf numFmtId="177" fontId="4" fillId="0" borderId="3" xfId="0" applyNumberFormat="1" applyFont="1" applyBorder="1" applyAlignment="1">
      <alignment horizontal="left" vertical="center"/>
    </xf>
    <xf numFmtId="17" fontId="4" fillId="0" borderId="3" xfId="0" applyNumberFormat="1" applyFont="1" applyBorder="1" applyAlignment="1">
      <alignment horizontal="left" vertical="center"/>
    </xf>
    <xf numFmtId="3" fontId="4" fillId="10" borderId="3" xfId="0" applyNumberFormat="1" applyFont="1" applyFill="1" applyBorder="1" applyAlignment="1">
      <alignment horizontal="left" vertical="center" wrapText="1"/>
    </xf>
    <xf numFmtId="0" fontId="9" fillId="3" borderId="7" xfId="0" applyFont="1" applyFill="1" applyBorder="1" applyAlignment="1">
      <alignment horizontal="left" vertical="center"/>
    </xf>
    <xf numFmtId="0" fontId="9" fillId="3" borderId="11" xfId="0" applyFont="1" applyFill="1" applyBorder="1" applyAlignment="1">
      <alignment horizontal="left" vertical="center"/>
    </xf>
    <xf numFmtId="0" fontId="9" fillId="3" borderId="11" xfId="0" applyFont="1" applyFill="1" applyBorder="1" applyAlignment="1">
      <alignment horizontal="center" vertical="center"/>
    </xf>
    <xf numFmtId="0" fontId="4" fillId="3" borderId="11" xfId="0" applyFont="1" applyFill="1" applyBorder="1" applyAlignment="1">
      <alignment horizontal="right" vertical="center"/>
    </xf>
    <xf numFmtId="172" fontId="9" fillId="3" borderId="11" xfId="1" applyNumberFormat="1" applyFont="1" applyFill="1" applyBorder="1" applyAlignment="1">
      <alignment horizontal="center" vertical="center"/>
    </xf>
    <xf numFmtId="0" fontId="9" fillId="3" borderId="11" xfId="0" applyFont="1" applyFill="1" applyBorder="1" applyAlignment="1">
      <alignment vertical="center"/>
    </xf>
    <xf numFmtId="170" fontId="9" fillId="3" borderId="11" xfId="0" applyNumberFormat="1" applyFont="1" applyFill="1" applyBorder="1" applyAlignment="1">
      <alignment horizontal="left" vertical="center"/>
    </xf>
    <xf numFmtId="170" fontId="9" fillId="3" borderId="2" xfId="0" applyNumberFormat="1" applyFont="1" applyFill="1" applyBorder="1" applyAlignment="1">
      <alignment horizontal="left" vertical="center"/>
    </xf>
    <xf numFmtId="0" fontId="3" fillId="4" borderId="11" xfId="0" applyFont="1" applyFill="1" applyBorder="1" applyAlignment="1">
      <alignment horizontal="left" vertical="center" wrapText="1"/>
    </xf>
    <xf numFmtId="0" fontId="3" fillId="4" borderId="11" xfId="0" applyFont="1" applyFill="1" applyBorder="1" applyAlignment="1">
      <alignment vertical="center"/>
    </xf>
    <xf numFmtId="0" fontId="3" fillId="4" borderId="11" xfId="0" applyFont="1" applyFill="1" applyBorder="1" applyAlignment="1">
      <alignment horizontal="center" vertical="center"/>
    </xf>
    <xf numFmtId="0" fontId="4" fillId="4" borderId="11" xfId="0" applyFont="1" applyFill="1" applyBorder="1" applyAlignment="1">
      <alignment horizontal="right" vertical="center"/>
    </xf>
    <xf numFmtId="172" fontId="3" fillId="4" borderId="11" xfId="1" applyNumberFormat="1" applyFont="1" applyFill="1" applyBorder="1" applyAlignment="1">
      <alignment horizontal="center" vertical="center"/>
    </xf>
    <xf numFmtId="0" fontId="3" fillId="4" borderId="2" xfId="0" applyFont="1" applyFill="1" applyBorder="1" applyAlignment="1">
      <alignment vertical="center"/>
    </xf>
    <xf numFmtId="0" fontId="3" fillId="0" borderId="12" xfId="0" applyFont="1" applyFill="1" applyBorder="1" applyAlignment="1">
      <alignment vertical="center" wrapText="1"/>
    </xf>
    <xf numFmtId="0" fontId="3" fillId="5" borderId="7" xfId="0" applyFont="1" applyFill="1" applyBorder="1" applyAlignment="1">
      <alignment horizontal="left" vertical="center"/>
    </xf>
    <xf numFmtId="0" fontId="3" fillId="5" borderId="11" xfId="0" applyFont="1" applyFill="1" applyBorder="1" applyAlignment="1">
      <alignment horizontal="left" vertical="center"/>
    </xf>
    <xf numFmtId="0" fontId="3" fillId="5" borderId="11" xfId="0" applyFont="1" applyFill="1" applyBorder="1" applyAlignment="1">
      <alignment vertical="center"/>
    </xf>
    <xf numFmtId="0" fontId="3" fillId="5" borderId="11" xfId="0" applyFont="1" applyFill="1" applyBorder="1" applyAlignment="1">
      <alignment horizontal="center" vertical="center"/>
    </xf>
    <xf numFmtId="0" fontId="4" fillId="5" borderId="11" xfId="0" applyFont="1" applyFill="1" applyBorder="1" applyAlignment="1">
      <alignment horizontal="right" vertical="center"/>
    </xf>
    <xf numFmtId="172" fontId="3" fillId="5" borderId="11" xfId="1" applyNumberFormat="1" applyFont="1" applyFill="1" applyBorder="1" applyAlignment="1">
      <alignment horizontal="center" vertical="center"/>
    </xf>
    <xf numFmtId="0" fontId="3" fillId="5" borderId="2" xfId="0" applyFont="1" applyFill="1" applyBorder="1" applyAlignment="1">
      <alignment vertical="center"/>
    </xf>
    <xf numFmtId="0" fontId="3" fillId="0" borderId="13" xfId="0" applyFont="1" applyFill="1" applyBorder="1" applyAlignment="1">
      <alignment horizontal="left" vertical="center"/>
    </xf>
    <xf numFmtId="0" fontId="3" fillId="0" borderId="11" xfId="0" applyFont="1" applyFill="1" applyBorder="1" applyAlignment="1">
      <alignment horizontal="center" vertical="center"/>
    </xf>
    <xf numFmtId="0" fontId="3" fillId="0" borderId="10" xfId="0" applyFont="1" applyFill="1" applyBorder="1" applyAlignment="1">
      <alignment vertical="center" wrapText="1"/>
    </xf>
    <xf numFmtId="0" fontId="5" fillId="0" borderId="3" xfId="0" applyFont="1" applyBorder="1" applyAlignment="1">
      <alignment horizontal="justify" vertical="center" wrapText="1"/>
    </xf>
    <xf numFmtId="0" fontId="5" fillId="7" borderId="3" xfId="0" applyFont="1" applyFill="1" applyBorder="1" applyAlignment="1">
      <alignment horizontal="justify" vertical="center" wrapText="1"/>
    </xf>
    <xf numFmtId="0" fontId="5" fillId="7" borderId="3" xfId="0" applyFont="1" applyFill="1" applyBorder="1" applyAlignment="1">
      <alignment horizontal="center" vertical="center" wrapText="1"/>
    </xf>
    <xf numFmtId="0" fontId="5" fillId="7" borderId="3" xfId="0" applyNumberFormat="1" applyFont="1" applyFill="1" applyBorder="1" applyAlignment="1">
      <alignment horizontal="center" vertical="center"/>
    </xf>
    <xf numFmtId="0" fontId="7" fillId="7" borderId="3" xfId="0" applyFont="1" applyFill="1" applyBorder="1" applyAlignment="1">
      <alignment horizontal="right" vertical="center" wrapText="1"/>
    </xf>
    <xf numFmtId="170" fontId="5" fillId="7" borderId="3" xfId="2" applyNumberFormat="1" applyFont="1" applyFill="1" applyBorder="1" applyAlignment="1">
      <alignment horizontal="justify" vertical="center"/>
    </xf>
    <xf numFmtId="0" fontId="6" fillId="0" borderId="0" xfId="0" applyFont="1" applyBorder="1"/>
    <xf numFmtId="0" fontId="3" fillId="0" borderId="1" xfId="0" applyFont="1" applyFill="1" applyBorder="1" applyAlignment="1">
      <alignment vertical="center" wrapText="1"/>
    </xf>
    <xf numFmtId="0" fontId="5" fillId="5" borderId="3" xfId="0" applyFont="1" applyFill="1" applyBorder="1" applyAlignment="1">
      <alignment horizontal="justify" vertical="center" wrapText="1"/>
    </xf>
    <xf numFmtId="0" fontId="5" fillId="5" borderId="3" xfId="0" applyFont="1" applyFill="1" applyBorder="1" applyAlignment="1">
      <alignment horizontal="center" vertical="center" wrapText="1"/>
    </xf>
    <xf numFmtId="0" fontId="5" fillId="5" borderId="3" xfId="0" applyNumberFormat="1" applyFont="1" applyFill="1" applyBorder="1" applyAlignment="1">
      <alignment horizontal="center" vertical="center"/>
    </xf>
    <xf numFmtId="0" fontId="7" fillId="5" borderId="3" xfId="0" applyFont="1" applyFill="1" applyBorder="1" applyAlignment="1">
      <alignment horizontal="right" vertical="center" wrapText="1"/>
    </xf>
    <xf numFmtId="170" fontId="5" fillId="5" borderId="3" xfId="2" applyNumberFormat="1" applyFont="1" applyFill="1" applyBorder="1" applyAlignment="1">
      <alignment horizontal="justify" vertical="center"/>
    </xf>
    <xf numFmtId="0" fontId="5" fillId="4" borderId="3" xfId="0" applyFont="1" applyFill="1" applyBorder="1" applyAlignment="1">
      <alignment horizontal="justify" vertical="center" wrapText="1"/>
    </xf>
    <xf numFmtId="0" fontId="5" fillId="4" borderId="3" xfId="0" applyFont="1" applyFill="1" applyBorder="1" applyAlignment="1">
      <alignment horizontal="center" vertical="center" wrapText="1"/>
    </xf>
    <xf numFmtId="0" fontId="5" fillId="4" borderId="3" xfId="0" applyNumberFormat="1" applyFont="1" applyFill="1" applyBorder="1" applyAlignment="1">
      <alignment horizontal="center" vertical="center"/>
    </xf>
    <xf numFmtId="0" fontId="7" fillId="4" borderId="3" xfId="0" applyFont="1" applyFill="1" applyBorder="1" applyAlignment="1">
      <alignment horizontal="right" vertical="center" wrapText="1"/>
    </xf>
    <xf numFmtId="170" fontId="5" fillId="4" borderId="3" xfId="2" applyNumberFormat="1" applyFont="1" applyFill="1" applyBorder="1" applyAlignment="1">
      <alignment horizontal="justify" vertical="center"/>
    </xf>
    <xf numFmtId="0" fontId="5" fillId="8" borderId="3" xfId="0" applyFont="1" applyFill="1" applyBorder="1" applyAlignment="1">
      <alignment horizontal="justify" vertical="center" wrapText="1"/>
    </xf>
    <xf numFmtId="0" fontId="5" fillId="8" borderId="3" xfId="0" applyFont="1" applyFill="1" applyBorder="1" applyAlignment="1">
      <alignment horizontal="center" vertical="center" wrapText="1"/>
    </xf>
    <xf numFmtId="0" fontId="5" fillId="8" borderId="3" xfId="0" applyNumberFormat="1" applyFont="1" applyFill="1" applyBorder="1" applyAlignment="1">
      <alignment horizontal="center" vertical="center"/>
    </xf>
    <xf numFmtId="0" fontId="7" fillId="8" borderId="3" xfId="0" applyFont="1" applyFill="1" applyBorder="1" applyAlignment="1">
      <alignment horizontal="right" vertical="center" wrapText="1"/>
    </xf>
    <xf numFmtId="170" fontId="5" fillId="8" borderId="3" xfId="2" applyNumberFormat="1" applyFont="1" applyFill="1" applyBorder="1" applyAlignment="1">
      <alignment horizontal="justify" vertical="center"/>
    </xf>
    <xf numFmtId="0" fontId="5" fillId="0" borderId="7" xfId="0" applyFont="1" applyFill="1" applyBorder="1" applyAlignment="1">
      <alignment horizontal="justify" vertical="center" wrapText="1"/>
    </xf>
    <xf numFmtId="0" fontId="5" fillId="0" borderId="11" xfId="0" applyFont="1" applyFill="1" applyBorder="1" applyAlignment="1">
      <alignment horizontal="justify" vertical="center" wrapText="1"/>
    </xf>
    <xf numFmtId="0" fontId="5" fillId="0" borderId="11" xfId="0" applyNumberFormat="1" applyFont="1" applyFill="1" applyBorder="1" applyAlignment="1">
      <alignment horizontal="center" vertical="center"/>
    </xf>
    <xf numFmtId="0" fontId="7" fillId="0" borderId="11" xfId="0" applyFont="1" applyFill="1" applyBorder="1" applyAlignment="1">
      <alignment horizontal="right" vertical="center" wrapText="1"/>
    </xf>
    <xf numFmtId="170" fontId="5" fillId="0" borderId="11" xfId="2" applyNumberFormat="1" applyFont="1" applyFill="1" applyBorder="1" applyAlignment="1">
      <alignment horizontal="justify" vertical="center"/>
    </xf>
    <xf numFmtId="170" fontId="5" fillId="2" borderId="11" xfId="2" applyNumberFormat="1" applyFont="1" applyFill="1" applyBorder="1" applyAlignment="1">
      <alignment horizontal="justify" vertical="center"/>
    </xf>
    <xf numFmtId="172" fontId="5" fillId="0" borderId="11" xfId="1" applyNumberFormat="1" applyFont="1" applyFill="1" applyBorder="1" applyAlignment="1">
      <alignment horizontal="center" vertical="center"/>
    </xf>
    <xf numFmtId="170" fontId="5" fillId="0" borderId="11" xfId="2" applyNumberFormat="1" applyFont="1" applyFill="1" applyBorder="1" applyAlignment="1">
      <alignment vertical="center"/>
    </xf>
    <xf numFmtId="172" fontId="5" fillId="0" borderId="11" xfId="1" applyNumberFormat="1" applyFont="1" applyFill="1" applyBorder="1" applyAlignment="1">
      <alignment horizontal="justify" vertical="center"/>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11" xfId="0" applyFont="1" applyFill="1" applyBorder="1" applyAlignment="1">
      <alignment vertical="center" wrapText="1"/>
    </xf>
    <xf numFmtId="0" fontId="3" fillId="0" borderId="2" xfId="0" applyFont="1" applyFill="1" applyBorder="1" applyAlignment="1">
      <alignment vertical="center" wrapText="1"/>
    </xf>
    <xf numFmtId="0" fontId="3" fillId="7" borderId="7" xfId="0" applyFont="1" applyFill="1" applyBorder="1" applyAlignment="1">
      <alignment horizontal="justify" vertical="center" wrapText="1"/>
    </xf>
    <xf numFmtId="0" fontId="3" fillId="7" borderId="11" xfId="0" applyFont="1" applyFill="1" applyBorder="1" applyAlignment="1">
      <alignment vertical="center"/>
    </xf>
    <xf numFmtId="0" fontId="4" fillId="7" borderId="11" xfId="0" applyFont="1" applyFill="1" applyBorder="1" applyAlignment="1">
      <alignment horizontal="right" vertical="center"/>
    </xf>
    <xf numFmtId="172" fontId="3" fillId="7" borderId="11" xfId="1" applyNumberFormat="1" applyFont="1" applyFill="1" applyBorder="1" applyAlignment="1">
      <alignment horizontal="center" vertical="center"/>
    </xf>
    <xf numFmtId="0" fontId="3" fillId="7" borderId="2" xfId="0" applyFont="1" applyFill="1" applyBorder="1" applyAlignment="1">
      <alignment vertical="center"/>
    </xf>
    <xf numFmtId="0" fontId="5" fillId="9" borderId="7" xfId="0" applyFont="1" applyFill="1" applyBorder="1" applyAlignment="1">
      <alignment horizontal="justify" vertical="center" wrapText="1"/>
    </xf>
    <xf numFmtId="0" fontId="5" fillId="9" borderId="11" xfId="0" applyFont="1" applyFill="1" applyBorder="1" applyAlignment="1">
      <alignment horizontal="center" vertical="center" wrapText="1"/>
    </xf>
    <xf numFmtId="0" fontId="5" fillId="9" borderId="11" xfId="0" applyFont="1" applyFill="1" applyBorder="1" applyAlignment="1">
      <alignment horizontal="justify" vertical="center" wrapText="1"/>
    </xf>
    <xf numFmtId="0" fontId="5" fillId="9" borderId="11" xfId="0" applyNumberFormat="1" applyFont="1" applyFill="1" applyBorder="1" applyAlignment="1">
      <alignment horizontal="center" vertical="center"/>
    </xf>
    <xf numFmtId="0" fontId="5" fillId="9" borderId="11" xfId="0" applyNumberFormat="1" applyFont="1" applyFill="1" applyBorder="1" applyAlignment="1">
      <alignment horizontal="justify" vertical="center"/>
    </xf>
    <xf numFmtId="0" fontId="7" fillId="9" borderId="11" xfId="0" applyFont="1" applyFill="1" applyBorder="1" applyAlignment="1">
      <alignment horizontal="right" vertical="center" wrapText="1"/>
    </xf>
    <xf numFmtId="170" fontId="5" fillId="9" borderId="3" xfId="2" applyNumberFormat="1" applyFont="1" applyFill="1" applyBorder="1" applyAlignment="1">
      <alignment horizontal="justify" vertical="center"/>
    </xf>
    <xf numFmtId="170" fontId="5" fillId="0" borderId="2" xfId="2" applyNumberFormat="1" applyFont="1" applyFill="1" applyBorder="1" applyAlignment="1">
      <alignment horizontal="justify" vertical="center"/>
    </xf>
    <xf numFmtId="0" fontId="3" fillId="9" borderId="11" xfId="0" applyFont="1" applyFill="1" applyBorder="1" applyAlignment="1">
      <alignment horizontal="justify" vertical="center" wrapText="1"/>
    </xf>
    <xf numFmtId="0" fontId="3" fillId="9" borderId="11" xfId="0" applyFont="1" applyFill="1" applyBorder="1" applyAlignment="1">
      <alignment horizontal="left" vertical="center"/>
    </xf>
    <xf numFmtId="0" fontId="3" fillId="9" borderId="11" xfId="0" applyFont="1" applyFill="1" applyBorder="1" applyAlignment="1">
      <alignment vertical="center"/>
    </xf>
    <xf numFmtId="0" fontId="4" fillId="9" borderId="11" xfId="0" applyFont="1" applyFill="1" applyBorder="1" applyAlignment="1">
      <alignment horizontal="right" vertical="center"/>
    </xf>
    <xf numFmtId="172" fontId="3" fillId="9" borderId="11" xfId="1" applyNumberFormat="1" applyFont="1" applyFill="1" applyBorder="1" applyAlignment="1">
      <alignment horizontal="center" vertical="center"/>
    </xf>
    <xf numFmtId="0" fontId="3" fillId="9" borderId="2" xfId="0" applyFont="1" applyFill="1" applyBorder="1" applyAlignment="1">
      <alignment vertical="center"/>
    </xf>
    <xf numFmtId="0" fontId="5" fillId="5" borderId="11" xfId="0" applyFont="1" applyFill="1" applyBorder="1" applyAlignment="1">
      <alignment horizontal="justify" vertical="center" wrapText="1"/>
    </xf>
    <xf numFmtId="0" fontId="5" fillId="5" borderId="11" xfId="0" applyFont="1" applyFill="1" applyBorder="1" applyAlignment="1">
      <alignment horizontal="center" vertical="center" wrapText="1"/>
    </xf>
    <xf numFmtId="0" fontId="5" fillId="5" borderId="11" xfId="0" applyNumberFormat="1" applyFont="1" applyFill="1" applyBorder="1" applyAlignment="1">
      <alignment horizontal="center" vertical="center"/>
    </xf>
    <xf numFmtId="0" fontId="5" fillId="5" borderId="11" xfId="0" applyNumberFormat="1" applyFont="1" applyFill="1" applyBorder="1" applyAlignment="1">
      <alignment horizontal="justify" vertical="center"/>
    </xf>
    <xf numFmtId="0" fontId="7" fillId="5" borderId="11" xfId="0" applyFont="1" applyFill="1" applyBorder="1" applyAlignment="1">
      <alignment horizontal="right" vertical="center" wrapText="1"/>
    </xf>
    <xf numFmtId="170" fontId="5" fillId="5" borderId="11" xfId="2" applyNumberFormat="1" applyFont="1" applyFill="1" applyBorder="1" applyAlignment="1">
      <alignment horizontal="justify" vertical="center"/>
    </xf>
    <xf numFmtId="0" fontId="5" fillId="0" borderId="11" xfId="0" applyNumberFormat="1" applyFont="1" applyFill="1" applyBorder="1" applyAlignment="1">
      <alignment horizontal="justify" vertical="center"/>
    </xf>
    <xf numFmtId="0" fontId="5" fillId="0" borderId="6" xfId="0" applyFont="1" applyBorder="1" applyAlignment="1">
      <alignment vertical="center" wrapText="1"/>
    </xf>
    <xf numFmtId="0" fontId="5" fillId="0" borderId="11" xfId="0" applyFont="1" applyBorder="1" applyAlignment="1">
      <alignment horizontal="center" vertical="center" wrapText="1"/>
    </xf>
    <xf numFmtId="0" fontId="5" fillId="0" borderId="11" xfId="0" applyFont="1" applyBorder="1" applyAlignment="1">
      <alignment vertical="center" wrapText="1"/>
    </xf>
    <xf numFmtId="0" fontId="5" fillId="0" borderId="2" xfId="0" applyFont="1" applyBorder="1" applyAlignment="1">
      <alignment vertical="center" wrapText="1"/>
    </xf>
    <xf numFmtId="0" fontId="5" fillId="0" borderId="10" xfId="0" applyFont="1" applyBorder="1" applyAlignment="1">
      <alignment vertical="center" wrapText="1"/>
    </xf>
    <xf numFmtId="0" fontId="5" fillId="0" borderId="2" xfId="0" applyFont="1" applyBorder="1" applyAlignment="1">
      <alignment horizontal="center" vertical="center" wrapText="1"/>
    </xf>
    <xf numFmtId="0" fontId="5" fillId="7" borderId="6" xfId="0" applyFont="1" applyFill="1" applyBorder="1" applyAlignment="1">
      <alignment horizontal="justify" vertical="center" wrapText="1"/>
    </xf>
    <xf numFmtId="0" fontId="5" fillId="7" borderId="6" xfId="0" applyFont="1" applyFill="1" applyBorder="1" applyAlignment="1">
      <alignment horizontal="center" vertical="center" wrapText="1"/>
    </xf>
    <xf numFmtId="0" fontId="5" fillId="5" borderId="2" xfId="0" applyFont="1" applyFill="1" applyBorder="1" applyAlignment="1">
      <alignment horizontal="justify"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6" xfId="0" applyFont="1" applyFill="1" applyBorder="1" applyAlignment="1">
      <alignment horizontal="justify" vertical="center" wrapText="1"/>
    </xf>
    <xf numFmtId="0" fontId="5" fillId="5" borderId="6" xfId="0" applyFont="1" applyFill="1" applyBorder="1" applyAlignment="1">
      <alignment horizontal="center" vertical="center" wrapText="1"/>
    </xf>
    <xf numFmtId="0" fontId="5" fillId="0" borderId="12" xfId="0" applyFont="1" applyFill="1" applyBorder="1" applyAlignment="1">
      <alignment horizontal="justify" vertical="center" wrapText="1"/>
    </xf>
    <xf numFmtId="0" fontId="3" fillId="5" borderId="2" xfId="0" applyFont="1" applyFill="1" applyBorder="1" applyAlignment="1">
      <alignment horizontal="justify" vertical="center" wrapText="1"/>
    </xf>
    <xf numFmtId="0" fontId="3" fillId="11" borderId="6" xfId="0" applyFont="1" applyFill="1" applyBorder="1" applyAlignment="1">
      <alignment horizontal="justify" vertical="center" wrapText="1"/>
    </xf>
    <xf numFmtId="0" fontId="3" fillId="11" borderId="7" xfId="0" applyFont="1" applyFill="1" applyBorder="1" applyAlignment="1">
      <alignment horizontal="left" vertical="center"/>
    </xf>
    <xf numFmtId="0" fontId="3" fillId="11" borderId="11" xfId="0" applyFont="1" applyFill="1" applyBorder="1" applyAlignment="1">
      <alignment vertical="center"/>
    </xf>
    <xf numFmtId="0" fontId="4" fillId="11" borderId="11" xfId="0" applyFont="1" applyFill="1" applyBorder="1" applyAlignment="1">
      <alignment horizontal="right" vertical="center"/>
    </xf>
    <xf numFmtId="172" fontId="3" fillId="11" borderId="11" xfId="1" applyNumberFormat="1" applyFont="1" applyFill="1" applyBorder="1" applyAlignment="1">
      <alignment horizontal="center" vertical="center"/>
    </xf>
    <xf numFmtId="0" fontId="3" fillId="11" borderId="2" xfId="0" applyFont="1" applyFill="1" applyBorder="1" applyAlignment="1">
      <alignment vertical="center"/>
    </xf>
    <xf numFmtId="0" fontId="3" fillId="0" borderId="9" xfId="0" applyFont="1" applyFill="1" applyBorder="1" applyAlignment="1">
      <alignment vertical="center" wrapText="1"/>
    </xf>
    <xf numFmtId="0" fontId="9" fillId="2" borderId="0"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5" fillId="0" borderId="4" xfId="0" applyFont="1" applyFill="1" applyBorder="1" applyAlignment="1">
      <alignment horizontal="justify" vertical="center" wrapText="1"/>
    </xf>
    <xf numFmtId="0" fontId="5" fillId="0" borderId="12" xfId="0" applyNumberFormat="1" applyFont="1" applyFill="1" applyBorder="1" applyAlignment="1">
      <alignment horizontal="center" vertical="center"/>
    </xf>
    <xf numFmtId="0" fontId="7" fillId="0" borderId="12" xfId="0" applyFont="1" applyFill="1" applyBorder="1" applyAlignment="1">
      <alignment horizontal="right" vertical="center" wrapText="1"/>
    </xf>
    <xf numFmtId="170" fontId="5" fillId="0" borderId="12" xfId="2" applyNumberFormat="1" applyFont="1" applyFill="1" applyBorder="1" applyAlignment="1">
      <alignment horizontal="justify" vertical="center"/>
    </xf>
    <xf numFmtId="170" fontId="5" fillId="2" borderId="12" xfId="2" applyNumberFormat="1" applyFont="1" applyFill="1" applyBorder="1" applyAlignment="1">
      <alignment horizontal="justify" vertical="center"/>
    </xf>
    <xf numFmtId="172" fontId="5" fillId="0" borderId="12" xfId="1" applyNumberFormat="1" applyFont="1" applyFill="1" applyBorder="1" applyAlignment="1">
      <alignment horizontal="center" vertical="center"/>
    </xf>
    <xf numFmtId="172" fontId="5" fillId="0" borderId="12" xfId="1" applyNumberFormat="1" applyFont="1" applyFill="1" applyBorder="1" applyAlignment="1">
      <alignment horizontal="justify" vertical="center"/>
    </xf>
    <xf numFmtId="0" fontId="9" fillId="3" borderId="4" xfId="0" applyFont="1" applyFill="1" applyBorder="1" applyAlignment="1">
      <alignment horizontal="left" vertical="center"/>
    </xf>
    <xf numFmtId="0" fontId="9" fillId="3" borderId="12" xfId="0" applyFont="1" applyFill="1" applyBorder="1" applyAlignment="1">
      <alignment horizontal="left" vertical="center"/>
    </xf>
    <xf numFmtId="0" fontId="9" fillId="3" borderId="12" xfId="0" applyFont="1" applyFill="1" applyBorder="1" applyAlignment="1">
      <alignment horizontal="center" vertical="center"/>
    </xf>
    <xf numFmtId="0" fontId="4" fillId="3" borderId="12" xfId="0" applyFont="1" applyFill="1" applyBorder="1" applyAlignment="1">
      <alignment horizontal="right" vertical="center"/>
    </xf>
    <xf numFmtId="172" fontId="9" fillId="3" borderId="12" xfId="1" applyNumberFormat="1" applyFont="1" applyFill="1" applyBorder="1" applyAlignment="1">
      <alignment horizontal="center" vertical="center"/>
    </xf>
    <xf numFmtId="0" fontId="9" fillId="3" borderId="12" xfId="0" applyFont="1" applyFill="1" applyBorder="1" applyAlignment="1">
      <alignment vertical="center"/>
    </xf>
    <xf numFmtId="170" fontId="9" fillId="3" borderId="12" xfId="0" applyNumberFormat="1" applyFont="1" applyFill="1" applyBorder="1" applyAlignment="1">
      <alignment horizontal="left" vertical="center"/>
    </xf>
    <xf numFmtId="0" fontId="3" fillId="5" borderId="11" xfId="0" applyFont="1" applyFill="1" applyBorder="1" applyAlignment="1">
      <alignment horizontal="justify" vertical="center" wrapText="1"/>
    </xf>
    <xf numFmtId="0" fontId="3" fillId="0" borderId="11" xfId="0" applyFont="1" applyFill="1" applyBorder="1" applyAlignment="1">
      <alignment horizontal="center" vertical="center" wrapText="1"/>
    </xf>
    <xf numFmtId="170" fontId="3" fillId="7" borderId="11" xfId="0" applyNumberFormat="1" applyFont="1" applyFill="1" applyBorder="1" applyAlignment="1">
      <alignment vertical="center"/>
    </xf>
    <xf numFmtId="0" fontId="5" fillId="0" borderId="3" xfId="0" applyFont="1" applyBorder="1" applyAlignment="1">
      <alignment vertical="center" wrapText="1"/>
    </xf>
    <xf numFmtId="172" fontId="5" fillId="7" borderId="3" xfId="1" applyNumberFormat="1" applyFont="1" applyFill="1" applyBorder="1" applyAlignment="1">
      <alignment horizontal="center" vertical="center"/>
    </xf>
    <xf numFmtId="170" fontId="5" fillId="7" borderId="3" xfId="2" applyNumberFormat="1" applyFont="1" applyFill="1" applyBorder="1" applyAlignment="1">
      <alignment vertical="center"/>
    </xf>
    <xf numFmtId="172" fontId="5" fillId="5" borderId="3" xfId="1" applyNumberFormat="1" applyFont="1" applyFill="1" applyBorder="1" applyAlignment="1">
      <alignment horizontal="center" vertical="center"/>
    </xf>
    <xf numFmtId="170" fontId="5" fillId="5" borderId="3" xfId="2" applyNumberFormat="1" applyFont="1" applyFill="1" applyBorder="1" applyAlignment="1">
      <alignment vertical="center"/>
    </xf>
    <xf numFmtId="172" fontId="5" fillId="4" borderId="3" xfId="1" applyNumberFormat="1" applyFont="1" applyFill="1" applyBorder="1" applyAlignment="1">
      <alignment horizontal="center" vertical="center"/>
    </xf>
    <xf numFmtId="170" fontId="5" fillId="4" borderId="3" xfId="2" applyNumberFormat="1" applyFont="1" applyFill="1" applyBorder="1" applyAlignment="1">
      <alignment vertical="center"/>
    </xf>
    <xf numFmtId="172" fontId="5" fillId="8" borderId="3" xfId="1" applyNumberFormat="1" applyFont="1" applyFill="1" applyBorder="1" applyAlignment="1">
      <alignment horizontal="center" vertical="center"/>
    </xf>
    <xf numFmtId="0" fontId="3" fillId="5" borderId="7" xfId="0" applyFont="1" applyFill="1" applyBorder="1" applyAlignment="1">
      <alignment horizontal="justify" vertical="center" wrapText="1"/>
    </xf>
    <xf numFmtId="0" fontId="5" fillId="7" borderId="3" xfId="0" applyNumberFormat="1" applyFont="1" applyFill="1" applyBorder="1" applyAlignment="1">
      <alignment horizontal="center" vertical="center" wrapText="1"/>
    </xf>
    <xf numFmtId="170" fontId="5" fillId="2" borderId="3" xfId="2" applyNumberFormat="1" applyFont="1" applyFill="1" applyBorder="1" applyAlignment="1">
      <alignment horizontal="justify" vertical="center"/>
    </xf>
    <xf numFmtId="0" fontId="5" fillId="0" borderId="7" xfId="0" applyFont="1" applyFill="1" applyBorder="1" applyAlignment="1">
      <alignment horizontal="center" vertical="center" wrapText="1"/>
    </xf>
    <xf numFmtId="0" fontId="5" fillId="0" borderId="11" xfId="0" applyFont="1" applyFill="1" applyBorder="1" applyAlignment="1">
      <alignment vertical="center" wrapText="1"/>
    </xf>
    <xf numFmtId="0" fontId="5" fillId="0" borderId="2" xfId="0" applyFont="1" applyFill="1" applyBorder="1" applyAlignment="1">
      <alignment vertical="center" wrapText="1"/>
    </xf>
    <xf numFmtId="0" fontId="3" fillId="7" borderId="3" xfId="0" applyFont="1" applyFill="1" applyBorder="1" applyAlignment="1">
      <alignment horizontal="justify" vertical="center" wrapText="1"/>
    </xf>
    <xf numFmtId="170" fontId="5" fillId="7" borderId="3" xfId="0" applyNumberFormat="1" applyFont="1" applyFill="1" applyBorder="1" applyAlignment="1">
      <alignment horizontal="justify" vertical="center" wrapText="1"/>
    </xf>
    <xf numFmtId="170" fontId="5" fillId="7" borderId="3" xfId="0" applyNumberFormat="1" applyFont="1" applyFill="1" applyBorder="1" applyAlignment="1">
      <alignment horizontal="center" vertical="center" wrapText="1"/>
    </xf>
    <xf numFmtId="0" fontId="5" fillId="5" borderId="3" xfId="0" applyNumberFormat="1" applyFont="1" applyFill="1" applyBorder="1" applyAlignment="1">
      <alignment horizontal="center" vertical="center" wrapText="1"/>
    </xf>
    <xf numFmtId="0" fontId="5" fillId="4" borderId="2" xfId="0" applyFont="1" applyFill="1" applyBorder="1" applyAlignment="1">
      <alignment horizontal="justify" vertical="center" wrapText="1"/>
    </xf>
    <xf numFmtId="0" fontId="5" fillId="4" borderId="3"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170" fontId="5" fillId="2" borderId="0" xfId="2" applyNumberFormat="1" applyFont="1" applyFill="1" applyBorder="1" applyAlignment="1">
      <alignment horizontal="justify" vertical="center"/>
    </xf>
    <xf numFmtId="0" fontId="3" fillId="5" borderId="3" xfId="0" applyFont="1" applyFill="1" applyBorder="1" applyAlignment="1">
      <alignment horizontal="justify" vertical="center" wrapText="1"/>
    </xf>
    <xf numFmtId="0" fontId="3" fillId="7" borderId="11" xfId="0" applyFont="1" applyFill="1" applyBorder="1" applyAlignment="1">
      <alignment horizontal="left" vertical="center"/>
    </xf>
    <xf numFmtId="3" fontId="3" fillId="7" borderId="11" xfId="0" applyNumberFormat="1" applyFont="1" applyFill="1" applyBorder="1" applyAlignment="1">
      <alignment vertical="center"/>
    </xf>
    <xf numFmtId="0" fontId="5" fillId="12" borderId="3" xfId="0" applyFont="1" applyFill="1" applyBorder="1" applyAlignment="1">
      <alignment horizontal="justify" vertical="center" wrapText="1"/>
    </xf>
    <xf numFmtId="0" fontId="5" fillId="12" borderId="3" xfId="0" applyFont="1" applyFill="1" applyBorder="1" applyAlignment="1">
      <alignment horizontal="center" vertical="center" wrapText="1"/>
    </xf>
    <xf numFmtId="0" fontId="5" fillId="12" borderId="3" xfId="0" applyNumberFormat="1" applyFont="1" applyFill="1" applyBorder="1" applyAlignment="1">
      <alignment horizontal="center" vertical="center" wrapText="1"/>
    </xf>
    <xf numFmtId="0" fontId="7" fillId="12" borderId="3" xfId="0" applyFont="1" applyFill="1" applyBorder="1" applyAlignment="1">
      <alignment horizontal="right" vertical="center" wrapText="1"/>
    </xf>
    <xf numFmtId="170" fontId="5" fillId="12" borderId="3" xfId="0" applyNumberFormat="1" applyFont="1" applyFill="1" applyBorder="1" applyAlignment="1">
      <alignment horizontal="justify" vertical="center" wrapText="1"/>
    </xf>
    <xf numFmtId="170" fontId="5" fillId="12" borderId="3" xfId="2" applyNumberFormat="1" applyFont="1" applyFill="1" applyBorder="1" applyAlignment="1">
      <alignment horizontal="justify" vertical="center"/>
    </xf>
    <xf numFmtId="0" fontId="5" fillId="8" borderId="3" xfId="0" applyNumberFormat="1" applyFont="1" applyFill="1" applyBorder="1" applyAlignment="1">
      <alignment horizontal="center" vertical="center" wrapText="1"/>
    </xf>
    <xf numFmtId="0" fontId="3" fillId="7" borderId="11" xfId="0" applyFont="1" applyFill="1" applyBorder="1" applyAlignment="1">
      <alignment horizontal="center" vertical="center"/>
    </xf>
    <xf numFmtId="0" fontId="3" fillId="7" borderId="7" xfId="0" applyFont="1" applyFill="1" applyBorder="1" applyAlignment="1">
      <alignment vertical="center"/>
    </xf>
    <xf numFmtId="170" fontId="3" fillId="7" borderId="11" xfId="0" applyNumberFormat="1" applyFont="1" applyFill="1" applyBorder="1" applyAlignment="1">
      <alignment vertical="center" wrapText="1"/>
    </xf>
    <xf numFmtId="0" fontId="5" fillId="0" borderId="11" xfId="0" applyFont="1" applyFill="1" applyBorder="1" applyAlignment="1">
      <alignment horizontal="left" vertical="center" wrapText="1"/>
    </xf>
    <xf numFmtId="0" fontId="3" fillId="11" borderId="11" xfId="0" applyFont="1" applyFill="1" applyBorder="1" applyAlignment="1">
      <alignment horizontal="left" vertical="center" wrapText="1"/>
    </xf>
    <xf numFmtId="0" fontId="5" fillId="7" borderId="3" xfId="2" applyNumberFormat="1" applyFont="1" applyFill="1" applyBorder="1" applyAlignment="1">
      <alignment horizontal="center" vertical="center"/>
    </xf>
    <xf numFmtId="0" fontId="5" fillId="0" borderId="11" xfId="2" applyNumberFormat="1" applyFont="1" applyFill="1" applyBorder="1" applyAlignment="1">
      <alignment horizontal="center" vertical="center"/>
    </xf>
    <xf numFmtId="0" fontId="5" fillId="0" borderId="12" xfId="2" applyNumberFormat="1" applyFont="1" applyFill="1" applyBorder="1" applyAlignment="1">
      <alignment horizontal="center" vertical="center"/>
    </xf>
    <xf numFmtId="170" fontId="5" fillId="0" borderId="1" xfId="2" applyNumberFormat="1" applyFont="1" applyFill="1" applyBorder="1" applyAlignment="1">
      <alignment horizontal="justify" vertical="center"/>
    </xf>
    <xf numFmtId="172" fontId="5" fillId="0" borderId="1" xfId="1" applyNumberFormat="1" applyFont="1" applyFill="1" applyBorder="1" applyAlignment="1">
      <alignment horizontal="center" vertical="center"/>
    </xf>
    <xf numFmtId="0" fontId="3" fillId="7" borderId="12" xfId="0" applyFont="1" applyFill="1" applyBorder="1" applyAlignment="1">
      <alignment vertical="center"/>
    </xf>
    <xf numFmtId="172" fontId="3" fillId="7" borderId="12" xfId="1" applyNumberFormat="1" applyFont="1" applyFill="1" applyBorder="1" applyAlignment="1">
      <alignment horizontal="center" vertical="center"/>
    </xf>
    <xf numFmtId="170" fontId="5" fillId="0" borderId="1" xfId="2" applyNumberFormat="1" applyFont="1" applyFill="1" applyBorder="1" applyAlignment="1">
      <alignment vertical="center"/>
    </xf>
    <xf numFmtId="0" fontId="3" fillId="5" borderId="12" xfId="0" applyFont="1" applyFill="1" applyBorder="1" applyAlignment="1">
      <alignment horizontal="center" vertical="center"/>
    </xf>
    <xf numFmtId="0" fontId="3" fillId="5" borderId="12" xfId="0" applyFont="1" applyFill="1" applyBorder="1" applyAlignment="1">
      <alignment vertical="center"/>
    </xf>
    <xf numFmtId="0" fontId="4" fillId="5" borderId="12" xfId="0" applyFont="1" applyFill="1" applyBorder="1" applyAlignment="1">
      <alignment horizontal="right" vertical="center"/>
    </xf>
    <xf numFmtId="172" fontId="3" fillId="5" borderId="12" xfId="1" applyNumberFormat="1" applyFont="1" applyFill="1" applyBorder="1" applyAlignment="1">
      <alignment horizontal="center" vertical="center"/>
    </xf>
    <xf numFmtId="0" fontId="3" fillId="5" borderId="5" xfId="0" applyFont="1" applyFill="1" applyBorder="1" applyAlignment="1">
      <alignment vertical="center"/>
    </xf>
    <xf numFmtId="0" fontId="3" fillId="0" borderId="12" xfId="0" applyFont="1" applyFill="1" applyBorder="1" applyAlignment="1">
      <alignment horizontal="center" vertical="center" wrapText="1"/>
    </xf>
    <xf numFmtId="0" fontId="3" fillId="0" borderId="12" xfId="0" applyFont="1" applyFill="1" applyBorder="1" applyAlignment="1">
      <alignment horizontal="left" vertical="center" wrapText="1"/>
    </xf>
    <xf numFmtId="172" fontId="5" fillId="0" borderId="0" xfId="1" applyNumberFormat="1" applyFont="1" applyFill="1" applyBorder="1" applyAlignment="1">
      <alignment horizontal="center" vertical="center"/>
    </xf>
    <xf numFmtId="170" fontId="5" fillId="0" borderId="0" xfId="2" applyNumberFormat="1" applyFont="1" applyFill="1" applyBorder="1" applyAlignment="1">
      <alignment vertical="center"/>
    </xf>
    <xf numFmtId="170" fontId="5" fillId="0" borderId="7" xfId="2" applyNumberFormat="1" applyFont="1" applyBorder="1" applyAlignment="1">
      <alignment horizontal="justify" vertical="center"/>
    </xf>
    <xf numFmtId="0" fontId="5" fillId="2" borderId="10" xfId="0" applyFont="1" applyFill="1" applyBorder="1" applyAlignment="1">
      <alignment horizontal="center" vertical="center" wrapText="1"/>
    </xf>
    <xf numFmtId="0" fontId="5" fillId="4" borderId="6" xfId="0" applyFont="1" applyFill="1" applyBorder="1" applyAlignment="1">
      <alignment horizontal="justify" vertical="center" wrapText="1"/>
    </xf>
    <xf numFmtId="0" fontId="5" fillId="4" borderId="6" xfId="0" applyFont="1" applyFill="1" applyBorder="1" applyAlignment="1">
      <alignment horizontal="center" vertical="center" wrapText="1"/>
    </xf>
    <xf numFmtId="0" fontId="3" fillId="4" borderId="11" xfId="0" applyFont="1" applyFill="1" applyBorder="1" applyAlignment="1">
      <alignment horizontal="justify" vertical="center" wrapText="1"/>
    </xf>
    <xf numFmtId="0" fontId="5" fillId="0" borderId="14" xfId="0" applyFont="1" applyBorder="1" applyAlignment="1">
      <alignment vertical="center" wrapText="1"/>
    </xf>
    <xf numFmtId="0" fontId="5" fillId="7" borderId="6" xfId="0" applyNumberFormat="1" applyFont="1" applyFill="1" applyBorder="1" applyAlignment="1">
      <alignment horizontal="center" vertical="center"/>
    </xf>
    <xf numFmtId="0" fontId="7" fillId="7" borderId="6" xfId="0" applyFont="1" applyFill="1" applyBorder="1" applyAlignment="1">
      <alignment horizontal="right" vertical="center" wrapText="1"/>
    </xf>
    <xf numFmtId="170" fontId="5" fillId="7" borderId="6" xfId="2" applyNumberFormat="1" applyFont="1" applyFill="1" applyBorder="1" applyAlignment="1">
      <alignment horizontal="justify" vertical="center"/>
    </xf>
    <xf numFmtId="0" fontId="6" fillId="0" borderId="2" xfId="0" applyFont="1" applyFill="1" applyBorder="1"/>
    <xf numFmtId="0" fontId="6" fillId="0" borderId="11" xfId="0" applyFont="1" applyFill="1" applyBorder="1"/>
    <xf numFmtId="0" fontId="3" fillId="5" borderId="3" xfId="0" applyFont="1" applyFill="1" applyBorder="1" applyAlignment="1">
      <alignment horizontal="center" vertical="center" wrapText="1"/>
    </xf>
    <xf numFmtId="0" fontId="3" fillId="6" borderId="7" xfId="0" applyFont="1" applyFill="1" applyBorder="1" applyAlignment="1">
      <alignment horizontal="justify" vertical="center" wrapText="1"/>
    </xf>
    <xf numFmtId="0" fontId="5" fillId="7" borderId="3" xfId="0" applyFont="1" applyFill="1" applyBorder="1" applyAlignment="1">
      <alignment horizontal="justify" vertical="center"/>
    </xf>
    <xf numFmtId="0" fontId="5" fillId="0" borderId="11" xfId="0" applyFont="1" applyFill="1" applyBorder="1" applyAlignment="1">
      <alignment horizontal="justify" vertical="center"/>
    </xf>
    <xf numFmtId="0" fontId="9" fillId="10" borderId="0" xfId="0" applyFont="1" applyFill="1" applyBorder="1" applyAlignment="1">
      <alignment vertical="center"/>
    </xf>
    <xf numFmtId="170" fontId="5" fillId="0" borderId="12" xfId="2" applyNumberFormat="1" applyFont="1" applyFill="1" applyBorder="1" applyAlignment="1">
      <alignment vertical="center"/>
    </xf>
    <xf numFmtId="172" fontId="9" fillId="3" borderId="3" xfId="1" applyNumberFormat="1" applyFont="1" applyFill="1" applyBorder="1" applyAlignment="1">
      <alignment horizontal="center" vertical="center"/>
    </xf>
    <xf numFmtId="170" fontId="9" fillId="3" borderId="5" xfId="0" applyNumberFormat="1" applyFont="1" applyFill="1" applyBorder="1" applyAlignment="1">
      <alignment horizontal="left" vertical="center"/>
    </xf>
    <xf numFmtId="3" fontId="8" fillId="0" borderId="3" xfId="0" applyNumberFormat="1" applyFont="1" applyFill="1" applyBorder="1" applyAlignment="1">
      <alignment horizontal="center" vertical="center"/>
    </xf>
    <xf numFmtId="172" fontId="5" fillId="0" borderId="10" xfId="1" applyNumberFormat="1" applyFont="1" applyFill="1" applyBorder="1" applyAlignment="1">
      <alignment horizontal="center" vertical="center"/>
    </xf>
    <xf numFmtId="170" fontId="5" fillId="0" borderId="10" xfId="2" applyNumberFormat="1" applyFont="1" applyFill="1" applyBorder="1" applyAlignment="1">
      <alignment vertical="center"/>
    </xf>
    <xf numFmtId="0" fontId="9" fillId="0" borderId="8" xfId="0" applyFont="1" applyFill="1" applyBorder="1" applyAlignment="1">
      <alignment horizontal="left" vertical="center"/>
    </xf>
    <xf numFmtId="37" fontId="7" fillId="0" borderId="3" xfId="2" applyNumberFormat="1" applyFont="1" applyFill="1" applyBorder="1" applyAlignment="1">
      <alignment horizontal="right" vertical="center"/>
    </xf>
    <xf numFmtId="170" fontId="5" fillId="0" borderId="8" xfId="2" applyNumberFormat="1" applyFont="1" applyFill="1" applyBorder="1" applyAlignment="1">
      <alignment horizontal="justify" vertical="center"/>
    </xf>
    <xf numFmtId="0" fontId="6" fillId="0" borderId="2" xfId="0" applyFont="1" applyFill="1" applyBorder="1" applyAlignment="1">
      <alignment horizontal="center" vertical="center"/>
    </xf>
    <xf numFmtId="0" fontId="5" fillId="0" borderId="10" xfId="0" applyFont="1" applyFill="1" applyBorder="1" applyAlignment="1">
      <alignment horizontal="justify" vertical="center"/>
    </xf>
    <xf numFmtId="16" fontId="5" fillId="0" borderId="10" xfId="0" applyNumberFormat="1" applyFont="1" applyFill="1" applyBorder="1" applyAlignment="1">
      <alignment horizontal="center" vertical="center" wrapText="1"/>
    </xf>
    <xf numFmtId="0" fontId="6" fillId="0" borderId="15" xfId="0" applyFont="1" applyFill="1" applyBorder="1" applyAlignment="1">
      <alignment horizontal="center" vertical="center"/>
    </xf>
    <xf numFmtId="3" fontId="8" fillId="0" borderId="3" xfId="0" applyNumberFormat="1" applyFont="1" applyFill="1" applyBorder="1" applyAlignment="1">
      <alignment vertical="center"/>
    </xf>
    <xf numFmtId="0" fontId="3" fillId="0" borderId="3" xfId="0" applyFont="1" applyFill="1" applyBorder="1" applyAlignment="1">
      <alignment horizontal="justify" vertical="center"/>
    </xf>
    <xf numFmtId="0" fontId="3" fillId="0" borderId="3" xfId="0" applyFont="1" applyFill="1" applyBorder="1" applyAlignment="1">
      <alignment horizontal="center" vertical="center"/>
    </xf>
    <xf numFmtId="0" fontId="5" fillId="7" borderId="3" xfId="0" applyFont="1" applyFill="1" applyBorder="1" applyAlignment="1">
      <alignment horizontal="center" vertical="center"/>
    </xf>
    <xf numFmtId="0" fontId="3" fillId="0" borderId="1" xfId="0" applyFont="1" applyFill="1" applyBorder="1" applyAlignment="1">
      <alignment horizontal="justify" vertical="center"/>
    </xf>
    <xf numFmtId="0" fontId="3" fillId="0" borderId="1" xfId="0" applyFont="1" applyFill="1" applyBorder="1" applyAlignment="1">
      <alignment horizontal="center" vertical="center"/>
    </xf>
    <xf numFmtId="0" fontId="5" fillId="0" borderId="11" xfId="0" applyFont="1" applyFill="1" applyBorder="1" applyAlignment="1">
      <alignment horizontal="center" vertical="center"/>
    </xf>
    <xf numFmtId="0" fontId="5" fillId="10" borderId="3" xfId="0" applyFont="1" applyFill="1" applyBorder="1" applyAlignment="1">
      <alignment horizontal="center" vertical="center"/>
    </xf>
    <xf numFmtId="0" fontId="5" fillId="10" borderId="3" xfId="0" applyFont="1" applyFill="1" applyBorder="1" applyAlignment="1">
      <alignment horizontal="center" vertical="center" wrapText="1"/>
    </xf>
    <xf numFmtId="170" fontId="5" fillId="0" borderId="3" xfId="2" applyNumberFormat="1" applyFont="1" applyBorder="1" applyAlignment="1">
      <alignment horizontal="justify" vertical="center"/>
    </xf>
    <xf numFmtId="0" fontId="5" fillId="0" borderId="9" xfId="0" applyFont="1" applyBorder="1" applyAlignment="1">
      <alignment horizontal="center" vertical="center" wrapText="1"/>
    </xf>
    <xf numFmtId="0" fontId="3" fillId="5" borderId="3" xfId="0" applyFont="1" applyFill="1" applyBorder="1" applyAlignment="1">
      <alignment horizontal="justify" vertical="center"/>
    </xf>
    <xf numFmtId="0" fontId="3" fillId="5" borderId="3" xfId="0" applyFont="1" applyFill="1" applyBorder="1" applyAlignment="1">
      <alignment horizontal="center" vertical="center"/>
    </xf>
    <xf numFmtId="0" fontId="5" fillId="5" borderId="3" xfId="0" applyFont="1" applyFill="1" applyBorder="1" applyAlignment="1">
      <alignment horizontal="center" vertical="center"/>
    </xf>
    <xf numFmtId="0" fontId="3" fillId="0" borderId="4"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11" borderId="7" xfId="0" applyFont="1" applyFill="1" applyBorder="1" applyAlignment="1">
      <alignment horizontal="left" vertical="center" wrapText="1"/>
    </xf>
    <xf numFmtId="170" fontId="5" fillId="2" borderId="3" xfId="2" applyNumberFormat="1" applyFont="1" applyFill="1" applyBorder="1" applyAlignment="1">
      <alignment vertical="center"/>
    </xf>
    <xf numFmtId="0" fontId="5" fillId="0" borderId="12" xfId="0" applyFont="1" applyFill="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wrapText="1"/>
    </xf>
    <xf numFmtId="0" fontId="5" fillId="2" borderId="10" xfId="0" applyFont="1" applyFill="1" applyBorder="1" applyAlignment="1">
      <alignment horizontal="justify" vertical="center"/>
    </xf>
    <xf numFmtId="16" fontId="5" fillId="2" borderId="10" xfId="0" applyNumberFormat="1" applyFont="1" applyFill="1" applyBorder="1" applyAlignment="1">
      <alignment horizontal="center" vertical="center" wrapText="1"/>
    </xf>
    <xf numFmtId="0" fontId="5" fillId="0" borderId="10" xfId="0" applyFont="1" applyBorder="1" applyAlignment="1">
      <alignment horizontal="center" vertical="center" wrapText="1"/>
    </xf>
    <xf numFmtId="0" fontId="3" fillId="0" borderId="8" xfId="0" applyFont="1" applyFill="1" applyBorder="1" applyAlignment="1">
      <alignment vertical="center" wrapText="1"/>
    </xf>
    <xf numFmtId="0" fontId="3" fillId="4" borderId="3" xfId="0" applyFont="1" applyFill="1" applyBorder="1" applyAlignment="1">
      <alignment horizontal="justify" vertical="center"/>
    </xf>
    <xf numFmtId="0" fontId="3" fillId="4" borderId="3" xfId="0" applyFont="1" applyFill="1" applyBorder="1" applyAlignment="1">
      <alignment horizontal="center" vertical="center"/>
    </xf>
    <xf numFmtId="0" fontId="5" fillId="4" borderId="3" xfId="0" applyFont="1" applyFill="1" applyBorder="1" applyAlignment="1">
      <alignment horizontal="center" vertical="center"/>
    </xf>
    <xf numFmtId="0" fontId="3" fillId="8" borderId="3" xfId="0" applyFont="1" applyFill="1" applyBorder="1" applyAlignment="1">
      <alignment horizontal="justify" vertical="center"/>
    </xf>
    <xf numFmtId="0" fontId="3" fillId="8" borderId="3" xfId="0" applyFont="1" applyFill="1" applyBorder="1" applyAlignment="1">
      <alignment horizontal="center" vertical="center"/>
    </xf>
    <xf numFmtId="0" fontId="5" fillId="8" borderId="3" xfId="0" applyFont="1" applyFill="1" applyBorder="1" applyAlignment="1">
      <alignment horizontal="center" vertical="center"/>
    </xf>
    <xf numFmtId="0" fontId="3" fillId="0" borderId="11" xfId="0" applyFont="1" applyFill="1" applyBorder="1" applyAlignment="1">
      <alignment horizontal="justify" vertical="center"/>
    </xf>
    <xf numFmtId="0" fontId="3" fillId="7" borderId="11" xfId="0" applyFont="1" applyFill="1" applyBorder="1" applyAlignment="1">
      <alignment horizontal="justify" vertical="center" wrapText="1"/>
    </xf>
    <xf numFmtId="0" fontId="5" fillId="2" borderId="3" xfId="0" applyNumberFormat="1" applyFont="1" applyFill="1" applyBorder="1" applyAlignment="1">
      <alignment horizontal="center" vertical="center" wrapText="1"/>
    </xf>
    <xf numFmtId="0" fontId="6" fillId="0" borderId="1" xfId="0" applyFont="1" applyFill="1" applyBorder="1"/>
    <xf numFmtId="0" fontId="3" fillId="7" borderId="10" xfId="0" applyFont="1" applyFill="1" applyBorder="1" applyAlignment="1">
      <alignment horizontal="justify" vertical="center" wrapText="1"/>
    </xf>
    <xf numFmtId="0" fontId="3" fillId="0" borderId="11" xfId="0" applyFont="1" applyFill="1" applyBorder="1" applyAlignment="1">
      <alignment horizontal="left" vertical="center" wrapText="1"/>
    </xf>
    <xf numFmtId="0" fontId="3" fillId="7" borderId="0" xfId="0" applyFont="1" applyFill="1" applyBorder="1" applyAlignment="1">
      <alignment vertical="center"/>
    </xf>
    <xf numFmtId="0" fontId="3" fillId="7" borderId="5" xfId="0" applyFont="1" applyFill="1" applyBorder="1" applyAlignment="1">
      <alignment vertical="center"/>
    </xf>
    <xf numFmtId="0" fontId="5" fillId="2" borderId="3" xfId="0" applyNumberFormat="1" applyFont="1" applyFill="1" applyBorder="1" applyAlignment="1">
      <alignment horizontal="justify" vertical="center" wrapText="1"/>
    </xf>
    <xf numFmtId="0" fontId="9" fillId="0" borderId="0"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Border="1" applyAlignment="1">
      <alignment vertical="center"/>
    </xf>
    <xf numFmtId="0" fontId="9" fillId="3" borderId="11" xfId="0" applyFont="1" applyFill="1" applyBorder="1" applyAlignment="1">
      <alignment horizontal="left" vertical="center" wrapText="1"/>
    </xf>
    <xf numFmtId="0" fontId="9" fillId="3" borderId="11" xfId="0" applyFont="1" applyFill="1" applyBorder="1" applyAlignment="1">
      <alignment horizontal="center" vertical="center" wrapText="1"/>
    </xf>
    <xf numFmtId="0" fontId="4" fillId="3" borderId="11" xfId="0" applyFont="1" applyFill="1" applyBorder="1" applyAlignment="1">
      <alignment horizontal="right" vertical="center" wrapText="1"/>
    </xf>
    <xf numFmtId="172" fontId="9" fillId="3" borderId="11" xfId="1" applyNumberFormat="1" applyFont="1" applyFill="1" applyBorder="1" applyAlignment="1">
      <alignment horizontal="center" vertical="center" wrapText="1"/>
    </xf>
    <xf numFmtId="0" fontId="9" fillId="3" borderId="11" xfId="0" applyFont="1" applyFill="1" applyBorder="1" applyAlignment="1">
      <alignment vertical="center" wrapText="1"/>
    </xf>
    <xf numFmtId="170" fontId="9" fillId="3" borderId="2" xfId="0" applyNumberFormat="1" applyFont="1" applyFill="1" applyBorder="1" applyAlignment="1">
      <alignment horizontal="left" vertical="center" wrapText="1"/>
    </xf>
    <xf numFmtId="43" fontId="5" fillId="0" borderId="14" xfId="2" applyFont="1" applyFill="1" applyBorder="1" applyAlignment="1">
      <alignment horizontal="center" vertical="center"/>
    </xf>
    <xf numFmtId="170" fontId="5" fillId="0" borderId="14" xfId="3" applyNumberFormat="1" applyFont="1" applyFill="1" applyBorder="1" applyAlignment="1">
      <alignment horizontal="center" vertical="center"/>
    </xf>
    <xf numFmtId="172" fontId="5" fillId="0" borderId="7" xfId="1" applyNumberFormat="1" applyFont="1" applyFill="1" applyBorder="1" applyAlignment="1">
      <alignment horizontal="center" vertical="center" wrapText="1"/>
    </xf>
    <xf numFmtId="170" fontId="5" fillId="0" borderId="7" xfId="1" applyNumberFormat="1" applyFont="1" applyFill="1" applyBorder="1" applyAlignment="1">
      <alignment horizontal="center" vertical="center" wrapText="1"/>
    </xf>
    <xf numFmtId="3" fontId="5" fillId="0" borderId="3" xfId="2" applyNumberFormat="1" applyFont="1" applyFill="1" applyBorder="1" applyAlignment="1">
      <alignment vertical="center"/>
    </xf>
    <xf numFmtId="0" fontId="3" fillId="7" borderId="7" xfId="0" applyFont="1" applyFill="1" applyBorder="1" applyAlignment="1">
      <alignment horizontal="left" vertical="center"/>
    </xf>
    <xf numFmtId="170" fontId="5" fillId="0" borderId="11" xfId="0" applyNumberFormat="1" applyFont="1" applyFill="1" applyBorder="1" applyAlignment="1">
      <alignment horizontal="justify" vertical="center" wrapText="1"/>
    </xf>
    <xf numFmtId="170" fontId="5" fillId="2" borderId="11" xfId="0" applyNumberFormat="1" applyFont="1" applyFill="1" applyBorder="1" applyAlignment="1">
      <alignment horizontal="justify" vertical="center" wrapText="1"/>
    </xf>
    <xf numFmtId="172" fontId="5" fillId="0" borderId="11" xfId="1" applyNumberFormat="1" applyFont="1" applyFill="1" applyBorder="1" applyAlignment="1">
      <alignment horizontal="center" vertical="center" wrapText="1"/>
    </xf>
    <xf numFmtId="170" fontId="5" fillId="0" borderId="11" xfId="0" applyNumberFormat="1" applyFont="1" applyFill="1" applyBorder="1" applyAlignment="1">
      <alignment vertical="center" wrapText="1"/>
    </xf>
    <xf numFmtId="3" fontId="5" fillId="7" borderId="3" xfId="0" applyNumberFormat="1" applyFont="1" applyFill="1" applyBorder="1" applyAlignment="1">
      <alignment horizontal="justify" vertical="center" wrapText="1"/>
    </xf>
    <xf numFmtId="170" fontId="5" fillId="5" borderId="3" xfId="0" applyNumberFormat="1" applyFont="1" applyFill="1" applyBorder="1" applyAlignment="1">
      <alignment horizontal="justify" vertical="center" wrapText="1"/>
    </xf>
    <xf numFmtId="0" fontId="3" fillId="4" borderId="3" xfId="0" applyFont="1" applyFill="1" applyBorder="1" applyAlignment="1">
      <alignment horizontal="center" vertical="center" wrapText="1"/>
    </xf>
    <xf numFmtId="0" fontId="3" fillId="4" borderId="3" xfId="0" applyFont="1" applyFill="1" applyBorder="1" applyAlignment="1">
      <alignment vertical="center" wrapText="1"/>
    </xf>
    <xf numFmtId="0" fontId="4" fillId="4" borderId="3" xfId="0" applyFont="1" applyFill="1" applyBorder="1" applyAlignment="1">
      <alignment horizontal="right" vertical="center" wrapText="1"/>
    </xf>
    <xf numFmtId="172" fontId="5" fillId="6" borderId="3" xfId="1" applyNumberFormat="1" applyFont="1" applyFill="1" applyBorder="1" applyAlignment="1">
      <alignment horizontal="center" vertical="center"/>
    </xf>
    <xf numFmtId="170" fontId="5" fillId="6" borderId="3" xfId="1" applyNumberFormat="1" applyFont="1" applyFill="1" applyBorder="1" applyAlignment="1">
      <alignment horizontal="center" vertical="center"/>
    </xf>
    <xf numFmtId="0" fontId="3" fillId="7" borderId="11" xfId="0" applyFont="1" applyFill="1" applyBorder="1" applyAlignment="1">
      <alignment horizontal="center" vertical="center" wrapText="1"/>
    </xf>
    <xf numFmtId="0" fontId="5" fillId="7" borderId="11" xfId="0" applyFont="1" applyFill="1" applyBorder="1" applyAlignment="1">
      <alignment horizontal="justify" vertical="center" wrapText="1"/>
    </xf>
    <xf numFmtId="0" fontId="5" fillId="7" borderId="11" xfId="0" applyNumberFormat="1" applyFont="1" applyFill="1" applyBorder="1" applyAlignment="1">
      <alignment horizontal="center" vertical="center" wrapText="1"/>
    </xf>
    <xf numFmtId="0" fontId="7" fillId="7" borderId="11" xfId="0" applyFont="1" applyFill="1" applyBorder="1" applyAlignment="1">
      <alignment horizontal="right" vertical="center" wrapText="1"/>
    </xf>
    <xf numFmtId="0" fontId="5" fillId="7" borderId="11" xfId="0" applyFont="1" applyFill="1" applyBorder="1" applyAlignment="1">
      <alignment horizontal="center" vertical="center" wrapText="1"/>
    </xf>
    <xf numFmtId="170" fontId="5" fillId="7" borderId="11" xfId="2" applyNumberFormat="1" applyFont="1" applyFill="1" applyBorder="1" applyAlignment="1">
      <alignment horizontal="justify" vertical="center"/>
    </xf>
    <xf numFmtId="0" fontId="3" fillId="0" borderId="11" xfId="0" applyFont="1" applyFill="1" applyBorder="1" applyAlignment="1">
      <alignment horizontal="justify" vertical="center" wrapText="1"/>
    </xf>
    <xf numFmtId="0" fontId="5" fillId="0" borderId="14" xfId="0" applyFont="1" applyFill="1" applyBorder="1" applyAlignment="1">
      <alignment vertical="center"/>
    </xf>
    <xf numFmtId="170" fontId="5" fillId="0" borderId="3" xfId="2" applyNumberFormat="1" applyFont="1" applyFill="1" applyBorder="1" applyAlignment="1">
      <alignment horizontal="justify" vertical="center" wrapText="1"/>
    </xf>
    <xf numFmtId="0" fontId="5" fillId="0" borderId="10" xfId="0" applyFont="1" applyFill="1" applyBorder="1" applyAlignment="1">
      <alignment vertical="center"/>
    </xf>
    <xf numFmtId="0" fontId="5" fillId="0" borderId="11" xfId="0" applyFont="1" applyFill="1" applyBorder="1" applyAlignment="1">
      <alignment horizontal="center" vertical="center" wrapText="1"/>
    </xf>
    <xf numFmtId="0" fontId="7" fillId="7" borderId="3" xfId="0" applyFont="1" applyFill="1" applyBorder="1" applyAlignment="1">
      <alignment horizontal="right" vertical="center"/>
    </xf>
    <xf numFmtId="170" fontId="5" fillId="7" borderId="3" xfId="0" applyNumberFormat="1" applyFont="1" applyFill="1" applyBorder="1" applyAlignment="1">
      <alignment horizontal="justify" vertical="center"/>
    </xf>
    <xf numFmtId="0" fontId="7" fillId="0" borderId="11" xfId="0" applyFont="1" applyFill="1" applyBorder="1" applyAlignment="1">
      <alignment horizontal="right" vertical="center"/>
    </xf>
    <xf numFmtId="170" fontId="5" fillId="0" borderId="11" xfId="0" applyNumberFormat="1" applyFont="1" applyFill="1" applyBorder="1" applyAlignment="1">
      <alignment horizontal="justify" vertical="center"/>
    </xf>
    <xf numFmtId="170" fontId="5" fillId="0" borderId="11" xfId="0" applyNumberFormat="1" applyFont="1" applyFill="1" applyBorder="1" applyAlignment="1">
      <alignment vertical="center"/>
    </xf>
    <xf numFmtId="0" fontId="3" fillId="7" borderId="3" xfId="0" applyFont="1" applyFill="1" applyBorder="1" applyAlignment="1">
      <alignment horizontal="justify" vertical="center"/>
    </xf>
    <xf numFmtId="0" fontId="5" fillId="2" borderId="10" xfId="0" applyNumberFormat="1" applyFont="1" applyFill="1" applyBorder="1" applyAlignment="1">
      <alignment horizontal="center" vertical="center" wrapText="1"/>
    </xf>
    <xf numFmtId="0" fontId="9" fillId="0" borderId="2" xfId="0" applyFont="1" applyFill="1" applyBorder="1" applyAlignment="1">
      <alignment vertical="center"/>
    </xf>
    <xf numFmtId="0" fontId="5" fillId="7" borderId="6" xfId="0" applyNumberFormat="1" applyFont="1" applyFill="1" applyBorder="1" applyAlignment="1">
      <alignment horizontal="center" vertical="center" wrapText="1"/>
    </xf>
    <xf numFmtId="0" fontId="5" fillId="5" borderId="5" xfId="0" applyFont="1" applyFill="1" applyBorder="1" applyAlignment="1">
      <alignment horizontal="justify" vertical="center" wrapText="1"/>
    </xf>
    <xf numFmtId="0" fontId="5" fillId="5" borderId="6" xfId="0" applyNumberFormat="1" applyFont="1" applyFill="1" applyBorder="1" applyAlignment="1">
      <alignment horizontal="center" vertical="center" wrapText="1"/>
    </xf>
    <xf numFmtId="0" fontId="7" fillId="5" borderId="6" xfId="0" applyFont="1" applyFill="1" applyBorder="1" applyAlignment="1">
      <alignment horizontal="right" vertical="center" wrapText="1"/>
    </xf>
    <xf numFmtId="170" fontId="5" fillId="5" borderId="6" xfId="2" applyNumberFormat="1" applyFont="1" applyFill="1" applyBorder="1" applyAlignment="1">
      <alignment horizontal="justify" vertical="center"/>
    </xf>
    <xf numFmtId="0" fontId="5" fillId="4" borderId="5" xfId="0" applyFont="1" applyFill="1" applyBorder="1" applyAlignment="1">
      <alignment horizontal="justify" vertical="center" wrapText="1"/>
    </xf>
    <xf numFmtId="0" fontId="5" fillId="4" borderId="6" xfId="0" applyNumberFormat="1" applyFont="1" applyFill="1" applyBorder="1" applyAlignment="1">
      <alignment horizontal="center" vertical="center" wrapText="1"/>
    </xf>
    <xf numFmtId="0" fontId="7" fillId="4" borderId="6" xfId="0" applyFont="1" applyFill="1" applyBorder="1" applyAlignment="1">
      <alignment horizontal="right" vertical="center" wrapText="1"/>
    </xf>
    <xf numFmtId="170" fontId="5" fillId="4" borderId="6" xfId="2" applyNumberFormat="1" applyFont="1" applyFill="1" applyBorder="1" applyAlignment="1">
      <alignment horizontal="justify" vertical="center"/>
    </xf>
    <xf numFmtId="43" fontId="5" fillId="7" borderId="3" xfId="2" applyNumberFormat="1" applyFont="1" applyFill="1" applyBorder="1" applyAlignment="1">
      <alignment horizontal="justify" vertical="center"/>
    </xf>
    <xf numFmtId="43" fontId="5" fillId="5" borderId="3" xfId="2" applyNumberFormat="1" applyFont="1" applyFill="1" applyBorder="1" applyAlignment="1">
      <alignment horizontal="justify" vertical="center"/>
    </xf>
    <xf numFmtId="170" fontId="5" fillId="7" borderId="3" xfId="1" applyNumberFormat="1" applyFont="1" applyFill="1" applyBorder="1" applyAlignment="1">
      <alignment horizontal="center" vertical="center"/>
    </xf>
    <xf numFmtId="170" fontId="5" fillId="5" borderId="3" xfId="1" applyNumberFormat="1" applyFont="1" applyFill="1" applyBorder="1" applyAlignment="1">
      <alignment horizontal="center" vertical="center"/>
    </xf>
    <xf numFmtId="170" fontId="5" fillId="4" borderId="3" xfId="1" applyNumberFormat="1" applyFont="1" applyFill="1" applyBorder="1" applyAlignment="1">
      <alignment horizontal="center" vertical="center"/>
    </xf>
    <xf numFmtId="170" fontId="5" fillId="8" borderId="3" xfId="1" applyNumberFormat="1" applyFont="1" applyFill="1" applyBorder="1" applyAlignment="1">
      <alignment horizontal="center" vertical="center"/>
    </xf>
    <xf numFmtId="43" fontId="3" fillId="5" borderId="11" xfId="0" applyNumberFormat="1" applyFont="1" applyFill="1" applyBorder="1" applyAlignment="1">
      <alignment vertical="center"/>
    </xf>
    <xf numFmtId="43" fontId="3" fillId="7" borderId="2" xfId="0" applyNumberFormat="1" applyFont="1" applyFill="1" applyBorder="1" applyAlignment="1">
      <alignment vertical="center"/>
    </xf>
    <xf numFmtId="3" fontId="5" fillId="7" borderId="3" xfId="0" applyNumberFormat="1" applyFont="1" applyFill="1" applyBorder="1" applyAlignment="1">
      <alignment horizontal="center" vertical="center" wrapText="1"/>
    </xf>
    <xf numFmtId="10" fontId="5" fillId="0" borderId="11"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0" borderId="12" xfId="0" applyNumberFormat="1" applyFont="1" applyFill="1" applyBorder="1" applyAlignment="1">
      <alignment horizontal="center" vertical="center" wrapText="1"/>
    </xf>
    <xf numFmtId="170" fontId="3" fillId="7" borderId="11" xfId="1" applyNumberFormat="1" applyFont="1" applyFill="1" applyBorder="1" applyAlignment="1">
      <alignment vertical="center"/>
    </xf>
    <xf numFmtId="165" fontId="3" fillId="7" borderId="2" xfId="1" applyFont="1" applyFill="1" applyBorder="1" applyAlignment="1">
      <alignment vertical="center"/>
    </xf>
    <xf numFmtId="3" fontId="5" fillId="0" borderId="3" xfId="0" applyNumberFormat="1" applyFont="1" applyFill="1" applyBorder="1" applyAlignment="1">
      <alignment horizontal="left" vertical="center" wrapText="1"/>
    </xf>
    <xf numFmtId="43" fontId="5" fillId="0" borderId="3" xfId="2" applyFont="1" applyFill="1" applyBorder="1" applyAlignment="1">
      <alignment horizontal="justify" vertical="center"/>
    </xf>
    <xf numFmtId="10" fontId="5" fillId="5" borderId="3" xfId="0" applyNumberFormat="1" applyFont="1" applyFill="1" applyBorder="1" applyAlignment="1">
      <alignment horizontal="center" vertical="center" wrapText="1"/>
    </xf>
    <xf numFmtId="3" fontId="5" fillId="5" borderId="3" xfId="0" applyNumberFormat="1" applyFont="1" applyFill="1" applyBorder="1" applyAlignment="1">
      <alignment horizontal="center" vertical="center" wrapText="1"/>
    </xf>
    <xf numFmtId="0" fontId="3" fillId="7" borderId="12" xfId="0" applyFont="1" applyFill="1" applyBorder="1" applyAlignment="1">
      <alignment horizontal="justify" vertical="center" wrapText="1"/>
    </xf>
    <xf numFmtId="10" fontId="5" fillId="0" borderId="9" xfId="0" applyNumberFormat="1" applyFont="1" applyFill="1" applyBorder="1" applyAlignment="1">
      <alignment horizontal="center" vertical="center" wrapText="1"/>
    </xf>
    <xf numFmtId="0" fontId="5" fillId="7" borderId="2" xfId="0" applyFont="1" applyFill="1" applyBorder="1" applyAlignment="1">
      <alignment horizontal="justify" vertical="center" wrapText="1"/>
    </xf>
    <xf numFmtId="0" fontId="3" fillId="7" borderId="2" xfId="0" applyFont="1" applyFill="1" applyBorder="1" applyAlignment="1">
      <alignment horizontal="justify" vertical="center" wrapText="1"/>
    </xf>
    <xf numFmtId="3" fontId="5" fillId="7" borderId="3" xfId="0" applyNumberFormat="1" applyFont="1" applyFill="1" applyBorder="1" applyAlignment="1">
      <alignment horizontal="center" vertical="center"/>
    </xf>
    <xf numFmtId="9" fontId="5" fillId="0" borderId="10" xfId="0" applyNumberFormat="1" applyFont="1" applyFill="1" applyBorder="1" applyAlignment="1">
      <alignment vertical="center" wrapText="1"/>
    </xf>
    <xf numFmtId="3" fontId="5" fillId="0" borderId="3" xfId="0" applyNumberFormat="1" applyFont="1" applyFill="1" applyBorder="1" applyAlignment="1">
      <alignment horizontal="left" vertical="center"/>
    </xf>
    <xf numFmtId="10" fontId="5" fillId="0" borderId="3" xfId="0" applyNumberFormat="1" applyFont="1" applyBorder="1" applyAlignment="1">
      <alignment horizontal="center" vertical="center" wrapText="1"/>
    </xf>
    <xf numFmtId="0" fontId="5" fillId="0" borderId="1" xfId="0" applyFont="1" applyFill="1" applyBorder="1" applyAlignment="1">
      <alignment horizontal="justify" vertical="center" wrapText="1"/>
    </xf>
    <xf numFmtId="10" fontId="5"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0" fontId="7" fillId="0" borderId="0" xfId="0" applyFont="1" applyFill="1" applyBorder="1" applyAlignment="1">
      <alignment horizontal="right" vertical="center" wrapText="1"/>
    </xf>
    <xf numFmtId="0" fontId="5" fillId="0" borderId="0" xfId="0" applyFont="1" applyFill="1" applyBorder="1" applyAlignment="1">
      <alignment horizontal="justify" vertical="center" wrapText="1"/>
    </xf>
    <xf numFmtId="170" fontId="5" fillId="2" borderId="1" xfId="2" applyNumberFormat="1" applyFont="1" applyFill="1" applyBorder="1" applyAlignment="1">
      <alignment horizontal="justify" vertical="center"/>
    </xf>
    <xf numFmtId="170" fontId="5" fillId="0" borderId="9" xfId="2" applyNumberFormat="1" applyFont="1" applyFill="1" applyBorder="1" applyAlignment="1">
      <alignment horizontal="justify" vertical="center"/>
    </xf>
    <xf numFmtId="10" fontId="5" fillId="0" borderId="10" xfId="0" applyNumberFormat="1" applyFont="1" applyFill="1" applyBorder="1" applyAlignment="1">
      <alignment vertical="center" wrapText="1"/>
    </xf>
    <xf numFmtId="172" fontId="6" fillId="0" borderId="0" xfId="1" applyNumberFormat="1" applyFont="1" applyFill="1" applyBorder="1" applyAlignment="1">
      <alignment horizontal="center"/>
    </xf>
    <xf numFmtId="0" fontId="6" fillId="0" borderId="0" xfId="0" applyFont="1" applyFill="1" applyBorder="1" applyAlignment="1"/>
    <xf numFmtId="0" fontId="6" fillId="0" borderId="0" xfId="0" applyFont="1" applyFill="1" applyBorder="1" applyAlignment="1">
      <alignment horizontal="left" vertical="center" wrapText="1"/>
    </xf>
    <xf numFmtId="13" fontId="5" fillId="0" borderId="14" xfId="0" applyNumberFormat="1" applyFont="1" applyFill="1" applyBorder="1" applyAlignment="1">
      <alignment horizontal="center" vertical="center" wrapText="1"/>
    </xf>
    <xf numFmtId="10" fontId="5" fillId="0" borderId="10" xfId="0" applyNumberFormat="1" applyFont="1" applyBorder="1" applyAlignment="1">
      <alignment horizontal="center" vertical="center" wrapText="1"/>
    </xf>
    <xf numFmtId="0" fontId="6" fillId="0" borderId="0" xfId="0" applyFont="1" applyBorder="1" applyAlignment="1">
      <alignment horizontal="left" vertical="center" wrapText="1"/>
    </xf>
    <xf numFmtId="0" fontId="5" fillId="5" borderId="9" xfId="0" applyFont="1" applyFill="1" applyBorder="1" applyAlignment="1">
      <alignment horizontal="justify" vertical="center" wrapText="1"/>
    </xf>
    <xf numFmtId="3" fontId="5" fillId="5" borderId="3" xfId="0" applyNumberFormat="1" applyFont="1" applyFill="1" applyBorder="1" applyAlignment="1">
      <alignment horizontal="center" vertical="center"/>
    </xf>
    <xf numFmtId="170" fontId="5" fillId="0" borderId="3" xfId="2" applyNumberFormat="1" applyFont="1" applyFill="1" applyBorder="1" applyAlignment="1">
      <alignment vertical="center" wrapText="1"/>
    </xf>
    <xf numFmtId="0" fontId="5" fillId="7" borderId="3" xfId="0" applyFont="1" applyFill="1" applyBorder="1" applyAlignment="1">
      <alignment horizontal="right" vertical="center" wrapText="1"/>
    </xf>
    <xf numFmtId="172" fontId="5" fillId="7" borderId="3" xfId="1" applyNumberFormat="1" applyFont="1" applyFill="1" applyBorder="1" applyAlignment="1">
      <alignment horizontal="center" vertical="center" wrapText="1"/>
    </xf>
    <xf numFmtId="170" fontId="5" fillId="7" borderId="3" xfId="1" applyNumberFormat="1" applyFont="1" applyFill="1" applyBorder="1" applyAlignment="1">
      <alignment horizontal="right" vertical="center" wrapText="1"/>
    </xf>
    <xf numFmtId="3" fontId="5" fillId="2" borderId="3" xfId="0" applyNumberFormat="1" applyFont="1" applyFill="1" applyBorder="1" applyAlignment="1">
      <alignment horizontal="center" vertical="center"/>
    </xf>
    <xf numFmtId="170" fontId="5" fillId="2" borderId="3" xfId="2" applyNumberFormat="1" applyFont="1" applyFill="1" applyBorder="1" applyAlignment="1">
      <alignment horizontal="justify" vertical="center" wrapText="1"/>
    </xf>
    <xf numFmtId="172" fontId="5" fillId="0" borderId="3" xfId="1" applyNumberFormat="1" applyFont="1" applyBorder="1" applyAlignment="1">
      <alignment horizontal="center" vertical="center" wrapText="1"/>
    </xf>
    <xf numFmtId="0" fontId="5" fillId="0" borderId="7" xfId="0" applyFont="1" applyBorder="1" applyAlignment="1">
      <alignment horizontal="justify" vertical="center" wrapText="1"/>
    </xf>
    <xf numFmtId="165" fontId="5" fillId="7" borderId="3" xfId="1" applyFont="1" applyFill="1" applyBorder="1" applyAlignment="1">
      <alignment horizontal="justify" vertical="center" wrapText="1"/>
    </xf>
    <xf numFmtId="9" fontId="5" fillId="0" borderId="3" xfId="3" applyFont="1" applyFill="1" applyBorder="1" applyAlignment="1">
      <alignment horizontal="center" vertical="center" wrapText="1"/>
    </xf>
    <xf numFmtId="171" fontId="6" fillId="2" borderId="3" xfId="0" applyNumberFormat="1" applyFont="1" applyFill="1" applyBorder="1" applyAlignment="1">
      <alignment horizontal="right" vertical="center"/>
    </xf>
    <xf numFmtId="171" fontId="6" fillId="0" borderId="3" xfId="0" applyNumberFormat="1" applyFont="1" applyFill="1" applyBorder="1" applyAlignment="1">
      <alignment horizontal="right" vertical="center"/>
    </xf>
    <xf numFmtId="9" fontId="5" fillId="7" borderId="3" xfId="3" applyFont="1" applyFill="1" applyBorder="1" applyAlignment="1">
      <alignment horizontal="center" vertical="center" wrapText="1"/>
    </xf>
    <xf numFmtId="3" fontId="5" fillId="7" borderId="3" xfId="0" applyNumberFormat="1" applyFont="1" applyFill="1" applyBorder="1" applyAlignment="1">
      <alignment horizontal="right" vertical="center" wrapText="1"/>
    </xf>
    <xf numFmtId="3" fontId="5" fillId="7" borderId="3" xfId="0" applyNumberFormat="1" applyFont="1" applyFill="1" applyBorder="1" applyAlignment="1">
      <alignment vertical="center" wrapText="1"/>
    </xf>
    <xf numFmtId="0" fontId="5" fillId="0" borderId="6" xfId="0" applyFont="1" applyBorder="1" applyAlignment="1">
      <alignment horizontal="justify" vertical="center" wrapText="1"/>
    </xf>
    <xf numFmtId="3" fontId="5" fillId="0" borderId="3" xfId="0" applyNumberFormat="1" applyFont="1" applyBorder="1" applyAlignment="1">
      <alignment horizontal="center" vertical="center" wrapText="1"/>
    </xf>
    <xf numFmtId="3" fontId="6" fillId="0" borderId="6" xfId="0" applyNumberFormat="1" applyFont="1" applyFill="1" applyBorder="1" applyAlignment="1">
      <alignment horizontal="center" vertical="center"/>
    </xf>
    <xf numFmtId="170" fontId="6" fillId="2" borderId="3" xfId="0" applyNumberFormat="1" applyFont="1" applyFill="1" applyBorder="1" applyAlignment="1">
      <alignment horizontal="left" vertical="center" wrapText="1"/>
    </xf>
    <xf numFmtId="0" fontId="5" fillId="0" borderId="10" xfId="0" applyFont="1" applyBorder="1" applyAlignment="1">
      <alignment horizontal="justify" vertical="center" wrapText="1"/>
    </xf>
    <xf numFmtId="0" fontId="3" fillId="0" borderId="14" xfId="0" applyFont="1" applyFill="1" applyBorder="1" applyAlignment="1">
      <alignment horizontal="right" vertical="center" wrapText="1"/>
    </xf>
    <xf numFmtId="0" fontId="3" fillId="0" borderId="10" xfId="0" applyFont="1" applyFill="1" applyBorder="1" applyAlignment="1">
      <alignment horizontal="right" vertical="center" wrapText="1"/>
    </xf>
    <xf numFmtId="0" fontId="5" fillId="0" borderId="3" xfId="0" applyFont="1" applyBorder="1" applyAlignment="1">
      <alignment horizontal="right" vertical="center" wrapText="1"/>
    </xf>
    <xf numFmtId="0" fontId="5" fillId="0" borderId="3" xfId="0" applyFont="1" applyFill="1" applyBorder="1" applyAlignment="1">
      <alignment horizontal="right" vertical="center" wrapText="1"/>
    </xf>
    <xf numFmtId="3" fontId="5" fillId="7" borderId="3" xfId="0" applyNumberFormat="1" applyFont="1" applyFill="1" applyBorder="1" applyAlignment="1">
      <alignment horizontal="right" vertical="center"/>
    </xf>
    <xf numFmtId="0" fontId="9" fillId="0" borderId="0" xfId="0" applyFont="1" applyFill="1" applyBorder="1" applyAlignment="1">
      <alignment horizontal="right" vertical="center"/>
    </xf>
    <xf numFmtId="0" fontId="5" fillId="5" borderId="2" xfId="0" applyFont="1" applyFill="1" applyBorder="1" applyAlignment="1">
      <alignment horizontal="right" vertical="center" wrapText="1"/>
    </xf>
    <xf numFmtId="0" fontId="5" fillId="5" borderId="3" xfId="0" applyFont="1" applyFill="1" applyBorder="1" applyAlignment="1">
      <alignment horizontal="right" vertical="center" wrapText="1"/>
    </xf>
    <xf numFmtId="3" fontId="5" fillId="5" borderId="3" xfId="0" applyNumberFormat="1" applyFont="1" applyFill="1" applyBorder="1" applyAlignment="1">
      <alignment horizontal="right" vertical="center" wrapText="1"/>
    </xf>
    <xf numFmtId="3" fontId="5" fillId="5" borderId="3" xfId="0" applyNumberFormat="1" applyFont="1" applyFill="1" applyBorder="1" applyAlignment="1">
      <alignment horizontal="right" vertical="center"/>
    </xf>
    <xf numFmtId="172" fontId="5" fillId="5" borderId="3" xfId="1" applyNumberFormat="1" applyFont="1" applyFill="1" applyBorder="1" applyAlignment="1">
      <alignment horizontal="center" vertical="center" wrapText="1"/>
    </xf>
    <xf numFmtId="0" fontId="6" fillId="0" borderId="0" xfId="0" applyFont="1" applyBorder="1" applyAlignment="1">
      <alignment horizontal="right"/>
    </xf>
    <xf numFmtId="49" fontId="5" fillId="10" borderId="2" xfId="0" applyNumberFormat="1" applyFont="1" applyFill="1" applyBorder="1" applyAlignment="1">
      <alignment horizontal="center" vertical="center" wrapText="1"/>
    </xf>
    <xf numFmtId="49" fontId="5" fillId="2" borderId="3" xfId="0" applyNumberFormat="1" applyFont="1" applyFill="1" applyBorder="1" applyAlignment="1">
      <alignment horizontal="justify" vertical="center" wrapText="1"/>
    </xf>
    <xf numFmtId="49" fontId="5" fillId="0" borderId="3" xfId="0" applyNumberFormat="1" applyFont="1" applyFill="1" applyBorder="1" applyAlignment="1">
      <alignment horizontal="justify" vertical="center" wrapText="1"/>
    </xf>
    <xf numFmtId="49" fontId="5" fillId="5" borderId="2" xfId="0" applyNumberFormat="1" applyFont="1" applyFill="1" applyBorder="1" applyAlignment="1">
      <alignment horizontal="justify" vertical="center" wrapText="1"/>
    </xf>
    <xf numFmtId="49" fontId="5" fillId="5" borderId="3" xfId="0" applyNumberFormat="1" applyFont="1" applyFill="1" applyBorder="1" applyAlignment="1">
      <alignment horizontal="center" vertical="center" wrapText="1"/>
    </xf>
    <xf numFmtId="49" fontId="5" fillId="5" borderId="3" xfId="0" applyNumberFormat="1" applyFont="1" applyFill="1" applyBorder="1" applyAlignment="1">
      <alignment horizontal="justify" vertical="center" wrapText="1"/>
    </xf>
    <xf numFmtId="0" fontId="6" fillId="2" borderId="0" xfId="0" applyFont="1" applyFill="1" applyBorder="1"/>
    <xf numFmtId="49" fontId="5" fillId="4" borderId="3" xfId="0" applyNumberFormat="1" applyFont="1" applyFill="1" applyBorder="1" applyAlignment="1">
      <alignment horizontal="justify" vertical="center" wrapText="1"/>
    </xf>
    <xf numFmtId="49" fontId="5" fillId="4" borderId="3" xfId="0" applyNumberFormat="1" applyFont="1" applyFill="1" applyBorder="1" applyAlignment="1">
      <alignment horizontal="center" vertical="center" wrapText="1"/>
    </xf>
    <xf numFmtId="10" fontId="5" fillId="4" borderId="3" xfId="0" applyNumberFormat="1" applyFont="1" applyFill="1" applyBorder="1" applyAlignment="1">
      <alignment horizontal="center" vertical="center" wrapText="1"/>
    </xf>
    <xf numFmtId="3" fontId="5" fillId="4" borderId="3" xfId="0" applyNumberFormat="1" applyFont="1" applyFill="1" applyBorder="1" applyAlignment="1">
      <alignment horizontal="center" vertical="center" wrapText="1"/>
    </xf>
    <xf numFmtId="0" fontId="3" fillId="0" borderId="3" xfId="0" applyFont="1" applyFill="1" applyBorder="1" applyAlignment="1">
      <alignment vertical="center" wrapText="1"/>
    </xf>
    <xf numFmtId="49" fontId="5" fillId="0" borderId="11" xfId="0" applyNumberFormat="1" applyFont="1" applyFill="1" applyBorder="1" applyAlignment="1">
      <alignment horizontal="justify" vertical="center" wrapText="1"/>
    </xf>
    <xf numFmtId="49" fontId="5" fillId="0" borderId="11" xfId="0" applyNumberFormat="1" applyFont="1" applyFill="1" applyBorder="1" applyAlignment="1">
      <alignment horizontal="center" vertical="center" wrapText="1"/>
    </xf>
    <xf numFmtId="49" fontId="5" fillId="10" borderId="6" xfId="0" applyNumberFormat="1" applyFont="1" applyFill="1" applyBorder="1" applyAlignment="1">
      <alignment vertical="center" wrapText="1"/>
    </xf>
    <xf numFmtId="49" fontId="5" fillId="10" borderId="14" xfId="0" applyNumberFormat="1" applyFont="1" applyFill="1" applyBorder="1" applyAlignment="1">
      <alignment vertical="center" wrapText="1"/>
    </xf>
    <xf numFmtId="0" fontId="5" fillId="2" borderId="2" xfId="0" applyFont="1" applyFill="1" applyBorder="1" applyAlignment="1">
      <alignment horizontal="center" vertical="center" wrapText="1"/>
    </xf>
    <xf numFmtId="170" fontId="5" fillId="2" borderId="7" xfId="2" applyNumberFormat="1" applyFont="1" applyFill="1" applyBorder="1" applyAlignment="1">
      <alignment horizontal="justify"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170" fontId="5" fillId="0" borderId="15" xfId="2" applyNumberFormat="1" applyFont="1" applyFill="1" applyBorder="1" applyAlignment="1">
      <alignment horizontal="justify" vertical="center"/>
    </xf>
    <xf numFmtId="0" fontId="5" fillId="2" borderId="5" xfId="0" applyFont="1" applyFill="1" applyBorder="1" applyAlignment="1">
      <alignment horizontal="center" vertical="center" wrapText="1"/>
    </xf>
    <xf numFmtId="0" fontId="5" fillId="0" borderId="12" xfId="0" applyFont="1" applyBorder="1" applyAlignment="1">
      <alignment horizontal="center" vertical="center" wrapText="1"/>
    </xf>
    <xf numFmtId="49" fontId="5" fillId="0" borderId="14" xfId="0" applyNumberFormat="1" applyFont="1" applyFill="1" applyBorder="1" applyAlignment="1">
      <alignment vertical="center" wrapText="1"/>
    </xf>
    <xf numFmtId="0" fontId="8" fillId="2" borderId="3" xfId="0" applyFont="1" applyFill="1" applyBorder="1" applyAlignment="1">
      <alignment horizontal="justify" vertical="center" wrapText="1"/>
    </xf>
    <xf numFmtId="10" fontId="8" fillId="2" borderId="3" xfId="0" applyNumberFormat="1" applyFont="1" applyFill="1" applyBorder="1" applyAlignment="1">
      <alignment horizontal="center" vertical="center" wrapText="1"/>
    </xf>
    <xf numFmtId="9" fontId="6" fillId="0" borderId="3" xfId="0" applyNumberFormat="1" applyFont="1" applyBorder="1" applyAlignment="1">
      <alignment horizontal="center" vertical="center"/>
    </xf>
    <xf numFmtId="0" fontId="8" fillId="0" borderId="3" xfId="0" applyFont="1" applyFill="1" applyBorder="1" applyAlignment="1">
      <alignment horizontal="center" vertical="center" wrapText="1"/>
    </xf>
    <xf numFmtId="49" fontId="5" fillId="10" borderId="10" xfId="0" applyNumberFormat="1" applyFont="1" applyFill="1" applyBorder="1" applyAlignment="1">
      <alignment vertical="center" wrapText="1"/>
    </xf>
    <xf numFmtId="0" fontId="5" fillId="10" borderId="3" xfId="0" applyFont="1" applyFill="1" applyBorder="1" applyAlignment="1">
      <alignment horizontal="justify" vertical="center" wrapText="1"/>
    </xf>
    <xf numFmtId="0" fontId="8" fillId="0" borderId="3" xfId="0" applyFont="1" applyFill="1" applyBorder="1" applyAlignment="1">
      <alignment horizontal="center" vertical="center"/>
    </xf>
    <xf numFmtId="9" fontId="8" fillId="0" borderId="3" xfId="0" applyNumberFormat="1" applyFont="1" applyFill="1" applyBorder="1" applyAlignment="1">
      <alignment horizontal="center" vertical="center"/>
    </xf>
    <xf numFmtId="9" fontId="8" fillId="0" borderId="3" xfId="0" applyNumberFormat="1" applyFont="1" applyFill="1" applyBorder="1" applyAlignment="1">
      <alignment horizontal="center" vertical="center" wrapText="1"/>
    </xf>
    <xf numFmtId="0" fontId="5" fillId="2" borderId="9" xfId="0" applyFont="1" applyFill="1" applyBorder="1" applyAlignment="1">
      <alignment horizontal="center" vertical="center" wrapText="1"/>
    </xf>
    <xf numFmtId="49" fontId="5" fillId="10" borderId="3" xfId="0" applyNumberFormat="1" applyFont="1" applyFill="1" applyBorder="1" applyAlignment="1">
      <alignment horizontal="center" vertical="center" wrapText="1"/>
    </xf>
    <xf numFmtId="0" fontId="5" fillId="7" borderId="3" xfId="0" applyFont="1" applyFill="1" applyBorder="1" applyAlignment="1">
      <alignment vertical="center" wrapText="1"/>
    </xf>
    <xf numFmtId="0" fontId="5" fillId="5" borderId="3" xfId="0" applyFont="1" applyFill="1" applyBorder="1" applyAlignment="1">
      <alignment vertical="center" wrapText="1"/>
    </xf>
    <xf numFmtId="0" fontId="5" fillId="4" borderId="3" xfId="0" applyFont="1" applyFill="1" applyBorder="1" applyAlignment="1">
      <alignment vertical="center" wrapText="1"/>
    </xf>
    <xf numFmtId="0" fontId="5" fillId="8" borderId="3" xfId="0" applyFont="1" applyFill="1" applyBorder="1" applyAlignment="1">
      <alignment horizontal="justify" vertical="center"/>
    </xf>
    <xf numFmtId="170" fontId="4" fillId="8" borderId="3" xfId="2" applyNumberFormat="1" applyFont="1" applyFill="1" applyBorder="1" applyAlignment="1">
      <alignment horizontal="justify" vertical="center"/>
    </xf>
    <xf numFmtId="172" fontId="5" fillId="0" borderId="2" xfId="1" applyNumberFormat="1" applyFont="1" applyFill="1" applyBorder="1" applyAlignment="1">
      <alignment horizontal="justify" vertical="center"/>
    </xf>
    <xf numFmtId="9" fontId="8" fillId="2" borderId="3" xfId="0" applyNumberFormat="1" applyFont="1" applyFill="1" applyBorder="1" applyAlignment="1">
      <alignment horizontal="center" vertical="center" wrapText="1"/>
    </xf>
    <xf numFmtId="0" fontId="5" fillId="0" borderId="3" xfId="0" applyNumberFormat="1" applyFont="1" applyBorder="1" applyAlignment="1">
      <alignment horizontal="center" vertical="center"/>
    </xf>
    <xf numFmtId="0" fontId="10" fillId="0" borderId="0" xfId="0" applyFont="1" applyBorder="1"/>
    <xf numFmtId="0" fontId="5" fillId="7" borderId="10" xfId="0" applyFont="1" applyFill="1" applyBorder="1" applyAlignment="1">
      <alignment horizontal="justify" vertical="center" wrapText="1"/>
    </xf>
    <xf numFmtId="0" fontId="5" fillId="7" borderId="10" xfId="0" applyFont="1" applyFill="1" applyBorder="1" applyAlignment="1">
      <alignment horizontal="center" vertical="center" wrapText="1"/>
    </xf>
    <xf numFmtId="0" fontId="6" fillId="0" borderId="6" xfId="0" applyFont="1" applyBorder="1" applyAlignment="1">
      <alignment horizontal="center"/>
    </xf>
    <xf numFmtId="0" fontId="6" fillId="0" borderId="6" xfId="0" applyFont="1" applyBorder="1"/>
    <xf numFmtId="172" fontId="5" fillId="0" borderId="3" xfId="1" applyNumberFormat="1" applyFont="1" applyBorder="1" applyAlignment="1">
      <alignment horizontal="center" vertical="center"/>
    </xf>
    <xf numFmtId="170" fontId="5" fillId="0" borderId="3" xfId="2" applyNumberFormat="1" applyFont="1" applyBorder="1" applyAlignment="1">
      <alignment vertical="center"/>
    </xf>
    <xf numFmtId="0" fontId="5" fillId="2" borderId="14"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5" fillId="2" borderId="10" xfId="0" applyFont="1" applyFill="1" applyBorder="1" applyAlignment="1">
      <alignment horizontal="justify" vertical="center" wrapText="1"/>
    </xf>
    <xf numFmtId="0" fontId="3" fillId="5" borderId="12" xfId="0" applyFont="1" applyFill="1" applyBorder="1" applyAlignment="1">
      <alignment horizontal="justify" vertical="center" wrapText="1"/>
    </xf>
    <xf numFmtId="3" fontId="5" fillId="2" borderId="3" xfId="2" applyNumberFormat="1" applyFont="1" applyFill="1" applyBorder="1" applyAlignment="1">
      <alignment horizontal="center" vertical="center"/>
    </xf>
    <xf numFmtId="3" fontId="5" fillId="0" borderId="3" xfId="2" applyNumberFormat="1" applyFont="1" applyFill="1" applyBorder="1" applyAlignment="1">
      <alignment horizontal="center" vertical="center"/>
    </xf>
    <xf numFmtId="37" fontId="5" fillId="0" borderId="3" xfId="1" applyNumberFormat="1" applyFont="1" applyFill="1" applyBorder="1" applyAlignment="1">
      <alignment horizontal="center" vertical="center"/>
    </xf>
    <xf numFmtId="0" fontId="17" fillId="2" borderId="3" xfId="0" applyFont="1" applyFill="1" applyBorder="1" applyAlignment="1">
      <alignment horizontal="justify" vertical="center" wrapText="1"/>
    </xf>
    <xf numFmtId="9" fontId="8" fillId="2" borderId="3" xfId="0" applyNumberFormat="1" applyFont="1" applyFill="1" applyBorder="1" applyAlignment="1">
      <alignment horizontal="center" vertical="center"/>
    </xf>
    <xf numFmtId="10" fontId="8" fillId="0" borderId="3" xfId="0" applyNumberFormat="1" applyFont="1" applyFill="1" applyBorder="1" applyAlignment="1">
      <alignment horizontal="center" vertical="center" wrapText="1"/>
    </xf>
    <xf numFmtId="0" fontId="5" fillId="7" borderId="3" xfId="2" applyNumberFormat="1" applyFont="1" applyFill="1" applyBorder="1" applyAlignment="1">
      <alignment horizontal="center" vertical="center" wrapText="1"/>
    </xf>
    <xf numFmtId="0" fontId="5" fillId="0" borderId="6" xfId="0" applyFont="1" applyFill="1" applyBorder="1" applyAlignment="1">
      <alignment vertical="center"/>
    </xf>
    <xf numFmtId="1" fontId="5" fillId="0" borderId="3" xfId="3" applyNumberFormat="1" applyFont="1" applyFill="1" applyBorder="1" applyAlignment="1">
      <alignment horizontal="center" vertical="center" wrapText="1"/>
    </xf>
    <xf numFmtId="0" fontId="8" fillId="0" borderId="6" xfId="0" applyFont="1" applyFill="1" applyBorder="1" applyAlignment="1">
      <alignment vertical="center" wrapText="1"/>
    </xf>
    <xf numFmtId="9" fontId="8" fillId="0" borderId="6" xfId="0" applyNumberFormat="1" applyFont="1" applyFill="1" applyBorder="1" applyAlignment="1">
      <alignment vertical="center" wrapText="1"/>
    </xf>
    <xf numFmtId="9" fontId="5" fillId="0" borderId="6" xfId="0" applyNumberFormat="1" applyFont="1" applyFill="1" applyBorder="1" applyAlignment="1">
      <alignment vertical="center" wrapText="1"/>
    </xf>
    <xf numFmtId="0" fontId="5" fillId="2" borderId="11" xfId="0" applyFont="1" applyFill="1" applyBorder="1" applyAlignment="1">
      <alignment horizontal="center" vertical="center" wrapText="1"/>
    </xf>
    <xf numFmtId="0" fontId="8" fillId="2" borderId="3" xfId="0" applyFont="1" applyFill="1" applyBorder="1" applyAlignment="1">
      <alignment vertical="center" wrapText="1"/>
    </xf>
    <xf numFmtId="1" fontId="5" fillId="0" borderId="3" xfId="0" applyNumberFormat="1" applyFont="1" applyFill="1" applyBorder="1" applyAlignment="1">
      <alignment horizontal="center" vertical="center" wrapText="1"/>
    </xf>
    <xf numFmtId="0" fontId="8" fillId="0" borderId="3" xfId="0" applyFont="1" applyFill="1" applyBorder="1" applyAlignment="1">
      <alignment vertical="center" wrapText="1"/>
    </xf>
    <xf numFmtId="43" fontId="5" fillId="0" borderId="3" xfId="2" applyNumberFormat="1" applyFont="1" applyFill="1" applyBorder="1" applyAlignment="1">
      <alignment horizontal="justify" vertical="center"/>
    </xf>
    <xf numFmtId="0" fontId="6" fillId="0" borderId="3" xfId="0" applyFont="1" applyBorder="1"/>
    <xf numFmtId="9" fontId="5" fillId="2" borderId="3" xfId="0" applyNumberFormat="1" applyFont="1" applyFill="1" applyBorder="1" applyAlignment="1">
      <alignment horizontal="center" vertical="center" wrapText="1"/>
    </xf>
    <xf numFmtId="0" fontId="5" fillId="0" borderId="10" xfId="0" applyFont="1" applyFill="1" applyBorder="1" applyAlignment="1">
      <alignment horizontal="center" vertical="center"/>
    </xf>
    <xf numFmtId="1" fontId="5" fillId="2" borderId="3" xfId="0" applyNumberFormat="1" applyFont="1" applyFill="1" applyBorder="1" applyAlignment="1">
      <alignment horizontal="center" vertical="center" wrapText="1"/>
    </xf>
    <xf numFmtId="1" fontId="5" fillId="7" borderId="3" xfId="0" applyNumberFormat="1" applyFont="1" applyFill="1" applyBorder="1" applyAlignment="1">
      <alignment horizontal="center" vertical="center" wrapText="1"/>
    </xf>
    <xf numFmtId="1" fontId="5" fillId="5" borderId="3" xfId="0" applyNumberFormat="1" applyFont="1" applyFill="1" applyBorder="1" applyAlignment="1">
      <alignment horizontal="center" vertical="center" wrapText="1"/>
    </xf>
    <xf numFmtId="0" fontId="3" fillId="5" borderId="12" xfId="0" applyNumberFormat="1" applyFont="1" applyFill="1" applyBorder="1" applyAlignment="1">
      <alignment horizontal="justify" vertical="center" wrapText="1"/>
    </xf>
    <xf numFmtId="0" fontId="8" fillId="2" borderId="6" xfId="0" applyFont="1" applyFill="1" applyBorder="1" applyAlignment="1">
      <alignment horizontal="justify" vertical="center" wrapText="1"/>
    </xf>
    <xf numFmtId="0" fontId="8" fillId="2" borderId="10" xfId="0" applyFont="1" applyFill="1" applyBorder="1" applyAlignment="1">
      <alignment horizontal="justify" vertical="center" wrapText="1"/>
    </xf>
    <xf numFmtId="170" fontId="5" fillId="7" borderId="7" xfId="2" applyNumberFormat="1" applyFont="1" applyFill="1" applyBorder="1" applyAlignment="1">
      <alignment horizontal="justify" vertical="center"/>
    </xf>
    <xf numFmtId="172" fontId="5" fillId="0" borderId="3" xfId="1" applyNumberFormat="1" applyFont="1" applyFill="1" applyBorder="1" applyAlignment="1">
      <alignment horizontal="justify" vertical="center"/>
    </xf>
    <xf numFmtId="0" fontId="3" fillId="7" borderId="3" xfId="0" applyFont="1" applyFill="1" applyBorder="1" applyAlignment="1">
      <alignment vertical="center"/>
    </xf>
    <xf numFmtId="9" fontId="5" fillId="2" borderId="10" xfId="0" applyNumberFormat="1" applyFont="1" applyFill="1" applyBorder="1" applyAlignment="1">
      <alignment horizontal="center" vertical="center" wrapText="1"/>
    </xf>
    <xf numFmtId="3" fontId="5" fillId="2" borderId="3" xfId="0" applyNumberFormat="1" applyFont="1" applyFill="1" applyBorder="1" applyAlignment="1">
      <alignment horizontal="right" vertical="center" wrapText="1"/>
    </xf>
    <xf numFmtId="170" fontId="5" fillId="0" borderId="3" xfId="2" applyNumberFormat="1" applyFont="1" applyFill="1" applyBorder="1" applyAlignment="1">
      <alignment horizontal="right" vertical="center"/>
    </xf>
    <xf numFmtId="0" fontId="3" fillId="5" borderId="3" xfId="0" applyFont="1" applyFill="1" applyBorder="1" applyAlignment="1">
      <alignment vertical="center"/>
    </xf>
    <xf numFmtId="1" fontId="8" fillId="2" borderId="3" xfId="0" applyNumberFormat="1" applyFont="1" applyFill="1" applyBorder="1" applyAlignment="1">
      <alignment horizontal="center" vertical="center" wrapText="1"/>
    </xf>
    <xf numFmtId="9" fontId="5" fillId="2" borderId="3" xfId="3" applyFont="1" applyFill="1" applyBorder="1" applyAlignment="1">
      <alignment horizontal="center" vertical="center" wrapText="1"/>
    </xf>
    <xf numFmtId="0" fontId="5" fillId="13" borderId="3" xfId="0" applyFont="1" applyFill="1" applyBorder="1" applyAlignment="1">
      <alignment horizontal="center" vertical="center" wrapText="1"/>
    </xf>
    <xf numFmtId="170" fontId="3" fillId="13" borderId="3" xfId="2" applyNumberFormat="1" applyFont="1" applyFill="1" applyBorder="1" applyAlignment="1">
      <alignment horizontal="justify" vertical="center"/>
    </xf>
    <xf numFmtId="0" fontId="5" fillId="2" borderId="0" xfId="0" applyFont="1" applyFill="1" applyBorder="1" applyAlignment="1">
      <alignment horizontal="justify" vertical="center" wrapText="1"/>
    </xf>
    <xf numFmtId="0" fontId="5" fillId="2" borderId="0" xfId="0" applyFont="1" applyFill="1" applyBorder="1" applyAlignment="1">
      <alignment horizontal="center" vertical="center" wrapText="1"/>
    </xf>
    <xf numFmtId="0" fontId="7" fillId="2" borderId="0" xfId="0" applyFont="1" applyFill="1" applyBorder="1" applyAlignment="1">
      <alignment horizontal="right" vertical="center" wrapText="1"/>
    </xf>
    <xf numFmtId="170" fontId="3" fillId="2" borderId="0" xfId="2" applyNumberFormat="1" applyFont="1" applyFill="1" applyBorder="1" applyAlignment="1">
      <alignment horizontal="justify" vertical="center"/>
    </xf>
    <xf numFmtId="172" fontId="3" fillId="2" borderId="0" xfId="1" applyNumberFormat="1" applyFont="1" applyFill="1" applyBorder="1" applyAlignment="1">
      <alignment horizontal="center" vertical="center"/>
    </xf>
    <xf numFmtId="0" fontId="18" fillId="3" borderId="7" xfId="0" applyFont="1" applyFill="1" applyBorder="1" applyAlignment="1">
      <alignment horizontal="left" vertical="center"/>
    </xf>
    <xf numFmtId="0" fontId="18" fillId="3" borderId="11" xfId="0" applyFont="1" applyFill="1" applyBorder="1" applyAlignment="1">
      <alignment horizontal="left" vertical="center"/>
    </xf>
    <xf numFmtId="0" fontId="18" fillId="3" borderId="11" xfId="0" applyFont="1" applyFill="1" applyBorder="1" applyAlignment="1">
      <alignment horizontal="center" vertical="center"/>
    </xf>
    <xf numFmtId="172" fontId="18" fillId="3" borderId="11" xfId="1" applyNumberFormat="1" applyFont="1" applyFill="1" applyBorder="1" applyAlignment="1">
      <alignment horizontal="center" vertical="center"/>
    </xf>
    <xf numFmtId="0" fontId="18" fillId="3" borderId="11" xfId="0" applyFont="1" applyFill="1" applyBorder="1" applyAlignment="1">
      <alignment vertical="center"/>
    </xf>
    <xf numFmtId="0" fontId="3" fillId="4" borderId="3" xfId="0" applyFont="1" applyFill="1" applyBorder="1" applyAlignment="1">
      <alignment vertical="center"/>
    </xf>
    <xf numFmtId="172" fontId="8" fillId="0" borderId="3" xfId="1" applyNumberFormat="1" applyFont="1" applyFill="1" applyBorder="1" applyAlignment="1">
      <alignment horizontal="center" vertical="center"/>
    </xf>
    <xf numFmtId="170" fontId="6" fillId="0" borderId="3" xfId="2" applyNumberFormat="1" applyFont="1" applyFill="1" applyBorder="1" applyAlignment="1">
      <alignment horizontal="justify" vertical="center"/>
    </xf>
    <xf numFmtId="3" fontId="5" fillId="6" borderId="3" xfId="0" applyNumberFormat="1" applyFont="1" applyFill="1" applyBorder="1" applyAlignment="1">
      <alignment horizontal="center" vertical="center"/>
    </xf>
    <xf numFmtId="3" fontId="5" fillId="7" borderId="7" xfId="0" applyNumberFormat="1" applyFont="1" applyFill="1" applyBorder="1" applyAlignment="1">
      <alignment horizontal="center" vertical="center"/>
    </xf>
    <xf numFmtId="0" fontId="6" fillId="0" borderId="3" xfId="0" applyFont="1" applyFill="1" applyBorder="1" applyAlignment="1">
      <alignment horizontal="justify" vertical="center"/>
    </xf>
    <xf numFmtId="0" fontId="8" fillId="0" borderId="6" xfId="0" applyFont="1" applyFill="1" applyBorder="1" applyAlignment="1">
      <alignment horizontal="center" vertical="center" wrapText="1"/>
    </xf>
    <xf numFmtId="0" fontId="6" fillId="0" borderId="6" xfId="0" applyFont="1" applyFill="1" applyBorder="1" applyAlignment="1">
      <alignment horizontal="justify" vertical="center" wrapText="1"/>
    </xf>
    <xf numFmtId="0" fontId="5" fillId="0" borderId="5" xfId="0" applyFont="1" applyBorder="1" applyAlignment="1">
      <alignment horizontal="center" vertical="center" wrapText="1"/>
    </xf>
    <xf numFmtId="0" fontId="7" fillId="5" borderId="3" xfId="0" applyFont="1" applyFill="1" applyBorder="1" applyAlignment="1">
      <alignment horizontal="right" vertical="center"/>
    </xf>
    <xf numFmtId="0" fontId="5" fillId="5" borderId="3" xfId="0" applyFont="1" applyFill="1" applyBorder="1" applyAlignment="1">
      <alignment horizontal="justify" vertical="center"/>
    </xf>
    <xf numFmtId="0" fontId="3" fillId="5" borderId="11" xfId="0" applyNumberFormat="1" applyFont="1" applyFill="1" applyBorder="1" applyAlignment="1">
      <alignment horizontal="justify" vertical="center" wrapText="1"/>
    </xf>
    <xf numFmtId="0" fontId="3" fillId="0" borderId="3" xfId="0" applyFont="1" applyFill="1" applyBorder="1" applyAlignment="1">
      <alignment horizontal="center" vertical="center" wrapText="1"/>
    </xf>
    <xf numFmtId="3" fontId="5" fillId="0" borderId="3" xfId="2" applyNumberFormat="1" applyFont="1" applyFill="1" applyBorder="1" applyAlignment="1">
      <alignment horizontal="right" vertical="center"/>
    </xf>
    <xf numFmtId="0" fontId="5" fillId="7" borderId="6" xfId="0" applyFont="1" applyFill="1" applyBorder="1" applyAlignment="1">
      <alignment horizontal="center" vertical="center"/>
    </xf>
    <xf numFmtId="0" fontId="7" fillId="7" borderId="6" xfId="0" applyFont="1" applyFill="1" applyBorder="1" applyAlignment="1">
      <alignment horizontal="right" vertical="center"/>
    </xf>
    <xf numFmtId="0" fontId="5" fillId="7" borderId="6" xfId="0" applyFont="1" applyFill="1" applyBorder="1" applyAlignment="1">
      <alignment horizontal="justify" vertical="center"/>
    </xf>
    <xf numFmtId="172" fontId="5" fillId="7" borderId="6" xfId="1" applyNumberFormat="1" applyFont="1" applyFill="1" applyBorder="1" applyAlignment="1">
      <alignment horizontal="center" vertical="center"/>
    </xf>
    <xf numFmtId="170" fontId="5" fillId="7" borderId="6" xfId="2" applyNumberFormat="1" applyFont="1" applyFill="1" applyBorder="1" applyAlignment="1">
      <alignment vertical="center"/>
    </xf>
    <xf numFmtId="0" fontId="5" fillId="0" borderId="6" xfId="0" applyFont="1" applyFill="1" applyBorder="1" applyAlignment="1">
      <alignment horizontal="center" vertical="center"/>
    </xf>
    <xf numFmtId="170" fontId="5" fillId="2" borderId="6" xfId="2" applyNumberFormat="1" applyFont="1" applyFill="1" applyBorder="1" applyAlignment="1">
      <alignment horizontal="justify" vertical="center"/>
    </xf>
    <xf numFmtId="3" fontId="5" fillId="0" borderId="6" xfId="0" applyNumberFormat="1" applyFont="1" applyFill="1" applyBorder="1" applyAlignment="1">
      <alignment horizontal="right" vertical="center"/>
    </xf>
    <xf numFmtId="0" fontId="5" fillId="5" borderId="6" xfId="0" applyFont="1" applyFill="1" applyBorder="1" applyAlignment="1">
      <alignment horizontal="center" vertical="center"/>
    </xf>
    <xf numFmtId="0" fontId="7" fillId="5" borderId="6" xfId="0" applyFont="1" applyFill="1" applyBorder="1" applyAlignment="1">
      <alignment horizontal="right" vertical="center"/>
    </xf>
    <xf numFmtId="0" fontId="5" fillId="5" borderId="6" xfId="0" applyFont="1" applyFill="1" applyBorder="1" applyAlignment="1">
      <alignment horizontal="justify" vertical="center"/>
    </xf>
    <xf numFmtId="172" fontId="5" fillId="5" borderId="6" xfId="1" applyNumberFormat="1" applyFont="1" applyFill="1" applyBorder="1" applyAlignment="1">
      <alignment horizontal="center" vertical="center"/>
    </xf>
    <xf numFmtId="170" fontId="5" fillId="5" borderId="6" xfId="2" applyNumberFormat="1" applyFont="1" applyFill="1" applyBorder="1" applyAlignment="1">
      <alignment vertical="center"/>
    </xf>
    <xf numFmtId="1" fontId="3" fillId="5" borderId="11" xfId="0" applyNumberFormat="1" applyFont="1" applyFill="1" applyBorder="1" applyAlignment="1">
      <alignment horizontal="justify" vertical="center" wrapText="1"/>
    </xf>
    <xf numFmtId="0" fontId="6" fillId="2" borderId="3" xfId="0" applyFont="1" applyFill="1" applyBorder="1" applyAlignment="1">
      <alignment horizontal="justify" vertical="center" wrapText="1"/>
    </xf>
    <xf numFmtId="172" fontId="5" fillId="7" borderId="3" xfId="1" applyNumberFormat="1" applyFont="1" applyFill="1" applyBorder="1" applyAlignment="1">
      <alignment horizontal="justify" vertical="center"/>
    </xf>
    <xf numFmtId="172" fontId="5" fillId="5" borderId="3" xfId="1" applyNumberFormat="1" applyFont="1" applyFill="1" applyBorder="1" applyAlignment="1">
      <alignment horizontal="justify" vertical="center"/>
    </xf>
    <xf numFmtId="0" fontId="7" fillId="4" borderId="3" xfId="0" applyFont="1" applyFill="1" applyBorder="1" applyAlignment="1">
      <alignment horizontal="right" vertical="center"/>
    </xf>
    <xf numFmtId="0" fontId="5" fillId="4" borderId="3" xfId="0" applyFont="1" applyFill="1" applyBorder="1" applyAlignment="1">
      <alignment horizontal="justify" vertical="center"/>
    </xf>
    <xf numFmtId="172" fontId="5" fillId="4" borderId="3" xfId="1" applyNumberFormat="1" applyFont="1" applyFill="1" applyBorder="1" applyAlignment="1">
      <alignment horizontal="justify" vertical="center"/>
    </xf>
    <xf numFmtId="0" fontId="7" fillId="8" borderId="3" xfId="0" applyFont="1" applyFill="1" applyBorder="1" applyAlignment="1">
      <alignment horizontal="right" vertical="center"/>
    </xf>
    <xf numFmtId="172" fontId="5" fillId="8" borderId="3" xfId="1" applyNumberFormat="1" applyFont="1" applyFill="1" applyBorder="1" applyAlignment="1">
      <alignment horizontal="justify" vertical="center"/>
    </xf>
    <xf numFmtId="0" fontId="5" fillId="2" borderId="0" xfId="0" applyFont="1" applyFill="1" applyBorder="1" applyAlignment="1">
      <alignment vertical="center" wrapText="1"/>
    </xf>
    <xf numFmtId="172" fontId="5" fillId="2" borderId="0" xfId="1" applyNumberFormat="1" applyFont="1" applyFill="1" applyBorder="1" applyAlignment="1">
      <alignment horizontal="center" vertical="center" wrapText="1"/>
    </xf>
    <xf numFmtId="172" fontId="7" fillId="2" borderId="0" xfId="1" applyNumberFormat="1" applyFont="1" applyFill="1" applyBorder="1" applyAlignment="1">
      <alignment vertical="center" wrapText="1"/>
    </xf>
    <xf numFmtId="0" fontId="9" fillId="3" borderId="3" xfId="0" applyFont="1" applyFill="1" applyBorder="1" applyAlignment="1">
      <alignment horizontal="left" vertical="center"/>
    </xf>
    <xf numFmtId="0" fontId="9" fillId="3" borderId="3" xfId="0" applyFont="1" applyFill="1" applyBorder="1" applyAlignment="1">
      <alignment horizontal="center" vertical="center"/>
    </xf>
    <xf numFmtId="170" fontId="9" fillId="3" borderId="3" xfId="0" applyNumberFormat="1" applyFont="1" applyFill="1" applyBorder="1" applyAlignment="1">
      <alignment horizontal="left" vertical="center"/>
    </xf>
    <xf numFmtId="0" fontId="3" fillId="4" borderId="3" xfId="0" applyFont="1" applyFill="1" applyBorder="1" applyAlignment="1">
      <alignment horizontal="left" vertical="center" wrapText="1"/>
    </xf>
    <xf numFmtId="0" fontId="3" fillId="4" borderId="11" xfId="0" applyFont="1" applyFill="1" applyBorder="1" applyAlignment="1">
      <alignment vertical="center" wrapText="1"/>
    </xf>
    <xf numFmtId="0" fontId="3" fillId="4" borderId="11" xfId="0" applyFont="1" applyFill="1" applyBorder="1" applyAlignment="1">
      <alignment horizontal="center" vertical="center" wrapText="1"/>
    </xf>
    <xf numFmtId="0" fontId="4" fillId="4" borderId="11" xfId="0" applyFont="1" applyFill="1" applyBorder="1" applyAlignment="1">
      <alignment horizontal="right" vertical="center" wrapText="1"/>
    </xf>
    <xf numFmtId="172" fontId="3" fillId="4" borderId="11" xfId="1" applyNumberFormat="1" applyFont="1" applyFill="1" applyBorder="1" applyAlignment="1">
      <alignment horizontal="center" vertical="center" wrapText="1"/>
    </xf>
    <xf numFmtId="0" fontId="3" fillId="0" borderId="3" xfId="0" applyFont="1" applyFill="1" applyBorder="1" applyAlignment="1">
      <alignment vertical="center"/>
    </xf>
    <xf numFmtId="0" fontId="3" fillId="5" borderId="11" xfId="0" applyFont="1" applyFill="1" applyBorder="1" applyAlignment="1">
      <alignment vertical="center" wrapText="1"/>
    </xf>
    <xf numFmtId="0" fontId="3" fillId="5" borderId="11" xfId="0" applyFont="1" applyFill="1" applyBorder="1" applyAlignment="1">
      <alignment horizontal="center" vertical="center" wrapText="1"/>
    </xf>
    <xf numFmtId="0" fontId="4" fillId="5" borderId="11" xfId="0" applyFont="1" applyFill="1" applyBorder="1" applyAlignment="1">
      <alignment horizontal="right" vertical="center" wrapText="1"/>
    </xf>
    <xf numFmtId="172" fontId="3" fillId="5" borderId="11" xfId="1" applyNumberFormat="1" applyFont="1" applyFill="1" applyBorder="1" applyAlignment="1">
      <alignment horizontal="center" vertical="center" wrapText="1"/>
    </xf>
    <xf numFmtId="0" fontId="3" fillId="5" borderId="3" xfId="0" applyFont="1" applyFill="1" applyBorder="1" applyAlignment="1">
      <alignment vertical="center" wrapText="1"/>
    </xf>
    <xf numFmtId="43" fontId="6" fillId="2" borderId="7" xfId="2" applyFont="1" applyFill="1" applyBorder="1"/>
    <xf numFmtId="172" fontId="20" fillId="0" borderId="18" xfId="1" applyNumberFormat="1" applyFont="1" applyFill="1" applyBorder="1" applyAlignment="1">
      <alignment horizontal="center" vertical="center" wrapText="1"/>
    </xf>
    <xf numFmtId="173" fontId="20" fillId="0" borderId="6" xfId="0" applyNumberFormat="1" applyFont="1" applyFill="1" applyBorder="1" applyAlignment="1">
      <alignment horizontal="center" vertical="center" wrapText="1"/>
    </xf>
    <xf numFmtId="170" fontId="5" fillId="4" borderId="7" xfId="2" applyNumberFormat="1" applyFont="1" applyFill="1" applyBorder="1" applyAlignment="1">
      <alignment horizontal="justify" vertical="center"/>
    </xf>
    <xf numFmtId="0" fontId="5" fillId="8" borderId="2" xfId="0" applyFont="1" applyFill="1" applyBorder="1" applyAlignment="1">
      <alignment horizontal="justify" vertical="center" wrapText="1"/>
    </xf>
    <xf numFmtId="0" fontId="5" fillId="2" borderId="0" xfId="0" applyNumberFormat="1" applyFont="1" applyFill="1" applyBorder="1" applyAlignment="1">
      <alignment horizontal="center" vertical="center" wrapText="1"/>
    </xf>
    <xf numFmtId="172" fontId="5" fillId="2" borderId="0" xfId="1" applyNumberFormat="1" applyFont="1" applyFill="1" applyBorder="1" applyAlignment="1">
      <alignment horizontal="center" vertical="center"/>
    </xf>
    <xf numFmtId="0" fontId="5"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5" fillId="14" borderId="3" xfId="0" applyFont="1" applyFill="1" applyBorder="1" applyAlignment="1">
      <alignment horizontal="justify" vertical="center" wrapText="1"/>
    </xf>
    <xf numFmtId="0" fontId="5" fillId="14" borderId="3" xfId="0" applyFont="1" applyFill="1" applyBorder="1" applyAlignment="1">
      <alignment horizontal="center" vertical="center" wrapText="1"/>
    </xf>
    <xf numFmtId="0" fontId="5" fillId="14" borderId="2" xfId="0" applyFont="1" applyFill="1" applyBorder="1" applyAlignment="1">
      <alignment horizontal="justify" vertical="center" wrapText="1"/>
    </xf>
    <xf numFmtId="0" fontId="5" fillId="14" borderId="3" xfId="0" applyNumberFormat="1" applyFont="1" applyFill="1" applyBorder="1" applyAlignment="1">
      <alignment horizontal="center" vertical="center"/>
    </xf>
    <xf numFmtId="0" fontId="7" fillId="14" borderId="3" xfId="0" applyFont="1" applyFill="1" applyBorder="1" applyAlignment="1">
      <alignment horizontal="right" vertical="center" wrapText="1"/>
    </xf>
    <xf numFmtId="170" fontId="5" fillId="14" borderId="3" xfId="2" applyNumberFormat="1" applyFont="1" applyFill="1" applyBorder="1" applyAlignment="1">
      <alignment horizontal="justify" vertical="center"/>
    </xf>
    <xf numFmtId="172" fontId="5" fillId="14" borderId="3" xfId="1" applyNumberFormat="1" applyFont="1" applyFill="1" applyBorder="1" applyAlignment="1">
      <alignment horizontal="center" vertical="center"/>
    </xf>
    <xf numFmtId="0" fontId="6" fillId="0" borderId="0" xfId="0" applyFont="1" applyBorder="1" applyAlignment="1">
      <alignment horizontal="justify" wrapText="1"/>
    </xf>
    <xf numFmtId="0" fontId="6" fillId="0" borderId="0" xfId="0" applyFont="1" applyBorder="1" applyAlignment="1">
      <alignment horizontal="center" wrapText="1"/>
    </xf>
    <xf numFmtId="0" fontId="6" fillId="0" borderId="0" xfId="0" applyFont="1" applyBorder="1" applyAlignment="1">
      <alignment wrapText="1"/>
    </xf>
    <xf numFmtId="0" fontId="6" fillId="0" borderId="0" xfId="0" applyFont="1" applyBorder="1" applyAlignment="1">
      <alignment horizontal="justify" vertical="center" wrapText="1"/>
    </xf>
    <xf numFmtId="0" fontId="6" fillId="0" borderId="0" xfId="0" applyFont="1" applyBorder="1" applyAlignment="1">
      <alignment horizontal="center" vertical="center" wrapText="1"/>
    </xf>
    <xf numFmtId="0" fontId="6" fillId="0" borderId="0" xfId="0" applyFont="1" applyBorder="1" applyAlignment="1">
      <alignment horizontal="justify"/>
    </xf>
    <xf numFmtId="0" fontId="6" fillId="0" borderId="0" xfId="0" applyNumberFormat="1" applyFont="1" applyBorder="1" applyAlignment="1">
      <alignment horizontal="center" vertical="center"/>
    </xf>
    <xf numFmtId="0" fontId="6" fillId="0" borderId="0" xfId="0" applyFont="1" applyFill="1" applyBorder="1" applyAlignment="1">
      <alignment horizontal="justify" vertical="center" wrapText="1"/>
    </xf>
    <xf numFmtId="0" fontId="6" fillId="0" borderId="0" xfId="0" applyFont="1" applyFill="1" applyBorder="1" applyAlignment="1">
      <alignment horizontal="center" vertical="center" wrapText="1"/>
    </xf>
    <xf numFmtId="170" fontId="6" fillId="0" borderId="0" xfId="2" applyNumberFormat="1" applyFont="1" applyBorder="1"/>
    <xf numFmtId="170" fontId="6" fillId="2" borderId="0" xfId="2" applyNumberFormat="1" applyFont="1" applyFill="1" applyBorder="1"/>
    <xf numFmtId="172" fontId="6" fillId="0" borderId="0" xfId="1" applyNumberFormat="1" applyFont="1" applyBorder="1" applyAlignment="1">
      <alignment horizontal="center"/>
    </xf>
    <xf numFmtId="170" fontId="6" fillId="0" borderId="0" xfId="2" applyNumberFormat="1" applyFont="1" applyBorder="1" applyAlignment="1"/>
    <xf numFmtId="170" fontId="10" fillId="0" borderId="0" xfId="2" applyNumberFormat="1" applyFont="1" applyBorder="1"/>
    <xf numFmtId="0" fontId="7" fillId="0" borderId="0" xfId="0" applyFont="1" applyAlignment="1">
      <alignment horizontal="right"/>
    </xf>
    <xf numFmtId="0" fontId="6" fillId="2" borderId="0" xfId="0" applyFont="1" applyFill="1"/>
    <xf numFmtId="172" fontId="6" fillId="0" borderId="0" xfId="1" applyNumberFormat="1" applyFont="1" applyAlignment="1">
      <alignment horizontal="center"/>
    </xf>
    <xf numFmtId="170" fontId="6" fillId="0" borderId="0" xfId="0" applyNumberFormat="1" applyFont="1"/>
    <xf numFmtId="173" fontId="24" fillId="0" borderId="3" xfId="0" applyNumberFormat="1" applyFont="1" applyFill="1" applyBorder="1" applyAlignment="1">
      <alignment horizontal="center" vertical="center" wrapText="1"/>
    </xf>
    <xf numFmtId="170" fontId="25" fillId="0" borderId="3" xfId="2" applyNumberFormat="1" applyFont="1" applyFill="1" applyBorder="1" applyAlignment="1">
      <alignment horizontal="justify"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7" fillId="0" borderId="6" xfId="0" applyFont="1" applyFill="1" applyBorder="1" applyAlignment="1">
      <alignment horizontal="right" vertical="center"/>
    </xf>
    <xf numFmtId="0" fontId="5" fillId="0" borderId="6" xfId="0" applyFont="1" applyFill="1" applyBorder="1" applyAlignment="1">
      <alignment horizontal="justify" vertical="center" wrapText="1"/>
    </xf>
    <xf numFmtId="0" fontId="5" fillId="0" borderId="14" xfId="0" applyFont="1" applyFill="1" applyBorder="1" applyAlignment="1">
      <alignment horizontal="justify" vertical="center" wrapText="1"/>
    </xf>
    <xf numFmtId="0" fontId="5" fillId="0" borderId="6" xfId="0" applyFont="1" applyFill="1" applyBorder="1" applyAlignment="1">
      <alignment horizontal="center" vertical="center" wrapText="1"/>
    </xf>
    <xf numFmtId="0" fontId="5" fillId="0" borderId="14" xfId="0" applyFont="1" applyFill="1" applyBorder="1" applyAlignment="1">
      <alignment horizontal="center" vertical="center" wrapText="1"/>
    </xf>
    <xf numFmtId="9" fontId="5" fillId="0" borderId="14" xfId="0" applyNumberFormat="1" applyFont="1" applyFill="1" applyBorder="1" applyAlignment="1">
      <alignment horizontal="center" vertical="center" wrapText="1"/>
    </xf>
    <xf numFmtId="10" fontId="5" fillId="0" borderId="6"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3" xfId="0" applyFont="1" applyFill="1" applyBorder="1" applyAlignment="1">
      <alignment horizontal="center" vertical="center" wrapText="1"/>
    </xf>
    <xf numFmtId="10" fontId="5" fillId="0" borderId="14" xfId="0" applyNumberFormat="1"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170" fontId="5" fillId="0" borderId="6" xfId="1" applyNumberFormat="1" applyFont="1" applyFill="1" applyBorder="1" applyAlignment="1">
      <alignment horizontal="center" vertical="center"/>
    </xf>
    <xf numFmtId="3" fontId="5" fillId="7" borderId="10" xfId="0" applyNumberFormat="1" applyFont="1" applyFill="1" applyBorder="1" applyAlignment="1">
      <alignment horizontal="center" vertical="center" wrapText="1"/>
    </xf>
    <xf numFmtId="3" fontId="5" fillId="7" borderId="10" xfId="0" applyNumberFormat="1" applyFont="1" applyFill="1" applyBorder="1" applyAlignment="1">
      <alignment horizontal="center" vertical="center"/>
    </xf>
    <xf numFmtId="0" fontId="7" fillId="7" borderId="10" xfId="0" applyFont="1" applyFill="1" applyBorder="1" applyAlignment="1">
      <alignment horizontal="right" vertical="center" wrapText="1"/>
    </xf>
    <xf numFmtId="170" fontId="5" fillId="7" borderId="10" xfId="2" applyNumberFormat="1" applyFont="1" applyFill="1" applyBorder="1" applyAlignment="1">
      <alignment horizontal="justify" vertical="center"/>
    </xf>
    <xf numFmtId="172" fontId="5" fillId="7" borderId="10" xfId="1" applyNumberFormat="1" applyFont="1" applyFill="1" applyBorder="1" applyAlignment="1">
      <alignment horizontal="center" vertical="center"/>
    </xf>
    <xf numFmtId="0" fontId="5" fillId="0" borderId="3" xfId="0" applyFont="1" applyFill="1" applyBorder="1" applyAlignment="1">
      <alignment horizontal="justify" vertical="center" wrapText="1"/>
    </xf>
    <xf numFmtId="171" fontId="26" fillId="0" borderId="0" xfId="0" applyNumberFormat="1" applyFont="1" applyFill="1" applyBorder="1" applyAlignment="1" applyProtection="1">
      <alignment vertical="center"/>
    </xf>
    <xf numFmtId="0" fontId="3" fillId="0" borderId="6" xfId="0" applyFont="1" applyFill="1" applyBorder="1" applyAlignment="1">
      <alignment vertical="center"/>
    </xf>
    <xf numFmtId="0" fontId="3" fillId="0" borderId="14" xfId="0" applyFont="1" applyFill="1" applyBorder="1" applyAlignment="1">
      <alignment vertical="center"/>
    </xf>
    <xf numFmtId="0" fontId="3" fillId="7" borderId="1" xfId="0" applyFont="1" applyFill="1" applyBorder="1" applyAlignment="1">
      <alignment vertical="center"/>
    </xf>
    <xf numFmtId="0" fontId="3" fillId="7" borderId="4" xfId="0" applyFont="1" applyFill="1" applyBorder="1" applyAlignment="1">
      <alignment vertical="center"/>
    </xf>
    <xf numFmtId="43" fontId="5" fillId="0" borderId="11" xfId="2" applyNumberFormat="1" applyFont="1" applyFill="1" applyBorder="1" applyAlignment="1">
      <alignment horizontal="justify" vertical="center"/>
    </xf>
    <xf numFmtId="170" fontId="5" fillId="7" borderId="11" xfId="0" applyNumberFormat="1" applyFont="1" applyFill="1" applyBorder="1" applyAlignment="1">
      <alignment vertical="center" wrapText="1"/>
    </xf>
    <xf numFmtId="0" fontId="5" fillId="0" borderId="3"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0" xfId="0" applyFont="1" applyFill="1" applyBorder="1" applyAlignment="1">
      <alignment horizontal="justify" vertical="center" wrapText="1"/>
    </xf>
    <xf numFmtId="10" fontId="5" fillId="0" borderId="10" xfId="0" applyNumberFormat="1" applyFont="1" applyFill="1" applyBorder="1" applyAlignment="1">
      <alignment horizontal="center" vertical="center" wrapText="1"/>
    </xf>
    <xf numFmtId="9" fontId="5" fillId="0" borderId="10"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6" borderId="3" xfId="0" applyFont="1" applyFill="1" applyBorder="1" applyAlignment="1">
      <alignment vertical="center" wrapText="1"/>
    </xf>
    <xf numFmtId="10" fontId="5" fillId="6" borderId="3" xfId="0" applyNumberFormat="1" applyFont="1" applyFill="1" applyBorder="1" applyAlignment="1">
      <alignment horizontal="center" vertical="center" wrapText="1"/>
    </xf>
    <xf numFmtId="9" fontId="5" fillId="6" borderId="3" xfId="0" applyNumberFormat="1" applyFont="1" applyFill="1" applyBorder="1" applyAlignment="1">
      <alignment horizontal="center" vertical="center" wrapText="1"/>
    </xf>
    <xf numFmtId="0" fontId="5" fillId="6" borderId="7" xfId="1" applyNumberFormat="1" applyFont="1" applyFill="1" applyBorder="1" applyAlignment="1">
      <alignment horizontal="center" vertical="center" wrapText="1"/>
    </xf>
    <xf numFmtId="0" fontId="5" fillId="6" borderId="11" xfId="0" applyFont="1" applyFill="1" applyBorder="1" applyAlignment="1">
      <alignment horizontal="justify" vertical="center" wrapText="1"/>
    </xf>
    <xf numFmtId="0" fontId="5" fillId="6" borderId="11" xfId="0" applyNumberFormat="1" applyFont="1" applyFill="1" applyBorder="1" applyAlignment="1">
      <alignment horizontal="center" vertical="center" wrapText="1"/>
    </xf>
    <xf numFmtId="170" fontId="5" fillId="6" borderId="11" xfId="0" applyNumberFormat="1" applyFont="1" applyFill="1" applyBorder="1" applyAlignment="1">
      <alignment horizontal="justify" vertical="center" wrapText="1"/>
    </xf>
    <xf numFmtId="0" fontId="5" fillId="6" borderId="11" xfId="0" applyFont="1" applyFill="1" applyBorder="1" applyAlignment="1">
      <alignment horizontal="center" vertical="center" wrapText="1"/>
    </xf>
    <xf numFmtId="0" fontId="3" fillId="0" borderId="215" xfId="0" applyFont="1" applyFill="1" applyBorder="1" applyAlignment="1">
      <alignment vertical="center" wrapText="1"/>
    </xf>
    <xf numFmtId="0" fontId="5" fillId="0" borderId="215" xfId="0" applyFont="1" applyFill="1" applyBorder="1" applyAlignment="1">
      <alignment horizontal="center" vertical="center" wrapText="1"/>
    </xf>
    <xf numFmtId="0" fontId="5" fillId="0" borderId="215" xfId="0" applyFont="1" applyFill="1" applyBorder="1" applyAlignment="1">
      <alignment horizontal="justify" vertical="center" wrapText="1"/>
    </xf>
    <xf numFmtId="10" fontId="5" fillId="0" borderId="215" xfId="0" applyNumberFormat="1" applyFont="1" applyFill="1" applyBorder="1" applyAlignment="1">
      <alignment horizontal="center" vertical="center" wrapText="1"/>
    </xf>
    <xf numFmtId="9" fontId="5" fillId="0" borderId="215" xfId="0" applyNumberFormat="1" applyFont="1" applyFill="1" applyBorder="1" applyAlignment="1">
      <alignment horizontal="center" vertical="center" wrapText="1"/>
    </xf>
    <xf numFmtId="0" fontId="5" fillId="0" borderId="215" xfId="1" applyNumberFormat="1" applyFont="1" applyFill="1" applyBorder="1" applyAlignment="1">
      <alignment horizontal="center" vertical="center" wrapText="1"/>
    </xf>
    <xf numFmtId="0" fontId="5" fillId="0" borderId="215" xfId="0" applyNumberFormat="1" applyFont="1" applyFill="1" applyBorder="1" applyAlignment="1">
      <alignment horizontal="center" vertical="center" wrapText="1"/>
    </xf>
    <xf numFmtId="0" fontId="7" fillId="0" borderId="215" xfId="0" applyFont="1" applyFill="1" applyBorder="1" applyAlignment="1">
      <alignment horizontal="right" vertical="center"/>
    </xf>
    <xf numFmtId="170" fontId="5" fillId="0" borderId="215" xfId="0" applyNumberFormat="1" applyFont="1" applyFill="1" applyBorder="1" applyAlignment="1">
      <alignment horizontal="justify" vertical="center" wrapText="1"/>
    </xf>
    <xf numFmtId="170" fontId="5" fillId="0" borderId="215" xfId="2" applyNumberFormat="1" applyFont="1" applyFill="1" applyBorder="1" applyAlignment="1">
      <alignment horizontal="justify" vertical="center"/>
    </xf>
    <xf numFmtId="170" fontId="5" fillId="0" borderId="216" xfId="2" applyNumberFormat="1" applyFont="1" applyFill="1" applyBorder="1" applyAlignment="1">
      <alignment horizontal="justify" vertical="center"/>
    </xf>
    <xf numFmtId="170" fontId="5" fillId="0" borderId="216" xfId="1" applyNumberFormat="1" applyFont="1" applyFill="1" applyBorder="1" applyAlignment="1">
      <alignment horizontal="center" vertical="center"/>
    </xf>
    <xf numFmtId="172" fontId="5" fillId="0" borderId="215" xfId="1" applyNumberFormat="1" applyFont="1" applyFill="1" applyBorder="1" applyAlignment="1">
      <alignment horizontal="center" vertical="center"/>
    </xf>
    <xf numFmtId="170" fontId="5" fillId="0" borderId="215" xfId="2" applyNumberFormat="1" applyFont="1" applyFill="1" applyBorder="1" applyAlignment="1">
      <alignment vertical="center"/>
    </xf>
    <xf numFmtId="173" fontId="24" fillId="0" borderId="215" xfId="0" applyNumberFormat="1" applyFont="1" applyFill="1" applyBorder="1" applyAlignment="1">
      <alignment horizontal="center" vertical="center" wrapText="1"/>
    </xf>
    <xf numFmtId="0" fontId="5" fillId="0" borderId="8" xfId="1"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0" xfId="0" applyFont="1" applyFill="1" applyBorder="1" applyAlignment="1">
      <alignment horizontal="right" vertical="center"/>
    </xf>
    <xf numFmtId="170" fontId="5" fillId="0" borderId="1" xfId="0" applyNumberFormat="1" applyFont="1" applyFill="1" applyBorder="1" applyAlignment="1">
      <alignment horizontal="justify" vertical="center" wrapText="1"/>
    </xf>
    <xf numFmtId="170" fontId="5" fillId="0" borderId="1" xfId="1" applyNumberFormat="1" applyFont="1" applyFill="1" applyBorder="1" applyAlignment="1">
      <alignment horizontal="center" vertical="center"/>
    </xf>
    <xf numFmtId="0" fontId="5" fillId="6" borderId="2" xfId="0" applyFont="1" applyFill="1" applyBorder="1" applyAlignment="1">
      <alignment vertical="center" wrapText="1"/>
    </xf>
    <xf numFmtId="0" fontId="7" fillId="6" borderId="11" xfId="0" applyFont="1" applyFill="1" applyBorder="1" applyAlignment="1">
      <alignment horizontal="right" vertical="center"/>
    </xf>
    <xf numFmtId="170" fontId="5" fillId="6" borderId="3" xfId="2" applyNumberFormat="1" applyFont="1" applyFill="1" applyBorder="1" applyAlignment="1">
      <alignment vertical="center"/>
    </xf>
    <xf numFmtId="173" fontId="24" fillId="6" borderId="3" xfId="0" applyNumberFormat="1"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3" xfId="0" applyFont="1" applyFill="1" applyBorder="1" applyAlignment="1">
      <alignment horizontal="center" vertical="center" wrapText="1"/>
    </xf>
    <xf numFmtId="3" fontId="5" fillId="0" borderId="3" xfId="0" applyNumberFormat="1" applyFont="1" applyFill="1" applyBorder="1" applyAlignment="1">
      <alignment vertical="center"/>
    </xf>
    <xf numFmtId="1" fontId="7" fillId="0" borderId="3" xfId="0" applyNumberFormat="1" applyFont="1" applyFill="1" applyBorder="1" applyAlignment="1">
      <alignment horizontal="right" vertical="center" wrapText="1"/>
    </xf>
    <xf numFmtId="170" fontId="23" fillId="0" borderId="3" xfId="2" applyNumberFormat="1" applyFont="1" applyFill="1" applyBorder="1" applyAlignment="1">
      <alignment horizontal="justify" vertical="center"/>
    </xf>
    <xf numFmtId="0" fontId="5" fillId="2" borderId="1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6" xfId="0" applyNumberFormat="1"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3" xfId="0" applyFont="1" applyFill="1" applyBorder="1" applyAlignment="1">
      <alignment horizontal="center" vertical="center" wrapText="1"/>
    </xf>
    <xf numFmtId="1" fontId="6" fillId="0" borderId="3" xfId="0" applyNumberFormat="1"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23" fillId="0" borderId="3" xfId="0" applyNumberFormat="1" applyFont="1" applyFill="1" applyBorder="1" applyAlignment="1">
      <alignment horizontal="center" vertical="center" wrapText="1"/>
    </xf>
    <xf numFmtId="3" fontId="6" fillId="0" borderId="0" xfId="1" applyNumberFormat="1" applyFont="1" applyFill="1" applyBorder="1" applyAlignment="1">
      <alignment horizontal="right" vertical="center"/>
    </xf>
    <xf numFmtId="43" fontId="14" fillId="3" borderId="3" xfId="0" applyNumberFormat="1" applyFont="1" applyFill="1" applyBorder="1" applyAlignment="1">
      <alignment horizontal="left" vertical="center"/>
    </xf>
    <xf numFmtId="3" fontId="3" fillId="4" borderId="3" xfId="0" applyNumberFormat="1" applyFont="1" applyFill="1" applyBorder="1" applyAlignment="1">
      <alignment vertical="center" wrapText="1"/>
    </xf>
    <xf numFmtId="173" fontId="24" fillId="0" borderId="22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70" fontId="6" fillId="0" borderId="0" xfId="1" applyNumberFormat="1" applyFont="1"/>
    <xf numFmtId="0" fontId="5" fillId="0" borderId="6"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6" xfId="0" applyFont="1" applyFill="1" applyBorder="1" applyAlignment="1">
      <alignment horizontal="justify" vertical="center" wrapText="1"/>
    </xf>
    <xf numFmtId="0" fontId="3" fillId="7" borderId="7" xfId="0" applyFont="1" applyFill="1" applyBorder="1" applyAlignment="1">
      <alignment horizontal="left" vertical="center"/>
    </xf>
    <xf numFmtId="0" fontId="5" fillId="0" borderId="1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justify" vertical="center" wrapText="1"/>
    </xf>
    <xf numFmtId="0" fontId="5" fillId="0" borderId="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6" xfId="0" applyFont="1" applyFill="1" applyBorder="1" applyAlignment="1">
      <alignment horizontal="justify" vertical="center" wrapText="1"/>
    </xf>
    <xf numFmtId="0" fontId="5" fillId="0" borderId="11" xfId="0" applyFont="1" applyFill="1" applyBorder="1" applyAlignment="1">
      <alignment horizontal="center" vertical="center" wrapText="1"/>
    </xf>
    <xf numFmtId="0" fontId="14" fillId="41" borderId="7" xfId="0" applyNumberFormat="1" applyFont="1" applyFill="1" applyBorder="1" applyAlignment="1">
      <alignment horizontal="center" vertical="center" wrapText="1"/>
    </xf>
    <xf numFmtId="170" fontId="14" fillId="41" borderId="7" xfId="2" applyNumberFormat="1" applyFont="1" applyFill="1" applyBorder="1" applyAlignment="1">
      <alignment horizontal="center" vertical="center" wrapText="1"/>
    </xf>
    <xf numFmtId="172" fontId="14" fillId="41" borderId="7" xfId="1" applyNumberFormat="1" applyFont="1" applyFill="1" applyBorder="1" applyAlignment="1">
      <alignment horizontal="center" vertical="center" wrapText="1"/>
    </xf>
    <xf numFmtId="0" fontId="52" fillId="41" borderId="10" xfId="0" applyNumberFormat="1" applyFont="1" applyFill="1" applyBorder="1" applyAlignment="1">
      <alignment horizontal="center" vertical="center" wrapText="1"/>
    </xf>
    <xf numFmtId="170" fontId="52" fillId="41" borderId="3" xfId="2" applyNumberFormat="1" applyFont="1" applyFill="1" applyBorder="1" applyAlignment="1">
      <alignment horizontal="center" vertical="center" wrapText="1"/>
    </xf>
    <xf numFmtId="172" fontId="52" fillId="41" borderId="3" xfId="1"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223" xfId="0" applyFont="1" applyFill="1" applyBorder="1" applyAlignment="1">
      <alignment horizontal="center" vertical="center" wrapText="1"/>
    </xf>
    <xf numFmtId="0" fontId="5" fillId="0" borderId="224" xfId="0" applyFont="1" applyFill="1" applyBorder="1" applyAlignment="1">
      <alignment horizontal="justify" vertical="center" wrapText="1"/>
    </xf>
    <xf numFmtId="0" fontId="5" fillId="0" borderId="224" xfId="0" applyFont="1" applyFill="1" applyBorder="1" applyAlignment="1">
      <alignment horizontal="center" vertical="center" wrapText="1"/>
    </xf>
    <xf numFmtId="0" fontId="5" fillId="0" borderId="22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vertical="center" wrapText="1"/>
    </xf>
    <xf numFmtId="0" fontId="5" fillId="4" borderId="10" xfId="0" applyFont="1" applyFill="1" applyBorder="1" applyAlignment="1">
      <alignment horizontal="justify" vertical="center" wrapText="1"/>
    </xf>
    <xf numFmtId="0" fontId="5" fillId="4" borderId="10" xfId="0" applyFont="1" applyFill="1" applyBorder="1" applyAlignment="1">
      <alignment horizontal="center" vertical="center" wrapText="1"/>
    </xf>
    <xf numFmtId="0" fontId="5" fillId="4" borderId="10" xfId="0" applyNumberFormat="1" applyFont="1" applyFill="1" applyBorder="1" applyAlignment="1">
      <alignment horizontal="center" vertical="center"/>
    </xf>
    <xf numFmtId="0" fontId="7" fillId="4" borderId="10" xfId="0" applyFont="1" applyFill="1" applyBorder="1" applyAlignment="1">
      <alignment horizontal="right" vertical="center" wrapText="1"/>
    </xf>
    <xf numFmtId="170" fontId="5" fillId="4" borderId="10" xfId="2" applyNumberFormat="1" applyFont="1" applyFill="1" applyBorder="1" applyAlignment="1">
      <alignment horizontal="justify" vertical="center"/>
    </xf>
    <xf numFmtId="0" fontId="5" fillId="0" borderId="0" xfId="0" applyFont="1" applyBorder="1" applyAlignment="1">
      <alignment vertical="center" wrapText="1"/>
    </xf>
    <xf numFmtId="0" fontId="15" fillId="0" borderId="0" xfId="0" applyFont="1" applyFill="1" applyBorder="1" applyAlignment="1">
      <alignment horizontal="center" vertical="center"/>
    </xf>
    <xf numFmtId="0" fontId="53" fillId="0" borderId="0" xfId="0" applyFont="1" applyFill="1" applyBorder="1" applyAlignment="1">
      <alignment horizontal="center" vertical="center"/>
    </xf>
    <xf numFmtId="0" fontId="3"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6" xfId="0" applyFont="1" applyFill="1" applyBorder="1" applyAlignment="1">
      <alignment horizontal="justify" vertical="center" wrapText="1"/>
    </xf>
    <xf numFmtId="0" fontId="8" fillId="0" borderId="14" xfId="0" applyFont="1" applyFill="1" applyBorder="1" applyAlignment="1">
      <alignment horizontal="justify" vertical="center" wrapText="1"/>
    </xf>
    <xf numFmtId="0" fontId="8" fillId="0" borderId="10" xfId="0" applyFont="1" applyFill="1" applyBorder="1" applyAlignment="1">
      <alignment horizontal="justify" vertical="center" wrapText="1"/>
    </xf>
    <xf numFmtId="9" fontId="8" fillId="0" borderId="6" xfId="0" applyNumberFormat="1" applyFont="1" applyFill="1" applyBorder="1" applyAlignment="1">
      <alignment horizontal="center" vertical="center"/>
    </xf>
    <xf numFmtId="9" fontId="8" fillId="0" borderId="14" xfId="0" applyNumberFormat="1" applyFont="1" applyFill="1" applyBorder="1" applyAlignment="1">
      <alignment horizontal="center" vertical="center"/>
    </xf>
    <xf numFmtId="9" fontId="8" fillId="0" borderId="10" xfId="0" applyNumberFormat="1" applyFont="1" applyFill="1" applyBorder="1" applyAlignment="1">
      <alignment horizontal="center" vertical="center"/>
    </xf>
    <xf numFmtId="9" fontId="8" fillId="0" borderId="6" xfId="0" applyNumberFormat="1" applyFont="1" applyFill="1" applyBorder="1" applyAlignment="1">
      <alignment horizontal="center" vertical="center" wrapText="1"/>
    </xf>
    <xf numFmtId="9" fontId="8" fillId="0" borderId="14" xfId="0" applyNumberFormat="1" applyFont="1" applyFill="1" applyBorder="1" applyAlignment="1">
      <alignment horizontal="center" vertical="center" wrapText="1"/>
    </xf>
    <xf numFmtId="9" fontId="8" fillId="0" borderId="10"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7" fillId="0" borderId="6" xfId="0" applyFont="1" applyFill="1" applyBorder="1" applyAlignment="1">
      <alignment horizontal="right" vertical="center"/>
    </xf>
    <xf numFmtId="0" fontId="7" fillId="0" borderId="14" xfId="0" applyFont="1" applyFill="1" applyBorder="1" applyAlignment="1">
      <alignment horizontal="right" vertical="center"/>
    </xf>
    <xf numFmtId="0" fontId="7" fillId="0" borderId="10" xfId="0" applyFont="1" applyFill="1" applyBorder="1" applyAlignment="1">
      <alignment horizontal="right" vertical="center"/>
    </xf>
    <xf numFmtId="0" fontId="6" fillId="0" borderId="6" xfId="0" applyFont="1" applyFill="1" applyBorder="1" applyAlignment="1">
      <alignment horizontal="justify" vertical="center" wrapText="1"/>
    </xf>
    <xf numFmtId="0" fontId="6" fillId="0" borderId="14" xfId="0" applyFont="1" applyFill="1" applyBorder="1" applyAlignment="1">
      <alignment horizontal="justify" vertical="center" wrapText="1"/>
    </xf>
    <xf numFmtId="0" fontId="6" fillId="0" borderId="10" xfId="0" applyFont="1" applyFill="1" applyBorder="1" applyAlignment="1">
      <alignment horizontal="justify" vertical="center" wrapText="1"/>
    </xf>
    <xf numFmtId="0" fontId="8" fillId="0" borderId="6"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5" fillId="0" borderId="10" xfId="0" applyFont="1" applyFill="1" applyBorder="1" applyAlignment="1">
      <alignment horizontal="center" vertical="center" wrapText="1"/>
    </xf>
    <xf numFmtId="170" fontId="21" fillId="0" borderId="0" xfId="2" applyNumberFormat="1" applyFont="1" applyBorder="1" applyAlignment="1">
      <alignment horizontal="center" wrapText="1"/>
    </xf>
    <xf numFmtId="0" fontId="5" fillId="0" borderId="6" xfId="0" applyFont="1" applyBorder="1" applyAlignment="1">
      <alignment horizontal="center" vertical="center" wrapText="1"/>
    </xf>
    <xf numFmtId="0" fontId="5" fillId="0" borderId="14" xfId="0" applyFont="1" applyBorder="1" applyAlignment="1">
      <alignment horizontal="center" vertical="center" wrapText="1"/>
    </xf>
    <xf numFmtId="0" fontId="8" fillId="2" borderId="6"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5" fillId="0" borderId="6" xfId="0" applyFont="1" applyFill="1" applyBorder="1" applyAlignment="1">
      <alignment horizontal="justify" vertical="center" wrapText="1"/>
    </xf>
    <xf numFmtId="0" fontId="5" fillId="0" borderId="14" xfId="0" applyFont="1" applyFill="1" applyBorder="1" applyAlignment="1">
      <alignment horizontal="justify" vertical="center" wrapText="1"/>
    </xf>
    <xf numFmtId="0" fontId="5" fillId="0" borderId="10" xfId="0" applyFont="1" applyFill="1" applyBorder="1" applyAlignment="1">
      <alignment horizontal="justify" vertical="center" wrapText="1"/>
    </xf>
    <xf numFmtId="0" fontId="3" fillId="4" borderId="3" xfId="0" applyFont="1" applyFill="1" applyBorder="1" applyAlignment="1">
      <alignment horizontal="left" vertical="center" wrapText="1"/>
    </xf>
    <xf numFmtId="0" fontId="3" fillId="5" borderId="3"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0" xfId="0" applyFont="1" applyFill="1" applyBorder="1" applyAlignment="1">
      <alignment horizontal="center" vertical="center"/>
    </xf>
    <xf numFmtId="170" fontId="5" fillId="0" borderId="6" xfId="0" applyNumberFormat="1" applyFont="1" applyFill="1" applyBorder="1" applyAlignment="1">
      <alignment horizontal="justify" vertical="center" wrapText="1"/>
    </xf>
    <xf numFmtId="170" fontId="5" fillId="0" borderId="14" xfId="0" applyNumberFormat="1" applyFont="1" applyFill="1" applyBorder="1" applyAlignment="1">
      <alignment horizontal="justify" vertical="center" wrapText="1"/>
    </xf>
    <xf numFmtId="170" fontId="5" fillId="0" borderId="10" xfId="0" applyNumberFormat="1" applyFont="1" applyFill="1" applyBorder="1" applyAlignment="1">
      <alignment horizontal="justify" vertical="center" wrapText="1"/>
    </xf>
    <xf numFmtId="0" fontId="3" fillId="7" borderId="11" xfId="0" applyFont="1" applyFill="1" applyBorder="1" applyAlignment="1">
      <alignment horizontal="left" vertical="center"/>
    </xf>
    <xf numFmtId="3" fontId="5" fillId="0" borderId="6" xfId="0" applyNumberFormat="1" applyFont="1" applyFill="1" applyBorder="1" applyAlignment="1">
      <alignment horizontal="justify" vertical="center"/>
    </xf>
    <xf numFmtId="3" fontId="5" fillId="0" borderId="10" xfId="0" applyNumberFormat="1" applyFont="1" applyFill="1" applyBorder="1" applyAlignment="1">
      <alignment horizontal="justify" vertical="center"/>
    </xf>
    <xf numFmtId="0" fontId="7" fillId="0" borderId="6" xfId="0" applyFont="1" applyFill="1" applyBorder="1" applyAlignment="1">
      <alignment horizontal="right" vertical="center" wrapText="1"/>
    </xf>
    <xf numFmtId="0" fontId="7" fillId="0" borderId="14" xfId="0" applyFont="1" applyFill="1" applyBorder="1" applyAlignment="1">
      <alignment horizontal="right" vertical="center" wrapText="1"/>
    </xf>
    <xf numFmtId="0" fontId="7" fillId="0" borderId="10" xfId="0" applyFont="1" applyFill="1" applyBorder="1" applyAlignment="1">
      <alignment horizontal="right" vertical="center" wrapText="1"/>
    </xf>
    <xf numFmtId="0" fontId="3" fillId="13" borderId="7" xfId="0" applyFont="1" applyFill="1" applyBorder="1" applyAlignment="1">
      <alignment horizontal="left" vertical="center" wrapText="1"/>
    </xf>
    <xf numFmtId="0" fontId="3" fillId="13" borderId="11" xfId="0" applyFont="1" applyFill="1" applyBorder="1" applyAlignment="1">
      <alignment horizontal="left" vertical="center" wrapText="1"/>
    </xf>
    <xf numFmtId="0" fontId="3" fillId="13" borderId="2" xfId="0" applyFont="1" applyFill="1" applyBorder="1" applyAlignment="1">
      <alignment horizontal="left" vertical="center" wrapText="1"/>
    </xf>
    <xf numFmtId="0" fontId="5" fillId="0" borderId="6" xfId="0" applyFont="1" applyBorder="1" applyAlignment="1">
      <alignment horizontal="justify" vertical="center" wrapText="1"/>
    </xf>
    <xf numFmtId="0" fontId="5" fillId="0" borderId="10" xfId="0" applyFont="1" applyBorder="1" applyAlignment="1">
      <alignment horizontal="justify" vertical="center" wrapText="1"/>
    </xf>
    <xf numFmtId="9" fontId="5" fillId="0" borderId="6" xfId="0" applyNumberFormat="1" applyFont="1" applyBorder="1" applyAlignment="1">
      <alignment horizontal="center" vertical="center" wrapText="1"/>
    </xf>
    <xf numFmtId="9" fontId="5" fillId="0" borderId="10" xfId="0" applyNumberFormat="1" applyFont="1" applyBorder="1" applyAlignment="1">
      <alignment horizontal="center" vertical="center" wrapText="1"/>
    </xf>
    <xf numFmtId="0" fontId="3" fillId="7" borderId="11" xfId="0" applyFont="1" applyFill="1" applyBorder="1" applyAlignment="1">
      <alignment horizontal="center" vertical="center"/>
    </xf>
    <xf numFmtId="1" fontId="5" fillId="0" borderId="6" xfId="3" applyNumberFormat="1" applyFont="1" applyFill="1" applyBorder="1" applyAlignment="1">
      <alignment horizontal="center" vertical="center" wrapText="1"/>
    </xf>
    <xf numFmtId="1" fontId="5" fillId="0" borderId="10" xfId="3"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8" fillId="2" borderId="6" xfId="0" applyFont="1" applyFill="1" applyBorder="1" applyAlignment="1">
      <alignment horizontal="justify" vertical="center" wrapText="1"/>
    </xf>
    <xf numFmtId="0" fontId="8" fillId="2" borderId="14" xfId="0" applyFont="1" applyFill="1" applyBorder="1" applyAlignment="1">
      <alignment horizontal="justify" vertical="center" wrapText="1"/>
    </xf>
    <xf numFmtId="0" fontId="8" fillId="2" borderId="10" xfId="0" applyFont="1" applyFill="1" applyBorder="1" applyAlignment="1">
      <alignment horizontal="justify" vertical="center" wrapText="1"/>
    </xf>
    <xf numFmtId="10" fontId="8" fillId="2" borderId="6" xfId="0" applyNumberFormat="1" applyFont="1" applyFill="1" applyBorder="1" applyAlignment="1">
      <alignment horizontal="center" vertical="center" wrapText="1"/>
    </xf>
    <xf numFmtId="10" fontId="8" fillId="2" borderId="14" xfId="0" applyNumberFormat="1" applyFont="1" applyFill="1" applyBorder="1" applyAlignment="1">
      <alignment horizontal="center" vertical="center" wrapText="1"/>
    </xf>
    <xf numFmtId="10" fontId="8" fillId="2" borderId="10" xfId="0" applyNumberFormat="1" applyFont="1" applyFill="1" applyBorder="1" applyAlignment="1">
      <alignment horizontal="center" vertical="center" wrapText="1"/>
    </xf>
    <xf numFmtId="9" fontId="5" fillId="2" borderId="6" xfId="0" applyNumberFormat="1" applyFont="1" applyFill="1" applyBorder="1" applyAlignment="1">
      <alignment horizontal="center" vertical="center" wrapText="1"/>
    </xf>
    <xf numFmtId="9" fontId="5" fillId="2" borderId="14" xfId="0" applyNumberFormat="1" applyFont="1" applyFill="1" applyBorder="1" applyAlignment="1">
      <alignment horizontal="center" vertical="center" wrapText="1"/>
    </xf>
    <xf numFmtId="9" fontId="5" fillId="2" borderId="10" xfId="0" applyNumberFormat="1" applyFont="1" applyFill="1" applyBorder="1" applyAlignment="1">
      <alignment horizontal="center" vertical="center" wrapText="1"/>
    </xf>
    <xf numFmtId="1" fontId="5" fillId="2" borderId="6" xfId="0" applyNumberFormat="1" applyFont="1" applyFill="1" applyBorder="1" applyAlignment="1">
      <alignment horizontal="center" vertical="center" wrapText="1"/>
    </xf>
    <xf numFmtId="1" fontId="5" fillId="2" borderId="14" xfId="0" applyNumberFormat="1" applyFont="1" applyFill="1" applyBorder="1" applyAlignment="1">
      <alignment horizontal="center" vertical="center" wrapText="1"/>
    </xf>
    <xf numFmtId="1" fontId="5" fillId="2" borderId="10"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9" fontId="5" fillId="0" borderId="14" xfId="0" applyNumberFormat="1" applyFont="1" applyFill="1" applyBorder="1" applyAlignment="1">
      <alignment horizontal="center" vertical="center" wrapText="1"/>
    </xf>
    <xf numFmtId="9" fontId="5" fillId="0" borderId="10"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10" xfId="0" applyFont="1" applyFill="1" applyBorder="1" applyAlignment="1">
      <alignment horizontal="center" vertical="center"/>
    </xf>
    <xf numFmtId="0" fontId="17" fillId="2" borderId="6" xfId="0" applyFont="1" applyFill="1" applyBorder="1" applyAlignment="1">
      <alignment horizontal="justify" vertical="center" wrapText="1"/>
    </xf>
    <xf numFmtId="0" fontId="17" fillId="2" borderId="10" xfId="0" applyFont="1" applyFill="1" applyBorder="1" applyAlignment="1">
      <alignment horizontal="justify" vertical="center" wrapText="1"/>
    </xf>
    <xf numFmtId="9" fontId="8" fillId="2" borderId="6" xfId="0" applyNumberFormat="1" applyFont="1" applyFill="1" applyBorder="1" applyAlignment="1">
      <alignment horizontal="center" vertical="center" wrapText="1"/>
    </xf>
    <xf numFmtId="9" fontId="8" fillId="2" borderId="10"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170" fontId="8" fillId="0" borderId="6" xfId="1" applyNumberFormat="1" applyFont="1" applyFill="1" applyBorder="1" applyAlignment="1">
      <alignment vertical="center" wrapText="1"/>
    </xf>
    <xf numFmtId="170" fontId="8" fillId="0" borderId="10" xfId="1" applyNumberFormat="1" applyFont="1" applyFill="1" applyBorder="1" applyAlignment="1">
      <alignment vertical="center" wrapText="1"/>
    </xf>
    <xf numFmtId="170" fontId="5" fillId="0" borderId="6" xfId="1" applyNumberFormat="1" applyFont="1" applyFill="1" applyBorder="1" applyAlignment="1">
      <alignment vertical="center" wrapText="1"/>
    </xf>
    <xf numFmtId="170" fontId="5" fillId="0" borderId="10" xfId="1" applyNumberFormat="1" applyFont="1" applyFill="1" applyBorder="1" applyAlignment="1">
      <alignment vertical="center" wrapText="1"/>
    </xf>
    <xf numFmtId="0" fontId="5" fillId="2" borderId="6" xfId="0" applyFont="1" applyFill="1" applyBorder="1" applyAlignment="1">
      <alignment horizontal="justify" vertical="center" wrapText="1"/>
    </xf>
    <xf numFmtId="0" fontId="5" fillId="2" borderId="14" xfId="0" applyFont="1" applyFill="1" applyBorder="1" applyAlignment="1">
      <alignment horizontal="justify" vertical="center" wrapText="1"/>
    </xf>
    <xf numFmtId="0" fontId="5" fillId="2" borderId="10" xfId="0" applyFont="1" applyFill="1" applyBorder="1" applyAlignment="1">
      <alignment horizontal="justify" vertical="center" wrapText="1"/>
    </xf>
    <xf numFmtId="0" fontId="8" fillId="2" borderId="10" xfId="0" applyFont="1" applyFill="1" applyBorder="1" applyAlignment="1">
      <alignment horizontal="center" vertical="center" wrapText="1"/>
    </xf>
    <xf numFmtId="0" fontId="5" fillId="2" borderId="14" xfId="0" applyFont="1" applyFill="1" applyBorder="1" applyAlignment="1">
      <alignment horizontal="center" vertical="center" wrapText="1"/>
    </xf>
    <xf numFmtId="1" fontId="5" fillId="0" borderId="14" xfId="3" applyNumberFormat="1" applyFont="1" applyFill="1" applyBorder="1" applyAlignment="1">
      <alignment horizontal="center" vertical="center" wrapText="1"/>
    </xf>
    <xf numFmtId="0" fontId="7" fillId="2" borderId="6" xfId="0" applyFont="1" applyFill="1" applyBorder="1" applyAlignment="1">
      <alignment horizontal="right" vertical="center" wrapText="1"/>
    </xf>
    <xf numFmtId="0" fontId="7" fillId="2" borderId="14" xfId="0" applyFont="1" applyFill="1" applyBorder="1" applyAlignment="1">
      <alignment horizontal="right" vertical="center" wrapText="1"/>
    </xf>
    <xf numFmtId="0" fontId="7" fillId="2" borderId="10" xfId="0" applyFont="1" applyFill="1" applyBorder="1" applyAlignment="1">
      <alignment horizontal="right" vertical="center" wrapText="1"/>
    </xf>
    <xf numFmtId="0" fontId="5" fillId="0" borderId="10" xfId="0" applyFont="1" applyBorder="1" applyAlignment="1">
      <alignment horizontal="center" vertical="center" wrapText="1"/>
    </xf>
    <xf numFmtId="0" fontId="5" fillId="0" borderId="6" xfId="0" applyFont="1" applyFill="1" applyBorder="1" applyAlignment="1">
      <alignment horizontal="justify" vertical="center"/>
    </xf>
    <xf numFmtId="0" fontId="5" fillId="0" borderId="14" xfId="0" applyFont="1" applyFill="1" applyBorder="1" applyAlignment="1">
      <alignment horizontal="justify" vertical="center"/>
    </xf>
    <xf numFmtId="0" fontId="5" fillId="0" borderId="10" xfId="0" applyFont="1" applyFill="1" applyBorder="1" applyAlignment="1">
      <alignment horizontal="justify" vertical="center"/>
    </xf>
    <xf numFmtId="49" fontId="5" fillId="0" borderId="5"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6" xfId="0" applyNumberFormat="1" applyFont="1" applyFill="1" applyBorder="1" applyAlignment="1">
      <alignment horizontal="justify" vertical="center" wrapText="1"/>
    </xf>
    <xf numFmtId="49" fontId="5" fillId="0" borderId="10" xfId="0" applyNumberFormat="1" applyFont="1" applyFill="1" applyBorder="1" applyAlignment="1">
      <alignment horizontal="justify" vertical="center" wrapText="1"/>
    </xf>
    <xf numFmtId="10" fontId="5" fillId="0" borderId="6" xfId="0" applyNumberFormat="1" applyFont="1" applyFill="1" applyBorder="1" applyAlignment="1">
      <alignment horizontal="center" vertical="center" wrapText="1"/>
    </xf>
    <xf numFmtId="10" fontId="5" fillId="0" borderId="10" xfId="0" applyNumberFormat="1" applyFont="1" applyFill="1" applyBorder="1" applyAlignment="1">
      <alignment horizontal="center" vertical="center" wrapText="1"/>
    </xf>
    <xf numFmtId="0" fontId="5" fillId="0" borderId="14" xfId="0" applyFont="1" applyBorder="1" applyAlignment="1">
      <alignment horizontal="justify" vertical="center" wrapText="1"/>
    </xf>
    <xf numFmtId="3" fontId="5" fillId="2" borderId="6"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3" fontId="7" fillId="0" borderId="6" xfId="3" applyNumberFormat="1" applyFont="1" applyFill="1" applyBorder="1" applyAlignment="1">
      <alignment horizontal="right" vertical="center" wrapText="1"/>
    </xf>
    <xf numFmtId="3" fontId="7" fillId="0" borderId="10" xfId="3" applyNumberFormat="1" applyFont="1" applyFill="1" applyBorder="1" applyAlignment="1">
      <alignment horizontal="right" vertical="center" wrapText="1"/>
    </xf>
    <xf numFmtId="3" fontId="5" fillId="0" borderId="6" xfId="0" applyNumberFormat="1" applyFont="1" applyFill="1" applyBorder="1" applyAlignment="1">
      <alignment horizontal="left" vertical="center"/>
    </xf>
    <xf numFmtId="3" fontId="5" fillId="0" borderId="10" xfId="0" applyNumberFormat="1" applyFont="1" applyFill="1" applyBorder="1" applyAlignment="1">
      <alignment horizontal="left" vertical="center"/>
    </xf>
    <xf numFmtId="3" fontId="5" fillId="0" borderId="6" xfId="0" applyNumberFormat="1" applyFont="1" applyFill="1" applyBorder="1" applyAlignment="1">
      <alignment horizontal="center" vertical="center"/>
    </xf>
    <xf numFmtId="3" fontId="5" fillId="0" borderId="14" xfId="0" applyNumberFormat="1" applyFont="1" applyFill="1" applyBorder="1" applyAlignment="1">
      <alignment horizontal="center" vertical="center"/>
    </xf>
    <xf numFmtId="3" fontId="5" fillId="0" borderId="14" xfId="0" applyNumberFormat="1" applyFont="1" applyFill="1" applyBorder="1" applyAlignment="1">
      <alignment horizontal="left" vertical="center"/>
    </xf>
    <xf numFmtId="3" fontId="6" fillId="0" borderId="6" xfId="0" applyNumberFormat="1" applyFont="1" applyFill="1" applyBorder="1" applyAlignment="1">
      <alignment horizontal="left" vertical="center"/>
    </xf>
    <xf numFmtId="3" fontId="6" fillId="0" borderId="14" xfId="0" applyNumberFormat="1" applyFont="1" applyFill="1" applyBorder="1" applyAlignment="1">
      <alignment horizontal="left" vertical="center"/>
    </xf>
    <xf numFmtId="3" fontId="6" fillId="0" borderId="10" xfId="0" applyNumberFormat="1" applyFont="1" applyFill="1" applyBorder="1" applyAlignment="1">
      <alignment horizontal="left" vertical="center"/>
    </xf>
    <xf numFmtId="0" fontId="3" fillId="7" borderId="7" xfId="0" applyFont="1" applyFill="1" applyBorder="1" applyAlignment="1">
      <alignment horizontal="left" vertical="center"/>
    </xf>
    <xf numFmtId="3" fontId="5" fillId="0" borderId="6" xfId="0" applyNumberFormat="1" applyFont="1" applyFill="1" applyBorder="1" applyAlignment="1">
      <alignment horizontal="justify" vertical="center" wrapText="1"/>
    </xf>
    <xf numFmtId="3" fontId="5" fillId="0" borderId="14" xfId="0" applyNumberFormat="1" applyFont="1" applyFill="1" applyBorder="1" applyAlignment="1">
      <alignment horizontal="justify" vertical="center" wrapText="1"/>
    </xf>
    <xf numFmtId="3" fontId="5" fillId="0" borderId="10" xfId="0" applyNumberFormat="1" applyFont="1" applyFill="1" applyBorder="1" applyAlignment="1">
      <alignment horizontal="justify" vertical="center" wrapText="1"/>
    </xf>
    <xf numFmtId="3" fontId="5" fillId="0" borderId="6" xfId="0" applyNumberFormat="1" applyFont="1" applyFill="1" applyBorder="1" applyAlignment="1">
      <alignment horizontal="left" vertical="center" wrapText="1"/>
    </xf>
    <xf numFmtId="3" fontId="5" fillId="0" borderId="14" xfId="0" applyNumberFormat="1" applyFont="1" applyFill="1" applyBorder="1" applyAlignment="1">
      <alignment horizontal="left" vertical="center" wrapText="1"/>
    </xf>
    <xf numFmtId="3" fontId="5" fillId="0" borderId="10" xfId="0" applyNumberFormat="1" applyFont="1" applyFill="1" applyBorder="1" applyAlignment="1">
      <alignment horizontal="left" vertical="center" wrapText="1"/>
    </xf>
    <xf numFmtId="0" fontId="5" fillId="0" borderId="6"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5" fillId="2" borderId="6" xfId="0" applyNumberFormat="1" applyFont="1" applyFill="1" applyBorder="1" applyAlignment="1">
      <alignment horizontal="justify" vertical="center" wrapText="1"/>
    </xf>
    <xf numFmtId="0" fontId="5" fillId="2" borderId="14" xfId="0" applyNumberFormat="1" applyFont="1" applyFill="1" applyBorder="1" applyAlignment="1">
      <alignment horizontal="justify" vertical="center" wrapText="1"/>
    </xf>
    <xf numFmtId="0" fontId="5" fillId="2" borderId="10" xfId="0" applyNumberFormat="1" applyFont="1" applyFill="1" applyBorder="1" applyAlignment="1">
      <alignment horizontal="justify"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2" borderId="14" xfId="0" applyNumberFormat="1" applyFont="1" applyFill="1" applyBorder="1" applyAlignment="1">
      <alignment horizontal="center" vertical="center" wrapText="1"/>
    </xf>
    <xf numFmtId="0" fontId="5" fillId="0" borderId="6" xfId="0" applyNumberFormat="1" applyFont="1" applyFill="1" applyBorder="1" applyAlignment="1">
      <alignment horizontal="justify" vertical="center" wrapText="1"/>
    </xf>
    <xf numFmtId="0" fontId="5" fillId="0" borderId="10" xfId="0" applyNumberFormat="1"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14" xfId="0" applyNumberFormat="1" applyFont="1" applyFill="1" applyBorder="1" applyAlignment="1">
      <alignment horizontal="justify" vertical="center" wrapText="1"/>
    </xf>
    <xf numFmtId="0" fontId="5" fillId="0" borderId="19" xfId="0" applyFont="1" applyFill="1" applyBorder="1" applyAlignment="1">
      <alignment horizontal="justify" vertical="center" wrapText="1"/>
    </xf>
    <xf numFmtId="0" fontId="5" fillId="2" borderId="6" xfId="0" applyFont="1" applyFill="1" applyBorder="1" applyAlignment="1">
      <alignment horizontal="justify" vertical="center"/>
    </xf>
    <xf numFmtId="0" fontId="5" fillId="2" borderId="10" xfId="0" applyFont="1" applyFill="1" applyBorder="1" applyAlignment="1">
      <alignment horizontal="justify" vertical="center"/>
    </xf>
    <xf numFmtId="16" fontId="5" fillId="2" borderId="6" xfId="0" applyNumberFormat="1" applyFont="1" applyFill="1" applyBorder="1" applyAlignment="1">
      <alignment horizontal="center" vertical="center" wrapText="1"/>
    </xf>
    <xf numFmtId="16" fontId="5" fillId="2" borderId="10" xfId="0" applyNumberFormat="1" applyFont="1" applyFill="1" applyBorder="1" applyAlignment="1">
      <alignment horizontal="center" vertical="center" wrapText="1"/>
    </xf>
    <xf numFmtId="16" fontId="5" fillId="0" borderId="6" xfId="0" applyNumberFormat="1" applyFont="1" applyFill="1" applyBorder="1" applyAlignment="1">
      <alignment horizontal="center" vertical="center" wrapText="1"/>
    </xf>
    <xf numFmtId="16" fontId="5" fillId="0" borderId="14" xfId="0" applyNumberFormat="1" applyFont="1" applyFill="1" applyBorder="1" applyAlignment="1">
      <alignment horizontal="center" vertical="center" wrapText="1"/>
    </xf>
    <xf numFmtId="16" fontId="5" fillId="0" borderId="10" xfId="0" applyNumberFormat="1" applyFont="1" applyFill="1" applyBorder="1" applyAlignment="1">
      <alignment horizontal="center" vertical="center" wrapText="1"/>
    </xf>
    <xf numFmtId="0" fontId="5" fillId="0" borderId="6" xfId="0" applyNumberFormat="1" applyFont="1" applyFill="1" applyBorder="1" applyAlignment="1">
      <alignment horizontal="justify" vertical="center"/>
    </xf>
    <xf numFmtId="0" fontId="5" fillId="0" borderId="14" xfId="0" applyNumberFormat="1" applyFont="1" applyFill="1" applyBorder="1" applyAlignment="1">
      <alignment horizontal="justify" vertical="center"/>
    </xf>
    <xf numFmtId="0" fontId="5" fillId="0" borderId="10" xfId="0" applyNumberFormat="1" applyFont="1" applyFill="1" applyBorder="1" applyAlignment="1">
      <alignment horizontal="justify" vertical="center"/>
    </xf>
    <xf numFmtId="0" fontId="5" fillId="0" borderId="1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10" fontId="5" fillId="0" borderId="14" xfId="0" applyNumberFormat="1"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170" fontId="5" fillId="0" borderId="6" xfId="2" applyNumberFormat="1" applyFont="1" applyFill="1" applyBorder="1" applyAlignment="1">
      <alignment horizontal="justify" vertical="center" wrapText="1"/>
    </xf>
    <xf numFmtId="170" fontId="5" fillId="0" borderId="14" xfId="2" applyNumberFormat="1" applyFont="1" applyFill="1" applyBorder="1" applyAlignment="1">
      <alignment horizontal="justify" vertical="center" wrapText="1"/>
    </xf>
    <xf numFmtId="170" fontId="5" fillId="0" borderId="10" xfId="2" applyNumberFormat="1" applyFont="1" applyFill="1" applyBorder="1" applyAlignment="1">
      <alignment horizontal="justify" vertical="center" wrapText="1"/>
    </xf>
    <xf numFmtId="0" fontId="3" fillId="0" borderId="0" xfId="0" applyFont="1" applyFill="1" applyBorder="1" applyAlignment="1">
      <alignment horizontal="center" vertical="center" wrapText="1"/>
    </xf>
    <xf numFmtId="0" fontId="13" fillId="41" borderId="5" xfId="0" applyFont="1" applyFill="1" applyBorder="1" applyAlignment="1">
      <alignment horizontal="center" vertical="center" wrapText="1"/>
    </xf>
    <xf numFmtId="0" fontId="13" fillId="41" borderId="9" xfId="0" applyFont="1" applyFill="1" applyBorder="1" applyAlignment="1">
      <alignment horizontal="center" vertical="center" wrapText="1"/>
    </xf>
    <xf numFmtId="0" fontId="13" fillId="41" borderId="6" xfId="0" applyFont="1" applyFill="1" applyBorder="1" applyAlignment="1">
      <alignment horizontal="center" vertical="center" wrapText="1"/>
    </xf>
    <xf numFmtId="0" fontId="13" fillId="41" borderId="10" xfId="0" applyFont="1" applyFill="1" applyBorder="1" applyAlignment="1">
      <alignment horizontal="center" vertical="center" wrapText="1"/>
    </xf>
    <xf numFmtId="0" fontId="14" fillId="41" borderId="4" xfId="0" applyFont="1" applyFill="1" applyBorder="1" applyAlignment="1">
      <alignment horizontal="center" vertical="center" wrapText="1"/>
    </xf>
    <xf numFmtId="0" fontId="14" fillId="41" borderId="5" xfId="0" applyFont="1" applyFill="1" applyBorder="1" applyAlignment="1">
      <alignment horizontal="center" vertical="center" wrapText="1"/>
    </xf>
    <xf numFmtId="0" fontId="14" fillId="41" borderId="8" xfId="0" applyFont="1" applyFill="1" applyBorder="1" applyAlignment="1">
      <alignment horizontal="center" vertical="center" wrapText="1"/>
    </xf>
    <xf numFmtId="0" fontId="14" fillId="41" borderId="9" xfId="0" applyFont="1" applyFill="1" applyBorder="1" applyAlignment="1">
      <alignment horizontal="center" vertical="center" wrapText="1"/>
    </xf>
    <xf numFmtId="0" fontId="14" fillId="41" borderId="6" xfId="0" applyFont="1" applyFill="1" applyBorder="1" applyAlignment="1">
      <alignment horizontal="center" vertical="center" wrapText="1"/>
    </xf>
    <xf numFmtId="0" fontId="14" fillId="41" borderId="10" xfId="0" applyFont="1" applyFill="1" applyBorder="1" applyAlignment="1">
      <alignment horizontal="center" vertical="center" wrapText="1"/>
    </xf>
    <xf numFmtId="0" fontId="52" fillId="41" borderId="6" xfId="0" applyFont="1" applyFill="1" applyBorder="1" applyAlignment="1">
      <alignment horizontal="center" vertical="center" wrapText="1"/>
    </xf>
    <xf numFmtId="0" fontId="52" fillId="41" borderId="10" xfId="0" applyFont="1" applyFill="1" applyBorder="1" applyAlignment="1">
      <alignment horizontal="center" vertical="center" wrapText="1"/>
    </xf>
    <xf numFmtId="0" fontId="14" fillId="41" borderId="4" xfId="0" applyFont="1" applyFill="1" applyBorder="1" applyAlignment="1">
      <alignment horizontal="center" vertical="center"/>
    </xf>
    <xf numFmtId="0" fontId="14" fillId="41" borderId="5" xfId="0" applyFont="1" applyFill="1" applyBorder="1" applyAlignment="1">
      <alignment horizontal="center" vertical="center"/>
    </xf>
    <xf numFmtId="0" fontId="14" fillId="41" borderId="8" xfId="0" applyFont="1" applyFill="1" applyBorder="1" applyAlignment="1">
      <alignment horizontal="center" vertical="center"/>
    </xf>
    <xf numFmtId="0" fontId="14" fillId="41" borderId="9" xfId="0" applyFont="1" applyFill="1" applyBorder="1" applyAlignment="1">
      <alignment horizontal="center" vertical="center"/>
    </xf>
    <xf numFmtId="0" fontId="14" fillId="41" borderId="6" xfId="0" applyNumberFormat="1" applyFont="1" applyFill="1" applyBorder="1" applyAlignment="1">
      <alignment horizontal="center" vertical="center" wrapText="1"/>
    </xf>
    <xf numFmtId="0" fontId="14" fillId="41" borderId="10" xfId="0" applyNumberFormat="1" applyFont="1" applyFill="1" applyBorder="1" applyAlignment="1">
      <alignment horizontal="center" vertical="center" wrapText="1"/>
    </xf>
    <xf numFmtId="0" fontId="5" fillId="0" borderId="149" xfId="0" applyFont="1" applyFill="1" applyBorder="1" applyAlignment="1">
      <alignment horizontal="center" vertical="center" wrapText="1"/>
    </xf>
    <xf numFmtId="0" fontId="5" fillId="6" borderId="14" xfId="0" applyFont="1" applyFill="1" applyBorder="1" applyAlignment="1">
      <alignment horizontal="justify" vertical="center" wrapText="1"/>
    </xf>
    <xf numFmtId="0" fontId="5" fillId="6" borderId="0" xfId="0" applyFont="1" applyFill="1" applyBorder="1" applyAlignment="1">
      <alignment horizontal="center" vertical="center" wrapText="1"/>
    </xf>
    <xf numFmtId="0" fontId="5" fillId="6" borderId="215" xfId="0" applyFont="1" applyFill="1" applyBorder="1" applyAlignment="1">
      <alignment horizontal="justify" vertical="center" wrapText="1"/>
    </xf>
    <xf numFmtId="0" fontId="5" fillId="6" borderId="215" xfId="0" applyNumberFormat="1" applyFont="1" applyFill="1" applyBorder="1" applyAlignment="1">
      <alignment horizontal="center" vertical="center" wrapText="1"/>
    </xf>
    <xf numFmtId="0" fontId="5" fillId="6" borderId="14" xfId="0" applyNumberFormat="1" applyFont="1" applyFill="1" applyBorder="1" applyAlignment="1">
      <alignment horizontal="center" vertical="center" wrapText="1"/>
    </xf>
    <xf numFmtId="0" fontId="7" fillId="6" borderId="14" xfId="0" applyFont="1" applyFill="1" applyBorder="1" applyAlignment="1">
      <alignment horizontal="right" vertical="center" wrapText="1"/>
    </xf>
    <xf numFmtId="0" fontId="5" fillId="6" borderId="14" xfId="0" applyFont="1" applyFill="1" applyBorder="1" applyAlignment="1">
      <alignment horizontal="center" vertical="center" wrapText="1"/>
    </xf>
    <xf numFmtId="0" fontId="5" fillId="6" borderId="215" xfId="0" applyFont="1" applyFill="1" applyBorder="1" applyAlignment="1">
      <alignment horizontal="center" vertical="center" wrapText="1"/>
    </xf>
    <xf numFmtId="170" fontId="5" fillId="6" borderId="215" xfId="2" applyNumberFormat="1" applyFont="1" applyFill="1" applyBorder="1" applyAlignment="1">
      <alignment horizontal="justify" vertical="center"/>
    </xf>
    <xf numFmtId="0" fontId="3" fillId="6" borderId="10" xfId="0" applyFont="1" applyFill="1" applyBorder="1" applyAlignment="1">
      <alignment horizontal="center" vertical="center" wrapText="1"/>
    </xf>
    <xf numFmtId="0" fontId="3" fillId="6" borderId="10" xfId="0" applyFont="1" applyFill="1" applyBorder="1" applyAlignment="1">
      <alignment vertical="center"/>
    </xf>
    <xf numFmtId="170" fontId="5" fillId="6" borderId="10" xfId="2" applyNumberFormat="1" applyFont="1" applyFill="1" applyBorder="1" applyAlignment="1">
      <alignment horizontal="justify" vertical="center"/>
    </xf>
    <xf numFmtId="172" fontId="5" fillId="6" borderId="10" xfId="1" applyNumberFormat="1" applyFont="1" applyFill="1" applyBorder="1" applyAlignment="1">
      <alignment horizontal="center" vertical="center"/>
    </xf>
    <xf numFmtId="170" fontId="5" fillId="6" borderId="10" xfId="1" applyNumberFormat="1" applyFont="1" applyFill="1" applyBorder="1" applyAlignment="1">
      <alignment horizontal="center" vertical="center"/>
    </xf>
    <xf numFmtId="170" fontId="5" fillId="0" borderId="11" xfId="1" applyNumberFormat="1" applyFont="1" applyFill="1" applyBorder="1" applyAlignment="1">
      <alignment horizontal="center" vertical="center"/>
    </xf>
    <xf numFmtId="9" fontId="5" fillId="2" borderId="6" xfId="3" applyFont="1" applyFill="1" applyBorder="1" applyAlignment="1">
      <alignment horizontal="center" vertical="center" wrapText="1"/>
    </xf>
    <xf numFmtId="170" fontId="5" fillId="0" borderId="6" xfId="2" applyNumberFormat="1" applyFont="1" applyBorder="1" applyAlignment="1">
      <alignment horizontal="justify" vertical="center"/>
    </xf>
    <xf numFmtId="172" fontId="5" fillId="0" borderId="6" xfId="1" applyNumberFormat="1" applyFont="1" applyBorder="1" applyAlignment="1">
      <alignment horizontal="center" vertical="center"/>
    </xf>
    <xf numFmtId="170" fontId="5" fillId="0" borderId="6" xfId="2" applyNumberFormat="1" applyFont="1" applyBorder="1" applyAlignment="1">
      <alignment vertical="center"/>
    </xf>
    <xf numFmtId="170" fontId="5" fillId="0" borderId="223" xfId="2" applyNumberFormat="1" applyFont="1" applyBorder="1" applyAlignment="1">
      <alignment horizontal="justify" vertical="center"/>
    </xf>
    <xf numFmtId="0" fontId="5" fillId="0" borderId="8" xfId="0" applyFont="1" applyFill="1" applyBorder="1" applyAlignment="1">
      <alignment horizontal="justify" vertical="center" wrapText="1"/>
    </xf>
    <xf numFmtId="0" fontId="7" fillId="0" borderId="1" xfId="0" applyFont="1" applyFill="1" applyBorder="1" applyAlignment="1">
      <alignment horizontal="right" vertical="center" wrapText="1"/>
    </xf>
    <xf numFmtId="0" fontId="5" fillId="0" borderId="9" xfId="0" applyFont="1" applyFill="1" applyBorder="1" applyAlignment="1">
      <alignment horizontal="justify" vertical="center" wrapText="1"/>
    </xf>
    <xf numFmtId="170" fontId="22" fillId="15" borderId="3" xfId="2" applyNumberFormat="1" applyFont="1" applyFill="1" applyBorder="1" applyAlignment="1">
      <alignment vertical="center"/>
    </xf>
    <xf numFmtId="170" fontId="22" fillId="15" borderId="7" xfId="2" applyNumberFormat="1" applyFont="1" applyFill="1" applyBorder="1"/>
    <xf numFmtId="170" fontId="22" fillId="15" borderId="11" xfId="2" applyNumberFormat="1" applyFont="1" applyFill="1" applyBorder="1"/>
    <xf numFmtId="170" fontId="22" fillId="15" borderId="11" xfId="2" applyNumberFormat="1" applyFont="1" applyFill="1" applyBorder="1" applyAlignment="1">
      <alignment vertical="center"/>
    </xf>
    <xf numFmtId="0" fontId="3" fillId="5" borderId="12" xfId="0" applyFont="1" applyFill="1" applyBorder="1" applyAlignment="1">
      <alignment horizontal="left" vertical="center"/>
    </xf>
    <xf numFmtId="0" fontId="3" fillId="5" borderId="3" xfId="0" applyFont="1" applyFill="1" applyBorder="1" applyAlignment="1">
      <alignment horizontal="left" vertical="center"/>
    </xf>
    <xf numFmtId="0" fontId="5" fillId="14" borderId="10" xfId="0" applyFont="1" applyFill="1" applyBorder="1" applyAlignment="1">
      <alignment horizontal="justify" vertical="center" wrapText="1"/>
    </xf>
    <xf numFmtId="0" fontId="5" fillId="14" borderId="10" xfId="0" applyFont="1" applyFill="1" applyBorder="1" applyAlignment="1">
      <alignment horizontal="center" vertical="center" wrapText="1"/>
    </xf>
    <xf numFmtId="0" fontId="3" fillId="0" borderId="7" xfId="0" applyFont="1" applyFill="1" applyBorder="1" applyAlignment="1">
      <alignment vertical="center"/>
    </xf>
    <xf numFmtId="0" fontId="5" fillId="0" borderId="11" xfId="0" applyFont="1" applyBorder="1" applyAlignment="1">
      <alignment horizontal="justify" vertical="center" wrapText="1"/>
    </xf>
    <xf numFmtId="170" fontId="4" fillId="41" borderId="3" xfId="2"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361">
    <cellStyle name="‡" xfId="24"/>
    <cellStyle name="20% - Accent1" xfId="25"/>
    <cellStyle name="20% - Accent1 2" xfId="26"/>
    <cellStyle name="20% - Accent2" xfId="27"/>
    <cellStyle name="20% - Accent2 2" xfId="28"/>
    <cellStyle name="20% - Accent3" xfId="29"/>
    <cellStyle name="20% - Accent3 2" xfId="30"/>
    <cellStyle name="20% - Accent4" xfId="31"/>
    <cellStyle name="20% - Accent4 2" xfId="32"/>
    <cellStyle name="20% - Accent5" xfId="33"/>
    <cellStyle name="20% - Accent5 2" xfId="34"/>
    <cellStyle name="20% - Accent6" xfId="35"/>
    <cellStyle name="20% - Accent6 2" xfId="36"/>
    <cellStyle name="20% - Énfasis1 2" xfId="37"/>
    <cellStyle name="20% - Énfasis1 3" xfId="38"/>
    <cellStyle name="20% - Énfasis2 2" xfId="39"/>
    <cellStyle name="20% - Énfasis2 3" xfId="40"/>
    <cellStyle name="20% - Énfasis3 2" xfId="41"/>
    <cellStyle name="20% - Énfasis3 3" xfId="42"/>
    <cellStyle name="20% - Énfasis4 2" xfId="43"/>
    <cellStyle name="20% - Énfasis4 3" xfId="44"/>
    <cellStyle name="20% - Énfasis5 2" xfId="45"/>
    <cellStyle name="20% - Énfasis5 3" xfId="46"/>
    <cellStyle name="20% - Énfasis6 2" xfId="47"/>
    <cellStyle name="20% - Énfasis6 3" xfId="48"/>
    <cellStyle name="40% - Accent1" xfId="49"/>
    <cellStyle name="40% - Accent1 2" xfId="50"/>
    <cellStyle name="40% - Accent2" xfId="51"/>
    <cellStyle name="40% - Accent2 2" xfId="52"/>
    <cellStyle name="40% - Accent3" xfId="53"/>
    <cellStyle name="40% - Accent3 2" xfId="54"/>
    <cellStyle name="40% - Accent4" xfId="55"/>
    <cellStyle name="40% - Accent4 2" xfId="56"/>
    <cellStyle name="40% - Accent5" xfId="57"/>
    <cellStyle name="40% - Accent5 2" xfId="58"/>
    <cellStyle name="40% - Accent6" xfId="59"/>
    <cellStyle name="40% - Accent6 2" xfId="60"/>
    <cellStyle name="40% - Énfasis1 2" xfId="61"/>
    <cellStyle name="40% - Énfasis1 3" xfId="62"/>
    <cellStyle name="40% - Énfasis2 2" xfId="63"/>
    <cellStyle name="40% - Énfasis2 3" xfId="64"/>
    <cellStyle name="40% - Énfasis3 2" xfId="65"/>
    <cellStyle name="40% - Énfasis3 3" xfId="66"/>
    <cellStyle name="40% - Énfasis4 2" xfId="67"/>
    <cellStyle name="40% - Énfasis4 3" xfId="68"/>
    <cellStyle name="40% - Énfasis5 2" xfId="69"/>
    <cellStyle name="40% - Énfasis5 3" xfId="70"/>
    <cellStyle name="40% - Énfasis6 2" xfId="71"/>
    <cellStyle name="40% - Énfasis6 3" xfId="72"/>
    <cellStyle name="60% - Accent1" xfId="73"/>
    <cellStyle name="60% - Accent2" xfId="74"/>
    <cellStyle name="60% - Accent3" xfId="75"/>
    <cellStyle name="60% - Accent4" xfId="76"/>
    <cellStyle name="60% - Accent5" xfId="77"/>
    <cellStyle name="60% - Accent6" xfId="78"/>
    <cellStyle name="60% - Énfasis1 2" xfId="79"/>
    <cellStyle name="60% - Énfasis1 3" xfId="80"/>
    <cellStyle name="60% - Énfasis2 2" xfId="81"/>
    <cellStyle name="60% - Énfasis2 3" xfId="82"/>
    <cellStyle name="60% - Énfasis3 2" xfId="83"/>
    <cellStyle name="60% - Énfasis3 3" xfId="84"/>
    <cellStyle name="60% - Énfasis4 2" xfId="85"/>
    <cellStyle name="60% - Énfasis4 3" xfId="86"/>
    <cellStyle name="60% - Énfasis5 2" xfId="87"/>
    <cellStyle name="60% - Énfasis5 3" xfId="88"/>
    <cellStyle name="60% - Énfasis6 2" xfId="89"/>
    <cellStyle name="60% - Énfasis6 3" xfId="90"/>
    <cellStyle name="Accent1" xfId="91"/>
    <cellStyle name="Accent2" xfId="92"/>
    <cellStyle name="Accent3" xfId="93"/>
    <cellStyle name="Accent4" xfId="94"/>
    <cellStyle name="Accent5" xfId="95"/>
    <cellStyle name="Accent6" xfId="96"/>
    <cellStyle name="Bad" xfId="97"/>
    <cellStyle name="Buena 2" xfId="98"/>
    <cellStyle name="Buena 3" xfId="99"/>
    <cellStyle name="Calculation" xfId="100"/>
    <cellStyle name="Calculation 10" xfId="486"/>
    <cellStyle name="Calculation 10 2" xfId="1066"/>
    <cellStyle name="Calculation 11" xfId="604"/>
    <cellStyle name="Calculation 11 2" xfId="1166"/>
    <cellStyle name="Calculation 12" xfId="616"/>
    <cellStyle name="Calculation 12 2" xfId="1177"/>
    <cellStyle name="Calculation 13" xfId="548"/>
    <cellStyle name="Calculation 13 2" xfId="1121"/>
    <cellStyle name="Calculation 14" xfId="648"/>
    <cellStyle name="Calculation 14 2" xfId="1205"/>
    <cellStyle name="Calculation 15" xfId="659"/>
    <cellStyle name="Calculation 15 2" xfId="1214"/>
    <cellStyle name="Calculation 16" xfId="670"/>
    <cellStyle name="Calculation 16 2" xfId="1222"/>
    <cellStyle name="Calculation 17" xfId="681"/>
    <cellStyle name="Calculation 17 2" xfId="1231"/>
    <cellStyle name="Calculation 18" xfId="617"/>
    <cellStyle name="Calculation 18 2" xfId="1178"/>
    <cellStyle name="Calculation 19" xfId="710"/>
    <cellStyle name="Calculation 19 2" xfId="1255"/>
    <cellStyle name="Calculation 2" xfId="345"/>
    <cellStyle name="Calculation 2 2" xfId="935"/>
    <cellStyle name="Calculation 20" xfId="720"/>
    <cellStyle name="Calculation 20 2" xfId="1264"/>
    <cellStyle name="Calculation 21" xfId="730"/>
    <cellStyle name="Calculation 21 2" xfId="1272"/>
    <cellStyle name="Calculation 22" xfId="695"/>
    <cellStyle name="Calculation 22 2" xfId="1242"/>
    <cellStyle name="Calculation 23" xfId="754"/>
    <cellStyle name="Calculation 23 2" xfId="1291"/>
    <cellStyle name="Calculation 24" xfId="711"/>
    <cellStyle name="Calculation 24 2" xfId="1256"/>
    <cellStyle name="Calculation 25" xfId="782"/>
    <cellStyle name="Calculation 25 2" xfId="1315"/>
    <cellStyle name="Calculation 26" xfId="791"/>
    <cellStyle name="Calculation 26 2" xfId="1322"/>
    <cellStyle name="Calculation 27" xfId="800"/>
    <cellStyle name="Calculation 27 2" xfId="1327"/>
    <cellStyle name="Calculation 28" xfId="807"/>
    <cellStyle name="Calculation 28 2" xfId="1332"/>
    <cellStyle name="Calculation 29" xfId="814"/>
    <cellStyle name="Calculation 29 2" xfId="1337"/>
    <cellStyle name="Calculation 3" xfId="483"/>
    <cellStyle name="Calculation 3 2" xfId="1063"/>
    <cellStyle name="Calculation 30" xfId="820"/>
    <cellStyle name="Calculation 30 2" xfId="1342"/>
    <cellStyle name="Calculation 31" xfId="826"/>
    <cellStyle name="Calculation 31 2" xfId="1346"/>
    <cellStyle name="Calculation 32" xfId="831"/>
    <cellStyle name="Calculation 32 2" xfId="1350"/>
    <cellStyle name="Calculation 33" xfId="836"/>
    <cellStyle name="Calculation 33 2" xfId="1353"/>
    <cellStyle name="Calculation 34" xfId="840"/>
    <cellStyle name="Calculation 34 2" xfId="1355"/>
    <cellStyle name="Calculation 35" xfId="843"/>
    <cellStyle name="Calculation 35 2" xfId="1357"/>
    <cellStyle name="Calculation 36" xfId="846"/>
    <cellStyle name="Calculation 36 2" xfId="1358"/>
    <cellStyle name="Calculation 37" xfId="860"/>
    <cellStyle name="Calculation 38" xfId="848"/>
    <cellStyle name="Calculation 4" xfId="499"/>
    <cellStyle name="Calculation 4 2" xfId="1078"/>
    <cellStyle name="Calculation 5" xfId="512"/>
    <cellStyle name="Calculation 5 2" xfId="1089"/>
    <cellStyle name="Calculation 6" xfId="428"/>
    <cellStyle name="Calculation 6 2" xfId="1012"/>
    <cellStyle name="Calculation 7" xfId="405"/>
    <cellStyle name="Calculation 7 2" xfId="990"/>
    <cellStyle name="Calculation 8" xfId="314"/>
    <cellStyle name="Calculation 8 2" xfId="906"/>
    <cellStyle name="Calculation 9" xfId="575"/>
    <cellStyle name="Calculation 9 2" xfId="1143"/>
    <cellStyle name="Cálculo 2" xfId="101"/>
    <cellStyle name="Cálculo 2 10" xfId="288"/>
    <cellStyle name="Cálculo 2 10 2" xfId="881"/>
    <cellStyle name="Cálculo 2 11" xfId="393"/>
    <cellStyle name="Cálculo 2 11 2" xfId="979"/>
    <cellStyle name="Cálculo 2 12" xfId="380"/>
    <cellStyle name="Cálculo 2 12 2" xfId="968"/>
    <cellStyle name="Cálculo 2 13" xfId="367"/>
    <cellStyle name="Cálculo 2 13 2" xfId="956"/>
    <cellStyle name="Cálculo 2 14" xfId="456"/>
    <cellStyle name="Cálculo 2 14 2" xfId="1036"/>
    <cellStyle name="Cálculo 2 15" xfId="414"/>
    <cellStyle name="Cálculo 2 15 2" xfId="999"/>
    <cellStyle name="Cálculo 2 16" xfId="627"/>
    <cellStyle name="Cálculo 2 16 2" xfId="1185"/>
    <cellStyle name="Cálculo 2 17" xfId="530"/>
    <cellStyle name="Cálculo 2 17 2" xfId="1105"/>
    <cellStyle name="Cálculo 2 18" xfId="633"/>
    <cellStyle name="Cálculo 2 18 2" xfId="1191"/>
    <cellStyle name="Cálculo 2 19" xfId="494"/>
    <cellStyle name="Cálculo 2 19 2" xfId="1073"/>
    <cellStyle name="Cálculo 2 2" xfId="346"/>
    <cellStyle name="Cálculo 2 2 2" xfId="936"/>
    <cellStyle name="Cálculo 2 20" xfId="310"/>
    <cellStyle name="Cálculo 2 20 2" xfId="903"/>
    <cellStyle name="Cálculo 2 21" xfId="690"/>
    <cellStyle name="Cálculo 2 21 2" xfId="1237"/>
    <cellStyle name="Cálculo 2 22" xfId="22"/>
    <cellStyle name="Cálculo 2 22 2" xfId="858"/>
    <cellStyle name="Cálculo 2 23" xfId="620"/>
    <cellStyle name="Cálculo 2 23 2" xfId="1181"/>
    <cellStyle name="Cálculo 2 24" xfId="552"/>
    <cellStyle name="Cálculo 2 24 2" xfId="1125"/>
    <cellStyle name="Cálculo 2 25" xfId="677"/>
    <cellStyle name="Cálculo 2 25 2" xfId="1228"/>
    <cellStyle name="Cálculo 2 26" xfId="460"/>
    <cellStyle name="Cálculo 2 26 2" xfId="1040"/>
    <cellStyle name="Cálculo 2 27" xfId="420"/>
    <cellStyle name="Cálculo 2 27 2" xfId="1005"/>
    <cellStyle name="Cálculo 2 28" xfId="708"/>
    <cellStyle name="Cálculo 2 28 2" xfId="1253"/>
    <cellStyle name="Cálculo 2 29" xfId="376"/>
    <cellStyle name="Cálculo 2 29 2" xfId="964"/>
    <cellStyle name="Cálculo 2 3" xfId="412"/>
    <cellStyle name="Cálculo 2 3 2" xfId="997"/>
    <cellStyle name="Cálculo 2 30" xfId="700"/>
    <cellStyle name="Cálculo 2 30 2" xfId="1245"/>
    <cellStyle name="Cálculo 2 31" xfId="701"/>
    <cellStyle name="Cálculo 2 31 2" xfId="1246"/>
    <cellStyle name="Cálculo 2 32" xfId="783"/>
    <cellStyle name="Cálculo 2 32 2" xfId="1316"/>
    <cellStyle name="Cálculo 2 33" xfId="792"/>
    <cellStyle name="Cálculo 2 33 2" xfId="1323"/>
    <cellStyle name="Cálculo 2 34" xfId="801"/>
    <cellStyle name="Cálculo 2 34 2" xfId="1328"/>
    <cellStyle name="Cálculo 2 35" xfId="808"/>
    <cellStyle name="Cálculo 2 35 2" xfId="1333"/>
    <cellStyle name="Cálculo 2 36" xfId="815"/>
    <cellStyle name="Cálculo 2 36 2" xfId="1338"/>
    <cellStyle name="Cálculo 2 37" xfId="861"/>
    <cellStyle name="Cálculo 2 38" xfId="821"/>
    <cellStyle name="Cálculo 2 4" xfId="355"/>
    <cellStyle name="Cálculo 2 4 2" xfId="944"/>
    <cellStyle name="Cálculo 2 5" xfId="286"/>
    <cellStyle name="Cálculo 2 5 2" xfId="880"/>
    <cellStyle name="Cálculo 2 6" xfId="369"/>
    <cellStyle name="Cálculo 2 6 2" xfId="958"/>
    <cellStyle name="Cálculo 2 7" xfId="520"/>
    <cellStyle name="Cálculo 2 7 2" xfId="1095"/>
    <cellStyle name="Cálculo 2 8" xfId="472"/>
    <cellStyle name="Cálculo 2 8 2" xfId="1052"/>
    <cellStyle name="Cálculo 2 9" xfId="503"/>
    <cellStyle name="Cálculo 2 9 2" xfId="1081"/>
    <cellStyle name="Cálculo 3" xfId="102"/>
    <cellStyle name="Cálculo 3 10" xfId="461"/>
    <cellStyle name="Cálculo 3 10 2" xfId="1041"/>
    <cellStyle name="Cálculo 3 11" xfId="392"/>
    <cellStyle name="Cálculo 3 11 2" xfId="978"/>
    <cellStyle name="Cálculo 3 12" xfId="565"/>
    <cellStyle name="Cálculo 3 12 2" xfId="1134"/>
    <cellStyle name="Cálculo 3 13" xfId="511"/>
    <cellStyle name="Cálculo 3 13 2" xfId="1088"/>
    <cellStyle name="Cálculo 3 14" xfId="324"/>
    <cellStyle name="Cálculo 3 14 2" xfId="914"/>
    <cellStyle name="Cálculo 3 15" xfId="434"/>
    <cellStyle name="Cálculo 3 15 2" xfId="1017"/>
    <cellStyle name="Cálculo 3 16" xfId="555"/>
    <cellStyle name="Cálculo 3 16 2" xfId="1126"/>
    <cellStyle name="Cálculo 3 17" xfId="536"/>
    <cellStyle name="Cálculo 3 17 2" xfId="1110"/>
    <cellStyle name="Cálculo 3 18" xfId="301"/>
    <cellStyle name="Cálculo 3 18 2" xfId="894"/>
    <cellStyle name="Cálculo 3 19" xfId="477"/>
    <cellStyle name="Cálculo 3 19 2" xfId="1057"/>
    <cellStyle name="Cálculo 3 2" xfId="347"/>
    <cellStyle name="Cálculo 3 2 2" xfId="937"/>
    <cellStyle name="Cálculo 3 20" xfId="557"/>
    <cellStyle name="Cálculo 3 20 2" xfId="1128"/>
    <cellStyle name="Cálculo 3 21" xfId="619"/>
    <cellStyle name="Cálculo 3 21 2" xfId="1180"/>
    <cellStyle name="Cálculo 3 22" xfId="518"/>
    <cellStyle name="Cálculo 3 22 2" xfId="1094"/>
    <cellStyle name="Cálculo 3 23" xfId="600"/>
    <cellStyle name="Cálculo 3 23 2" xfId="1162"/>
    <cellStyle name="Cálculo 3 24" xfId="507"/>
    <cellStyle name="Cálculo 3 24 2" xfId="1084"/>
    <cellStyle name="Cálculo 3 25" xfId="717"/>
    <cellStyle name="Cálculo 3 25 2" xfId="1261"/>
    <cellStyle name="Cálculo 3 26" xfId="666"/>
    <cellStyle name="Cálculo 3 26 2" xfId="1218"/>
    <cellStyle name="Cálculo 3 27" xfId="675"/>
    <cellStyle name="Cálculo 3 27 2" xfId="1227"/>
    <cellStyle name="Cálculo 3 28" xfId="757"/>
    <cellStyle name="Cálculo 3 28 2" xfId="1294"/>
    <cellStyle name="Cálculo 3 29" xfId="682"/>
    <cellStyle name="Cálculo 3 29 2" xfId="1232"/>
    <cellStyle name="Cálculo 3 3" xfId="411"/>
    <cellStyle name="Cálculo 3 3 2" xfId="996"/>
    <cellStyle name="Cálculo 3 30" xfId="759"/>
    <cellStyle name="Cálculo 3 30 2" xfId="1295"/>
    <cellStyle name="Cálculo 3 31" xfId="767"/>
    <cellStyle name="Cálculo 3 31 2" xfId="1302"/>
    <cellStyle name="Cálculo 3 32" xfId="728"/>
    <cellStyle name="Cálculo 3 32 2" xfId="1270"/>
    <cellStyle name="Cálculo 3 33" xfId="702"/>
    <cellStyle name="Cálculo 3 33 2" xfId="1247"/>
    <cellStyle name="Cálculo 3 34" xfId="752"/>
    <cellStyle name="Cálculo 3 34 2" xfId="1289"/>
    <cellStyle name="Cálculo 3 35" xfId="770"/>
    <cellStyle name="Cálculo 3 35 2" xfId="1305"/>
    <cellStyle name="Cálculo 3 36" xfId="495"/>
    <cellStyle name="Cálculo 3 36 2" xfId="1074"/>
    <cellStyle name="Cálculo 3 37" xfId="862"/>
    <cellStyle name="Cálculo 3 38" xfId="745"/>
    <cellStyle name="Cálculo 3 4" xfId="356"/>
    <cellStyle name="Cálculo 3 4 2" xfId="945"/>
    <cellStyle name="Cálculo 3 5" xfId="404"/>
    <cellStyle name="Cálculo 3 5 2" xfId="989"/>
    <cellStyle name="Cálculo 3 6" xfId="21"/>
    <cellStyle name="Cálculo 3 6 2" xfId="857"/>
    <cellStyle name="Cálculo 3 7" xfId="403"/>
    <cellStyle name="Cálculo 3 7 2" xfId="988"/>
    <cellStyle name="Cálculo 3 8" xfId="478"/>
    <cellStyle name="Cálculo 3 8 2" xfId="1058"/>
    <cellStyle name="Cálculo 3 9" xfId="399"/>
    <cellStyle name="Cálculo 3 9 2" xfId="984"/>
    <cellStyle name="Celda de comprobación 2" xfId="103"/>
    <cellStyle name="Celda de comprobación 3" xfId="104"/>
    <cellStyle name="Celda vinculada 2" xfId="105"/>
    <cellStyle name="Celda vinculada 3" xfId="106"/>
    <cellStyle name="Check Cell" xfId="107"/>
    <cellStyle name="Encabezado 4 2" xfId="108"/>
    <cellStyle name="Encabezado 4 3" xfId="109"/>
    <cellStyle name="Énfasis1 2" xfId="110"/>
    <cellStyle name="Énfasis1 3" xfId="111"/>
    <cellStyle name="Énfasis2 2" xfId="112"/>
    <cellStyle name="Énfasis2 3" xfId="113"/>
    <cellStyle name="Énfasis3 2" xfId="114"/>
    <cellStyle name="Énfasis3 3" xfId="115"/>
    <cellStyle name="Énfasis4 2" xfId="116"/>
    <cellStyle name="Énfasis4 3" xfId="117"/>
    <cellStyle name="Énfasis5 2" xfId="118"/>
    <cellStyle name="Énfasis5 3" xfId="119"/>
    <cellStyle name="Énfasis6 2" xfId="120"/>
    <cellStyle name="Énfasis6 3" xfId="121"/>
    <cellStyle name="Entrada 2" xfId="122"/>
    <cellStyle name="Entrada 2 10" xfId="523"/>
    <cellStyle name="Entrada 2 10 2" xfId="1098"/>
    <cellStyle name="Entrada 2 11" xfId="438"/>
    <cellStyle name="Entrada 2 11 2" xfId="1021"/>
    <cellStyle name="Entrada 2 12" xfId="570"/>
    <cellStyle name="Entrada 2 12 2" xfId="1138"/>
    <cellStyle name="Entrada 2 13" xfId="533"/>
    <cellStyle name="Entrada 2 13 2" xfId="1107"/>
    <cellStyle name="Entrada 2 14" xfId="579"/>
    <cellStyle name="Entrada 2 14 2" xfId="1145"/>
    <cellStyle name="Entrada 2 15" xfId="567"/>
    <cellStyle name="Entrada 2 15 2" xfId="1136"/>
    <cellStyle name="Entrada 2 16" xfId="497"/>
    <cellStyle name="Entrada 2 16 2" xfId="1076"/>
    <cellStyle name="Entrada 2 17" xfId="641"/>
    <cellStyle name="Entrada 2 17 2" xfId="1198"/>
    <cellStyle name="Entrada 2 18" xfId="306"/>
    <cellStyle name="Entrada 2 18 2" xfId="899"/>
    <cellStyle name="Entrada 2 19" xfId="586"/>
    <cellStyle name="Entrada 2 19 2" xfId="1149"/>
    <cellStyle name="Entrada 2 2" xfId="361"/>
    <cellStyle name="Entrada 2 2 2" xfId="950"/>
    <cellStyle name="Entrada 2 20" xfId="654"/>
    <cellStyle name="Entrada 2 20 2" xfId="1210"/>
    <cellStyle name="Entrada 2 21" xfId="378"/>
    <cellStyle name="Entrada 2 21 2" xfId="966"/>
    <cellStyle name="Entrada 2 22" xfId="740"/>
    <cellStyle name="Entrada 2 22 2" xfId="1281"/>
    <cellStyle name="Entrada 2 23" xfId="729"/>
    <cellStyle name="Entrada 2 23 2" xfId="1271"/>
    <cellStyle name="Entrada 2 24" xfId="337"/>
    <cellStyle name="Entrada 2 24 2" xfId="927"/>
    <cellStyle name="Entrada 2 25" xfId="638"/>
    <cellStyle name="Entrada 2 25 2" xfId="1196"/>
    <cellStyle name="Entrada 2 26" xfId="713"/>
    <cellStyle name="Entrada 2 26 2" xfId="1258"/>
    <cellStyle name="Entrada 2 27" xfId="334"/>
    <cellStyle name="Entrada 2 27 2" xfId="924"/>
    <cellStyle name="Entrada 2 28" xfId="776"/>
    <cellStyle name="Entrada 2 28 2" xfId="1310"/>
    <cellStyle name="Entrada 2 29" xfId="724"/>
    <cellStyle name="Entrada 2 29 2" xfId="1268"/>
    <cellStyle name="Entrada 2 3" xfId="395"/>
    <cellStyle name="Entrada 2 3 2" xfId="981"/>
    <cellStyle name="Entrada 2 30" xfId="747"/>
    <cellStyle name="Entrada 2 30 2" xfId="1285"/>
    <cellStyle name="Entrada 2 31" xfId="715"/>
    <cellStyle name="Entrada 2 31 2" xfId="1259"/>
    <cellStyle name="Entrada 2 32" xfId="390"/>
    <cellStyle name="Entrada 2 32 2" xfId="977"/>
    <cellStyle name="Entrada 2 33" xfId="537"/>
    <cellStyle name="Entrada 2 33 2" xfId="1111"/>
    <cellStyle name="Entrada 2 34" xfId="416"/>
    <cellStyle name="Entrada 2 34 2" xfId="1001"/>
    <cellStyle name="Entrada 2 35" xfId="734"/>
    <cellStyle name="Entrada 2 35 2" xfId="1276"/>
    <cellStyle name="Entrada 2 36" xfId="474"/>
    <cellStyle name="Entrada 2 36 2" xfId="1054"/>
    <cellStyle name="Entrada 2 37" xfId="863"/>
    <cellStyle name="Entrada 2 38" xfId="578"/>
    <cellStyle name="Entrada 2 4" xfId="467"/>
    <cellStyle name="Entrada 2 4 2" xfId="1047"/>
    <cellStyle name="Entrada 2 5" xfId="304"/>
    <cellStyle name="Entrada 2 5 2" xfId="897"/>
    <cellStyle name="Entrada 2 6" xfId="292"/>
    <cellStyle name="Entrada 2 6 2" xfId="885"/>
    <cellStyle name="Entrada 2 7" xfId="388"/>
    <cellStyle name="Entrada 2 7 2" xfId="975"/>
    <cellStyle name="Entrada 2 8" xfId="312"/>
    <cellStyle name="Entrada 2 8 2" xfId="904"/>
    <cellStyle name="Entrada 2 9" xfId="513"/>
    <cellStyle name="Entrada 2 9 2" xfId="1090"/>
    <cellStyle name="Entrada 3" xfId="123"/>
    <cellStyle name="Entrada 3 10" xfId="588"/>
    <cellStyle name="Entrada 3 10 2" xfId="1151"/>
    <cellStyle name="Entrada 3 11" xfId="23"/>
    <cellStyle name="Entrada 3 11 2" xfId="859"/>
    <cellStyle name="Entrada 3 12" xfId="550"/>
    <cellStyle name="Entrada 3 12 2" xfId="1123"/>
    <cellStyle name="Entrada 3 13" xfId="630"/>
    <cellStyle name="Entrada 3 13 2" xfId="1188"/>
    <cellStyle name="Entrada 3 14" xfId="471"/>
    <cellStyle name="Entrada 3 14 2" xfId="1051"/>
    <cellStyle name="Entrada 3 15" xfId="305"/>
    <cellStyle name="Entrada 3 15 2" xfId="898"/>
    <cellStyle name="Entrada 3 16" xfId="353"/>
    <cellStyle name="Entrada 3 16 2" xfId="942"/>
    <cellStyle name="Entrada 3 17" xfId="613"/>
    <cellStyle name="Entrada 3 17 2" xfId="1174"/>
    <cellStyle name="Entrada 3 18" xfId="693"/>
    <cellStyle name="Entrada 3 18 2" xfId="1240"/>
    <cellStyle name="Entrada 3 19" xfId="396"/>
    <cellStyle name="Entrada 3 19 2" xfId="982"/>
    <cellStyle name="Entrada 3 2" xfId="362"/>
    <cellStyle name="Entrada 3 2 2" xfId="951"/>
    <cellStyle name="Entrada 3 20" xfId="662"/>
    <cellStyle name="Entrada 3 20 2" xfId="1217"/>
    <cellStyle name="Entrada 3 21" xfId="608"/>
    <cellStyle name="Entrada 3 21 2" xfId="1170"/>
    <cellStyle name="Entrada 3 22" xfId="629"/>
    <cellStyle name="Entrada 3 22 2" xfId="1187"/>
    <cellStyle name="Entrada 3 23" xfId="357"/>
    <cellStyle name="Entrada 3 23 2" xfId="946"/>
    <cellStyle name="Entrada 3 24" xfId="697"/>
    <cellStyle name="Entrada 3 24 2" xfId="1243"/>
    <cellStyle name="Entrada 3 25" xfId="524"/>
    <cellStyle name="Entrada 3 25 2" xfId="1099"/>
    <cellStyle name="Entrada 3 26" xfId="763"/>
    <cellStyle name="Entrada 3 26 2" xfId="1299"/>
    <cellStyle name="Entrada 3 27" xfId="481"/>
    <cellStyle name="Entrada 3 27 2" xfId="1061"/>
    <cellStyle name="Entrada 3 28" xfId="348"/>
    <cellStyle name="Entrada 3 28 2" xfId="938"/>
    <cellStyle name="Entrada 3 29" xfId="731"/>
    <cellStyle name="Entrada 3 29 2" xfId="1273"/>
    <cellStyle name="Entrada 3 3" xfId="394"/>
    <cellStyle name="Entrada 3 3 2" xfId="980"/>
    <cellStyle name="Entrada 3 30" xfId="560"/>
    <cellStyle name="Entrada 3 30 2" xfId="1130"/>
    <cellStyle name="Entrada 3 31" xfId="529"/>
    <cellStyle name="Entrada 3 31 2" xfId="1104"/>
    <cellStyle name="Entrada 3 32" xfId="631"/>
    <cellStyle name="Entrada 3 32 2" xfId="1189"/>
    <cellStyle name="Entrada 3 33" xfId="726"/>
    <cellStyle name="Entrada 3 33 2" xfId="1269"/>
    <cellStyle name="Entrada 3 34" xfId="721"/>
    <cellStyle name="Entrada 3 34 2" xfId="1265"/>
    <cellStyle name="Entrada 3 35" xfId="768"/>
    <cellStyle name="Entrada 3 35 2" xfId="1303"/>
    <cellStyle name="Entrada 3 36" xfId="291"/>
    <cellStyle name="Entrada 3 36 2" xfId="884"/>
    <cellStyle name="Entrada 3 37" xfId="864"/>
    <cellStyle name="Entrada 3 38" xfId="727"/>
    <cellStyle name="Entrada 3 4" xfId="370"/>
    <cellStyle name="Entrada 3 4 2" xfId="959"/>
    <cellStyle name="Entrada 3 5" xfId="389"/>
    <cellStyle name="Entrada 3 5 2" xfId="976"/>
    <cellStyle name="Entrada 3 6" xfId="487"/>
    <cellStyle name="Entrada 3 6 2" xfId="1067"/>
    <cellStyle name="Entrada 3 7" xfId="546"/>
    <cellStyle name="Entrada 3 7 2" xfId="1119"/>
    <cellStyle name="Entrada 3 8" xfId="563"/>
    <cellStyle name="Entrada 3 8 2" xfId="1132"/>
    <cellStyle name="Entrada 3 9" xfId="488"/>
    <cellStyle name="Entrada 3 9 2" xfId="1068"/>
    <cellStyle name="Estilo 1" xfId="124"/>
    <cellStyle name="Estilo 1 2" xfId="125"/>
    <cellStyle name="Euro" xfId="126"/>
    <cellStyle name="Euro 2" xfId="127"/>
    <cellStyle name="Euro 2 2" xfId="128"/>
    <cellStyle name="Euro 2 3" xfId="129"/>
    <cellStyle name="Euro 3" xfId="130"/>
    <cellStyle name="Excel Built-in Normal" xfId="14"/>
    <cellStyle name="Excel Built-in Normal 2" xfId="245"/>
    <cellStyle name="Explanatory Text" xfId="131"/>
    <cellStyle name="Good" xfId="132"/>
    <cellStyle name="Heading 1" xfId="133"/>
    <cellStyle name="Heading 2" xfId="134"/>
    <cellStyle name="Heading 3" xfId="135"/>
    <cellStyle name="Heading 4" xfId="136"/>
    <cellStyle name="Incorrecto 2" xfId="137"/>
    <cellStyle name="Incorrecto 3" xfId="138"/>
    <cellStyle name="Input" xfId="139"/>
    <cellStyle name="Input 10" xfId="502"/>
    <cellStyle name="Input 10 2" xfId="1080"/>
    <cellStyle name="Input 11" xfId="415"/>
    <cellStyle name="Input 11 2" xfId="1000"/>
    <cellStyle name="Input 12" xfId="602"/>
    <cellStyle name="Input 12 2" xfId="1164"/>
    <cellStyle name="Input 13" xfId="592"/>
    <cellStyle name="Input 13 2" xfId="1155"/>
    <cellStyle name="Input 14" xfId="450"/>
    <cellStyle name="Input 14 2" xfId="1031"/>
    <cellStyle name="Input 15" xfId="646"/>
    <cellStyle name="Input 15 2" xfId="1203"/>
    <cellStyle name="Input 16" xfId="657"/>
    <cellStyle name="Input 16 2" xfId="1212"/>
    <cellStyle name="Input 17" xfId="667"/>
    <cellStyle name="Input 17 2" xfId="1219"/>
    <cellStyle name="Input 18" xfId="635"/>
    <cellStyle name="Input 18 2" xfId="1193"/>
    <cellStyle name="Input 19" xfId="637"/>
    <cellStyle name="Input 19 2" xfId="1195"/>
    <cellStyle name="Input 2" xfId="377"/>
    <cellStyle name="Input 2 2" xfId="965"/>
    <cellStyle name="Input 20" xfId="707"/>
    <cellStyle name="Input 20 2" xfId="1252"/>
    <cellStyle name="Input 21" xfId="719"/>
    <cellStyle name="Input 21 2" xfId="1263"/>
    <cellStyle name="Input 22" xfId="692"/>
    <cellStyle name="Input 22 2" xfId="1239"/>
    <cellStyle name="Input 23" xfId="722"/>
    <cellStyle name="Input 23 2" xfId="1266"/>
    <cellStyle name="Input 24" xfId="672"/>
    <cellStyle name="Input 24 2" xfId="1224"/>
    <cellStyle name="Input 25" xfId="387"/>
    <cellStyle name="Input 25 2" xfId="974"/>
    <cellStyle name="Input 26" xfId="780"/>
    <cellStyle name="Input 26 2" xfId="1313"/>
    <cellStyle name="Input 27" xfId="789"/>
    <cellStyle name="Input 27 2" xfId="1320"/>
    <cellStyle name="Input 28" xfId="798"/>
    <cellStyle name="Input 28 2" xfId="1325"/>
    <cellStyle name="Input 29" xfId="805"/>
    <cellStyle name="Input 29 2" xfId="1330"/>
    <cellStyle name="Input 3" xfId="384"/>
    <cellStyle name="Input 3 2" xfId="971"/>
    <cellStyle name="Input 30" xfId="812"/>
    <cellStyle name="Input 30 2" xfId="1335"/>
    <cellStyle name="Input 31" xfId="818"/>
    <cellStyle name="Input 31 2" xfId="1340"/>
    <cellStyle name="Input 32" xfId="824"/>
    <cellStyle name="Input 32 2" xfId="1344"/>
    <cellStyle name="Input 33" xfId="829"/>
    <cellStyle name="Input 33 2" xfId="1348"/>
    <cellStyle name="Input 34" xfId="834"/>
    <cellStyle name="Input 34 2" xfId="1351"/>
    <cellStyle name="Input 35" xfId="838"/>
    <cellStyle name="Input 35 2" xfId="1354"/>
    <cellStyle name="Input 36" xfId="842"/>
    <cellStyle name="Input 36 2" xfId="1356"/>
    <cellStyle name="Input 37" xfId="865"/>
    <cellStyle name="Input 38" xfId="845"/>
    <cellStyle name="Input 4" xfId="482"/>
    <cellStyle name="Input 4 2" xfId="1062"/>
    <cellStyle name="Input 5" xfId="496"/>
    <cellStyle name="Input 5 2" xfId="1075"/>
    <cellStyle name="Input 6" xfId="527"/>
    <cellStyle name="Input 6 2" xfId="1102"/>
    <cellStyle name="Input 7" xfId="385"/>
    <cellStyle name="Input 7 2" xfId="972"/>
    <cellStyle name="Input 8" xfId="551"/>
    <cellStyle name="Input 8 2" xfId="1124"/>
    <cellStyle name="Input 9" xfId="479"/>
    <cellStyle name="Input 9 2" xfId="1059"/>
    <cellStyle name="Linked Cell" xfId="140"/>
    <cellStyle name="Millares" xfId="1" builtinId="3"/>
    <cellStyle name="Millares [0] 2" xfId="13"/>
    <cellStyle name="Millares [0] 2 2" xfId="275"/>
    <cellStyle name="Millares [0] 3" xfId="276"/>
    <cellStyle name="Millares [0] 4" xfId="269"/>
    <cellStyle name="Millares 10" xfId="141"/>
    <cellStyle name="Millares 11" xfId="142"/>
    <cellStyle name="Millares 12" xfId="143"/>
    <cellStyle name="Millares 13" xfId="287"/>
    <cellStyle name="Millares 14" xfId="453"/>
    <cellStyle name="Millares 15" xfId="318"/>
    <cellStyle name="Millares 16" xfId="144"/>
    <cellStyle name="Millares 17" xfId="145"/>
    <cellStyle name="Millares 18" xfId="146"/>
    <cellStyle name="Millares 19" xfId="147"/>
    <cellStyle name="Millares 2" xfId="2"/>
    <cellStyle name="Millares 2 10" xfId="148"/>
    <cellStyle name="Millares 2 11" xfId="149"/>
    <cellStyle name="Millares 2 12" xfId="150"/>
    <cellStyle name="Millares 2 13" xfId="151"/>
    <cellStyle name="Millares 2 2" xfId="152"/>
    <cellStyle name="Millares 2 2 2" xfId="153"/>
    <cellStyle name="Millares 2 2 3" xfId="246"/>
    <cellStyle name="Millares 2 3" xfId="154"/>
    <cellStyle name="Millares 2 3 2" xfId="155"/>
    <cellStyle name="Millares 2 3 3" xfId="247"/>
    <cellStyle name="Millares 2 4" xfId="156"/>
    <cellStyle name="Millares 2 4 2" xfId="273"/>
    <cellStyle name="Millares 2 5" xfId="157"/>
    <cellStyle name="Millares 2 5 2" xfId="271"/>
    <cellStyle name="Millares 2 6" xfId="158"/>
    <cellStyle name="Millares 2 7" xfId="159"/>
    <cellStyle name="Millares 2 8" xfId="160"/>
    <cellStyle name="Millares 2 9" xfId="161"/>
    <cellStyle name="Millares 20" xfId="162"/>
    <cellStyle name="Millares 21" xfId="163"/>
    <cellStyle name="Millares 22" xfId="164"/>
    <cellStyle name="Millares 23" xfId="165"/>
    <cellStyle name="Millares 24" xfId="166"/>
    <cellStyle name="Millares 25" xfId="167"/>
    <cellStyle name="Millares 26" xfId="168"/>
    <cellStyle name="Millares 27" xfId="169"/>
    <cellStyle name="Millares 28" xfId="170"/>
    <cellStyle name="Millares 29" xfId="171"/>
    <cellStyle name="Millares 3" xfId="8"/>
    <cellStyle name="Millares 3 2" xfId="172"/>
    <cellStyle name="Millares 3 3" xfId="173"/>
    <cellStyle name="Millares 3 4" xfId="174"/>
    <cellStyle name="Millares 3 5" xfId="175"/>
    <cellStyle name="Millares 3 6" xfId="20"/>
    <cellStyle name="Millares 3 7" xfId="1359"/>
    <cellStyle name="Millares 3 7 2" xfId="1360"/>
    <cellStyle name="Millares 30" xfId="176"/>
    <cellStyle name="Millares 31" xfId="177"/>
    <cellStyle name="Millares 32" xfId="427"/>
    <cellStyle name="Millares 33" xfId="433"/>
    <cellStyle name="Millares 34" xfId="541"/>
    <cellStyle name="Millares 35" xfId="559"/>
    <cellStyle name="Millares 36" xfId="440"/>
    <cellStyle name="Millares 37" xfId="583"/>
    <cellStyle name="Millares 38" xfId="553"/>
    <cellStyle name="Millares 39" xfId="562"/>
    <cellStyle name="Millares 4" xfId="7"/>
    <cellStyle name="Millares 4 2" xfId="178"/>
    <cellStyle name="Millares 4 3" xfId="179"/>
    <cellStyle name="Millares 4 4" xfId="180"/>
    <cellStyle name="Millares 4 5" xfId="272"/>
    <cellStyle name="Millares 4 6" xfId="15"/>
    <cellStyle name="Millares 4 7" xfId="852"/>
    <cellStyle name="Millares 40" xfId="626"/>
    <cellStyle name="Millares 41" xfId="375"/>
    <cellStyle name="Millares 42" xfId="398"/>
    <cellStyle name="Millares 43" xfId="622"/>
    <cellStyle name="Millares 44" xfId="391"/>
    <cellStyle name="Millares 45" xfId="689"/>
    <cellStyle name="Millares 46" xfId="664"/>
    <cellStyle name="Millares 47" xfId="382"/>
    <cellStyle name="Millares 48" xfId="685"/>
    <cellStyle name="Millares 49" xfId="311"/>
    <cellStyle name="Millares 5" xfId="181"/>
    <cellStyle name="Millares 5 2" xfId="182"/>
    <cellStyle name="Millares 5 3" xfId="183"/>
    <cellStyle name="Millares 5 4" xfId="270"/>
    <cellStyle name="Millares 50" xfId="441"/>
    <cellStyle name="Millares 51" xfId="501"/>
    <cellStyle name="Millares 52" xfId="746"/>
    <cellStyle name="Millares 53" xfId="655"/>
    <cellStyle name="Millares 54" xfId="696"/>
    <cellStyle name="Millares 55" xfId="679"/>
    <cellStyle name="Millares 56" xfId="751"/>
    <cellStyle name="Millares 57" xfId="514"/>
    <cellStyle name="Millares 58" xfId="775"/>
    <cellStyle name="Millares 59" xfId="576"/>
    <cellStyle name="Millares 6" xfId="6"/>
    <cellStyle name="Millares 6 2" xfId="184"/>
    <cellStyle name="Millares 60" xfId="777"/>
    <cellStyle name="Millares 61" xfId="786"/>
    <cellStyle name="Millares 62" xfId="795"/>
    <cellStyle name="Millares 63" xfId="803"/>
    <cellStyle name="Millares 64" xfId="851"/>
    <cellStyle name="Millares 65" xfId="810"/>
    <cellStyle name="Millares 7" xfId="185"/>
    <cellStyle name="Millares 8" xfId="186"/>
    <cellStyle name="Millares 9" xfId="187"/>
    <cellStyle name="Moneda [0] 2" xfId="244"/>
    <cellStyle name="Moneda [0] 2 2" xfId="274"/>
    <cellStyle name="Moneda [0] 2 3" xfId="279"/>
    <cellStyle name="Moneda [0] 3" xfId="278"/>
    <cellStyle name="Moneda 10" xfId="505"/>
    <cellStyle name="Moneda 11" xfId="519"/>
    <cellStyle name="Moneda 12" xfId="532"/>
    <cellStyle name="Moneda 13" xfId="554"/>
    <cellStyle name="Moneda 14" xfId="568"/>
    <cellStyle name="Moneda 15" xfId="582"/>
    <cellStyle name="Moneda 16" xfId="596"/>
    <cellStyle name="Moneda 17" xfId="610"/>
    <cellStyle name="Moneda 18" xfId="624"/>
    <cellStyle name="Moneda 19" xfId="639"/>
    <cellStyle name="Moneda 2" xfId="12"/>
    <cellStyle name="Moneda 2 2" xfId="188"/>
    <cellStyle name="Moneda 2 2 2" xfId="249"/>
    <cellStyle name="Moneda 2 2 3" xfId="866"/>
    <cellStyle name="Moneda 2 3" xfId="248"/>
    <cellStyle name="Moneda 2 4" xfId="855"/>
    <cellStyle name="Moneda 20" xfId="652"/>
    <cellStyle name="Moneda 21" xfId="665"/>
    <cellStyle name="Moneda 22" xfId="676"/>
    <cellStyle name="Moneda 23" xfId="687"/>
    <cellStyle name="Moneda 24" xfId="699"/>
    <cellStyle name="Moneda 25" xfId="714"/>
    <cellStyle name="Moneda 26" xfId="725"/>
    <cellStyle name="Moneda 27" xfId="735"/>
    <cellStyle name="Moneda 28" xfId="744"/>
    <cellStyle name="Moneda 29" xfId="758"/>
    <cellStyle name="Moneda 3" xfId="17"/>
    <cellStyle name="Moneda 30" xfId="766"/>
    <cellStyle name="Moneda 31" xfId="785"/>
    <cellStyle name="Moneda 32" xfId="794"/>
    <cellStyle name="Moneda 33" xfId="802"/>
    <cellStyle name="Moneda 34" xfId="809"/>
    <cellStyle name="Moneda 35" xfId="816"/>
    <cellStyle name="Moneda 36" xfId="822"/>
    <cellStyle name="Moneda 37" xfId="827"/>
    <cellStyle name="Moneda 38" xfId="832"/>
    <cellStyle name="Moneda 39" xfId="837"/>
    <cellStyle name="Moneda 4" xfId="250"/>
    <cellStyle name="Moneda 40" xfId="841"/>
    <cellStyle name="Moneda 41" xfId="844"/>
    <cellStyle name="Moneda 42" xfId="847"/>
    <cellStyle name="Moneda 43" xfId="849"/>
    <cellStyle name="Moneda 44" xfId="850"/>
    <cellStyle name="Moneda 5" xfId="189"/>
    <cellStyle name="Moneda 5 2" xfId="251"/>
    <cellStyle name="Moneda 6" xfId="252"/>
    <cellStyle name="Moneda 7" xfId="253"/>
    <cellStyle name="Moneda 7 2" xfId="254"/>
    <cellStyle name="Moneda 7 3" xfId="255"/>
    <cellStyle name="Moneda 8" xfId="280"/>
    <cellStyle name="Moneda 9" xfId="491"/>
    <cellStyle name="Neutral 2" xfId="190"/>
    <cellStyle name="Neutral 3" xfId="191"/>
    <cellStyle name="Normal" xfId="0" builtinId="0"/>
    <cellStyle name="Normal 12" xfId="192"/>
    <cellStyle name="Normal 2" xfId="5"/>
    <cellStyle name="Normal 2 2" xfId="19"/>
    <cellStyle name="Normal 2 2 2" xfId="9"/>
    <cellStyle name="Normal 2 2 2 2" xfId="277"/>
    <cellStyle name="Normal 2 2 2 3" xfId="193"/>
    <cellStyle name="Normal 2 2 3" xfId="256"/>
    <cellStyle name="Normal 2 3" xfId="194"/>
    <cellStyle name="Normal 2 3 2" xfId="257"/>
    <cellStyle name="Normal 2 4" xfId="195"/>
    <cellStyle name="Normal 2 5" xfId="196"/>
    <cellStyle name="Normal 2 6" xfId="197"/>
    <cellStyle name="Normal 3" xfId="198"/>
    <cellStyle name="Normal 3 2" xfId="199"/>
    <cellStyle name="Normal 3 3" xfId="258"/>
    <cellStyle name="Normal 4" xfId="4"/>
    <cellStyle name="Normal 4 10" xfId="201"/>
    <cellStyle name="Normal 4 11" xfId="259"/>
    <cellStyle name="Normal 4 12" xfId="200"/>
    <cellStyle name="Normal 4 2" xfId="202"/>
    <cellStyle name="Normal 4 3" xfId="203"/>
    <cellStyle name="Normal 4 4" xfId="204"/>
    <cellStyle name="Normal 4 5" xfId="205"/>
    <cellStyle name="Normal 4 6" xfId="206"/>
    <cellStyle name="Normal 4 7" xfId="207"/>
    <cellStyle name="Normal 4 8" xfId="208"/>
    <cellStyle name="Normal 4 9" xfId="209"/>
    <cellStyle name="Normal 5" xfId="210"/>
    <cellStyle name="Normal 5 2" xfId="261"/>
    <cellStyle name="Normal 5 3" xfId="262"/>
    <cellStyle name="Normal 5 4" xfId="263"/>
    <cellStyle name="Normal 5 5" xfId="260"/>
    <cellStyle name="Normal 6" xfId="211"/>
    <cellStyle name="Normal 6 2" xfId="264"/>
    <cellStyle name="Normal 7" xfId="212"/>
    <cellStyle name="Normal 7 2" xfId="243"/>
    <cellStyle name="Normal 8" xfId="213"/>
    <cellStyle name="Normal 8 2" xfId="214"/>
    <cellStyle name="Normal 8 2 2" xfId="215"/>
    <cellStyle name="Normal 9" xfId="216"/>
    <cellStyle name="Notas 2" xfId="217"/>
    <cellStyle name="Notas 2 10" xfId="364"/>
    <cellStyle name="Notas 2 10 2" xfId="953"/>
    <cellStyle name="Notas 2 11" xfId="464"/>
    <cellStyle name="Notas 2 11 2" xfId="1044"/>
    <cellStyle name="Notas 2 12" xfId="373"/>
    <cellStyle name="Notas 2 12 2" xfId="962"/>
    <cellStyle name="Notas 2 13" xfId="315"/>
    <cellStyle name="Notas 2 13 2" xfId="907"/>
    <cellStyle name="Notas 2 14" xfId="526"/>
    <cellStyle name="Notas 2 14 2" xfId="1101"/>
    <cellStyle name="Notas 2 15" xfId="397"/>
    <cellStyle name="Notas 2 15 2" xfId="983"/>
    <cellStyle name="Notas 2 16" xfId="509"/>
    <cellStyle name="Notas 2 16 2" xfId="1086"/>
    <cellStyle name="Notas 2 17" xfId="459"/>
    <cellStyle name="Notas 2 17 2" xfId="1039"/>
    <cellStyle name="Notas 2 18" xfId="647"/>
    <cellStyle name="Notas 2 18 2" xfId="1204"/>
    <cellStyle name="Notas 2 19" xfId="644"/>
    <cellStyle name="Notas 2 19 2" xfId="1201"/>
    <cellStyle name="Notas 2 2" xfId="218"/>
    <cellStyle name="Notas 2 2 10" xfId="580"/>
    <cellStyle name="Notas 2 2 10 2" xfId="1146"/>
    <cellStyle name="Notas 2 2 11" xfId="564"/>
    <cellStyle name="Notas 2 2 11 2" xfId="1133"/>
    <cellStyle name="Notas 2 2 12" xfId="359"/>
    <cellStyle name="Notas 2 2 12 2" xfId="948"/>
    <cellStyle name="Notas 2 2 13" xfId="621"/>
    <cellStyle name="Notas 2 2 13 2" xfId="1182"/>
    <cellStyle name="Notas 2 2 14" xfId="317"/>
    <cellStyle name="Notas 2 2 14 2" xfId="909"/>
    <cellStyle name="Notas 2 2 15" xfId="535"/>
    <cellStyle name="Notas 2 2 15 2" xfId="1109"/>
    <cellStyle name="Notas 2 2 16" xfId="594"/>
    <cellStyle name="Notas 2 2 16 2" xfId="1157"/>
    <cellStyle name="Notas 2 2 17" xfId="409"/>
    <cellStyle name="Notas 2 2 17 2" xfId="994"/>
    <cellStyle name="Notas 2 2 18" xfId="684"/>
    <cellStyle name="Notas 2 2 18 2" xfId="1234"/>
    <cellStyle name="Notas 2 2 19" xfId="528"/>
    <cellStyle name="Notas 2 2 19 2" xfId="1103"/>
    <cellStyle name="Notas 2 2 2" xfId="444"/>
    <cellStyle name="Notas 2 2 2 2" xfId="1025"/>
    <cellStyle name="Notas 2 2 20" xfId="587"/>
    <cellStyle name="Notas 2 2 20 2" xfId="1150"/>
    <cellStyle name="Notas 2 2 21" xfId="281"/>
    <cellStyle name="Notas 2 2 21 2" xfId="875"/>
    <cellStyle name="Notas 2 2 22" xfId="470"/>
    <cellStyle name="Notas 2 2 22 2" xfId="1050"/>
    <cellStyle name="Notas 2 2 23" xfId="656"/>
    <cellStyle name="Notas 2 2 23 2" xfId="1211"/>
    <cellStyle name="Notas 2 2 24" xfId="658"/>
    <cellStyle name="Notas 2 2 24 2" xfId="1213"/>
    <cellStyle name="Notas 2 2 25" xfId="765"/>
    <cellStyle name="Notas 2 2 25 2" xfId="1301"/>
    <cellStyle name="Notas 2 2 26" xfId="435"/>
    <cellStyle name="Notas 2 2 26 2" xfId="1018"/>
    <cellStyle name="Notas 2 2 27" xfId="547"/>
    <cellStyle name="Notas 2 2 27 2" xfId="1120"/>
    <cellStyle name="Notas 2 2 28" xfId="607"/>
    <cellStyle name="Notas 2 2 28 2" xfId="1169"/>
    <cellStyle name="Notas 2 2 29" xfId="774"/>
    <cellStyle name="Notas 2 2 29 2" xfId="1309"/>
    <cellStyle name="Notas 2 2 3" xfId="327"/>
    <cellStyle name="Notas 2 2 3 2" xfId="917"/>
    <cellStyle name="Notas 2 2 30" xfId="669"/>
    <cellStyle name="Notas 2 2 30 2" xfId="1221"/>
    <cellStyle name="Notas 2 2 31" xfId="374"/>
    <cellStyle name="Notas 2 2 31 2" xfId="963"/>
    <cellStyle name="Notas 2 2 32" xfId="522"/>
    <cellStyle name="Notas 2 2 32 2" xfId="1097"/>
    <cellStyle name="Notas 2 2 33" xfId="538"/>
    <cellStyle name="Notas 2 2 33 2" xfId="1112"/>
    <cellStyle name="Notas 2 2 34" xfId="737"/>
    <cellStyle name="Notas 2 2 34 2" xfId="1278"/>
    <cellStyle name="Notas 2 2 35" xfId="674"/>
    <cellStyle name="Notas 2 2 35 2" xfId="1226"/>
    <cellStyle name="Notas 2 2 36" xfId="784"/>
    <cellStyle name="Notas 2 2 36 2" xfId="1317"/>
    <cellStyle name="Notas 2 2 37" xfId="868"/>
    <cellStyle name="Notas 2 2 38" xfId="793"/>
    <cellStyle name="Notas 2 2 4" xfId="282"/>
    <cellStyle name="Notas 2 2 4 2" xfId="876"/>
    <cellStyle name="Notas 2 2 5" xfId="457"/>
    <cellStyle name="Notas 2 2 5 2" xfId="1037"/>
    <cellStyle name="Notas 2 2 6" xfId="485"/>
    <cellStyle name="Notas 2 2 6 2" xfId="1065"/>
    <cellStyle name="Notas 2 2 7" xfId="331"/>
    <cellStyle name="Notas 2 2 7 2" xfId="921"/>
    <cellStyle name="Notas 2 2 8" xfId="293"/>
    <cellStyle name="Notas 2 2 8 2" xfId="886"/>
    <cellStyle name="Notas 2 2 9" xfId="363"/>
    <cellStyle name="Notas 2 2 9 2" xfId="952"/>
    <cellStyle name="Notas 2 20" xfId="589"/>
    <cellStyle name="Notas 2 20 2" xfId="1152"/>
    <cellStyle name="Notas 2 21" xfId="605"/>
    <cellStyle name="Notas 2 21 2" xfId="1167"/>
    <cellStyle name="Notas 2 22" xfId="615"/>
    <cellStyle name="Notas 2 22 2" xfId="1176"/>
    <cellStyle name="Notas 2 23" xfId="352"/>
    <cellStyle name="Notas 2 23 2" xfId="941"/>
    <cellStyle name="Notas 2 24" xfId="510"/>
    <cellStyle name="Notas 2 24 2" xfId="1087"/>
    <cellStyle name="Notas 2 25" xfId="321"/>
    <cellStyle name="Notas 2 25 2" xfId="912"/>
    <cellStyle name="Notas 2 26" xfId="761"/>
    <cellStyle name="Notas 2 26 2" xfId="1297"/>
    <cellStyle name="Notas 2 27" xfId="313"/>
    <cellStyle name="Notas 2 27 2" xfId="905"/>
    <cellStyle name="Notas 2 28" xfId="432"/>
    <cellStyle name="Notas 2 28 2" xfId="1016"/>
    <cellStyle name="Notas 2 29" xfId="781"/>
    <cellStyle name="Notas 2 29 2" xfId="1314"/>
    <cellStyle name="Notas 2 3" xfId="443"/>
    <cellStyle name="Notas 2 3 2" xfId="1024"/>
    <cellStyle name="Notas 2 30" xfId="790"/>
    <cellStyle name="Notas 2 30 2" xfId="1321"/>
    <cellStyle name="Notas 2 31" xfId="799"/>
    <cellStyle name="Notas 2 31 2" xfId="1326"/>
    <cellStyle name="Notas 2 32" xfId="806"/>
    <cellStyle name="Notas 2 32 2" xfId="1331"/>
    <cellStyle name="Notas 2 33" xfId="813"/>
    <cellStyle name="Notas 2 33 2" xfId="1336"/>
    <cellStyle name="Notas 2 34" xfId="819"/>
    <cellStyle name="Notas 2 34 2" xfId="1341"/>
    <cellStyle name="Notas 2 35" xfId="825"/>
    <cellStyle name="Notas 2 35 2" xfId="1345"/>
    <cellStyle name="Notas 2 36" xfId="830"/>
    <cellStyle name="Notas 2 36 2" xfId="1349"/>
    <cellStyle name="Notas 2 37" xfId="835"/>
    <cellStyle name="Notas 2 37 2" xfId="1352"/>
    <cellStyle name="Notas 2 38" xfId="867"/>
    <cellStyle name="Notas 2 39" xfId="839"/>
    <cellStyle name="Notas 2 4" xfId="328"/>
    <cellStyle name="Notas 2 4 2" xfId="918"/>
    <cellStyle name="Notas 2 5" xfId="422"/>
    <cellStyle name="Notas 2 5 2" xfId="1007"/>
    <cellStyle name="Notas 2 6" xfId="342"/>
    <cellStyle name="Notas 2 6 2" xfId="932"/>
    <cellStyle name="Notas 2 7" xfId="466"/>
    <cellStyle name="Notas 2 7 2" xfId="1046"/>
    <cellStyle name="Notas 2 8" xfId="332"/>
    <cellStyle name="Notas 2 8 2" xfId="922"/>
    <cellStyle name="Notas 2 9" xfId="410"/>
    <cellStyle name="Notas 2 9 2" xfId="995"/>
    <cellStyle name="Note" xfId="219"/>
    <cellStyle name="Note 10" xfId="521"/>
    <cellStyle name="Note 10 2" xfId="1096"/>
    <cellStyle name="Note 11" xfId="516"/>
    <cellStyle name="Note 11 2" xfId="1092"/>
    <cellStyle name="Note 12" xfId="585"/>
    <cellStyle name="Note 12 2" xfId="1148"/>
    <cellStyle name="Note 13" xfId="323"/>
    <cellStyle name="Note 13 2" xfId="913"/>
    <cellStyle name="Note 14" xfId="299"/>
    <cellStyle name="Note 14 2" xfId="892"/>
    <cellStyle name="Note 15" xfId="628"/>
    <cellStyle name="Note 15 2" xfId="1186"/>
    <cellStyle name="Note 16" xfId="307"/>
    <cellStyle name="Note 16 2" xfId="900"/>
    <cellStyle name="Note 17" xfId="400"/>
    <cellStyle name="Note 17 2" xfId="985"/>
    <cellStyle name="Note 18" xfId="556"/>
    <cellStyle name="Note 18 2" xfId="1127"/>
    <cellStyle name="Note 19" xfId="10"/>
    <cellStyle name="Note 19 2" xfId="853"/>
    <cellStyle name="Note 2" xfId="445"/>
    <cellStyle name="Note 2 2" xfId="1026"/>
    <cellStyle name="Note 20" xfId="691"/>
    <cellStyle name="Note 20 2" xfId="1238"/>
    <cellStyle name="Note 21" xfId="590"/>
    <cellStyle name="Note 21 2" xfId="1153"/>
    <cellStyle name="Note 22" xfId="386"/>
    <cellStyle name="Note 22 2" xfId="973"/>
    <cellStyle name="Note 23" xfId="706"/>
    <cellStyle name="Note 23 2" xfId="1251"/>
    <cellStyle name="Note 24" xfId="611"/>
    <cellStyle name="Note 24 2" xfId="1172"/>
    <cellStyle name="Note 25" xfId="764"/>
    <cellStyle name="Note 25 2" xfId="1300"/>
    <cellStyle name="Note 26" xfId="381"/>
    <cellStyle name="Note 26 2" xfId="969"/>
    <cellStyle name="Note 27" xfId="750"/>
    <cellStyle name="Note 27 2" xfId="1288"/>
    <cellStyle name="Note 28" xfId="716"/>
    <cellStyle name="Note 28 2" xfId="1260"/>
    <cellStyle name="Note 29" xfId="773"/>
    <cellStyle name="Note 29 2" xfId="1308"/>
    <cellStyle name="Note 3" xfId="326"/>
    <cellStyle name="Note 3 2" xfId="916"/>
    <cellStyle name="Note 30" xfId="545"/>
    <cellStyle name="Note 30 2" xfId="1118"/>
    <cellStyle name="Note 31" xfId="632"/>
    <cellStyle name="Note 31 2" xfId="1190"/>
    <cellStyle name="Note 32" xfId="698"/>
    <cellStyle name="Note 32 2" xfId="1244"/>
    <cellStyle name="Note 33" xfId="772"/>
    <cellStyle name="Note 33 2" xfId="1307"/>
    <cellStyle name="Note 34" xfId="743"/>
    <cellStyle name="Note 34 2" xfId="1284"/>
    <cellStyle name="Note 35" xfId="645"/>
    <cellStyle name="Note 35 2" xfId="1202"/>
    <cellStyle name="Note 36" xfId="544"/>
    <cellStyle name="Note 36 2" xfId="1117"/>
    <cellStyle name="Note 37" xfId="869"/>
    <cellStyle name="Note 38" xfId="584"/>
    <cellStyle name="Note 4" xfId="285"/>
    <cellStyle name="Note 4 2" xfId="879"/>
    <cellStyle name="Note 5" xfId="454"/>
    <cellStyle name="Note 5 2" xfId="1034"/>
    <cellStyle name="Note 6" xfId="447"/>
    <cellStyle name="Note 6 2" xfId="1028"/>
    <cellStyle name="Note 7" xfId="330"/>
    <cellStyle name="Note 7 2" xfId="920"/>
    <cellStyle name="Note 8" xfId="294"/>
    <cellStyle name="Note 8 2" xfId="887"/>
    <cellStyle name="Note 9" xfId="480"/>
    <cellStyle name="Note 9 2" xfId="1060"/>
    <cellStyle name="Output" xfId="220"/>
    <cellStyle name="Output 10" xfId="408"/>
    <cellStyle name="Output 10 2" xfId="993"/>
    <cellStyle name="Output 11" xfId="500"/>
    <cellStyle name="Output 11 2" xfId="1079"/>
    <cellStyle name="Output 12" xfId="406"/>
    <cellStyle name="Output 12 2" xfId="991"/>
    <cellStyle name="Output 13" xfId="542"/>
    <cellStyle name="Output 13 2" xfId="1115"/>
    <cellStyle name="Output 14" xfId="603"/>
    <cellStyle name="Output 14 2" xfId="1165"/>
    <cellStyle name="Output 15" xfId="515"/>
    <cellStyle name="Output 15 2" xfId="1091"/>
    <cellStyle name="Output 16" xfId="468"/>
    <cellStyle name="Output 16 2" xfId="1048"/>
    <cellStyle name="Output 17" xfId="625"/>
    <cellStyle name="Output 17 2" xfId="1184"/>
    <cellStyle name="Output 18" xfId="574"/>
    <cellStyle name="Output 18 2" xfId="1142"/>
    <cellStyle name="Output 19" xfId="668"/>
    <cellStyle name="Output 19 2" xfId="1220"/>
    <cellStyle name="Output 2" xfId="446"/>
    <cellStyle name="Output 2 2" xfId="1027"/>
    <cellStyle name="Output 20" xfId="431"/>
    <cellStyle name="Output 20 2" xfId="1015"/>
    <cellStyle name="Output 21" xfId="350"/>
    <cellStyle name="Output 21 2" xfId="939"/>
    <cellStyle name="Output 22" xfId="298"/>
    <cellStyle name="Output 22 2" xfId="891"/>
    <cellStyle name="Output 23" xfId="344"/>
    <cellStyle name="Output 23 2" xfId="934"/>
    <cellStyle name="Output 24" xfId="593"/>
    <cellStyle name="Output 24 2" xfId="1156"/>
    <cellStyle name="Output 25" xfId="703"/>
    <cellStyle name="Output 25 2" xfId="1248"/>
    <cellStyle name="Output 26" xfId="640"/>
    <cellStyle name="Output 26 2" xfId="1197"/>
    <cellStyle name="Output 27" xfId="634"/>
    <cellStyle name="Output 27 2" xfId="1192"/>
    <cellStyle name="Output 28" xfId="297"/>
    <cellStyle name="Output 28 2" xfId="890"/>
    <cellStyle name="Output 29" xfId="778"/>
    <cellStyle name="Output 29 2" xfId="1311"/>
    <cellStyle name="Output 3" xfId="325"/>
    <cellStyle name="Output 3 2" xfId="915"/>
    <cellStyle name="Output 30" xfId="787"/>
    <cellStyle name="Output 30 2" xfId="1318"/>
    <cellStyle name="Output 31" xfId="796"/>
    <cellStyle name="Output 31 2" xfId="1324"/>
    <cellStyle name="Output 32" xfId="804"/>
    <cellStyle name="Output 32 2" xfId="1329"/>
    <cellStyle name="Output 33" xfId="811"/>
    <cellStyle name="Output 33 2" xfId="1334"/>
    <cellStyle name="Output 34" xfId="817"/>
    <cellStyle name="Output 34 2" xfId="1339"/>
    <cellStyle name="Output 35" xfId="823"/>
    <cellStyle name="Output 35 2" xfId="1343"/>
    <cellStyle name="Output 36" xfId="828"/>
    <cellStyle name="Output 36 2" xfId="1347"/>
    <cellStyle name="Output 37" xfId="870"/>
    <cellStyle name="Output 38" xfId="833"/>
    <cellStyle name="Output 4" xfId="423"/>
    <cellStyle name="Output 4 2" xfId="1008"/>
    <cellStyle name="Output 5" xfId="341"/>
    <cellStyle name="Output 5 2" xfId="931"/>
    <cellStyle name="Output 6" xfId="490"/>
    <cellStyle name="Output 6 2" xfId="1070"/>
    <cellStyle name="Output 7" xfId="329"/>
    <cellStyle name="Output 7 2" xfId="919"/>
    <cellStyle name="Output 8" xfId="439"/>
    <cellStyle name="Output 8 2" xfId="1022"/>
    <cellStyle name="Output 9" xfId="430"/>
    <cellStyle name="Output 9 2" xfId="1014"/>
    <cellStyle name="Porcentaje 2" xfId="3"/>
    <cellStyle name="Porcentaje 2 2" xfId="221"/>
    <cellStyle name="Porcentaje 3" xfId="222"/>
    <cellStyle name="Porcentual 2" xfId="18"/>
    <cellStyle name="Porcentual 2 2" xfId="223"/>
    <cellStyle name="Porcentual 2 3" xfId="224"/>
    <cellStyle name="Porcentual 3" xfId="265"/>
    <cellStyle name="Porcentual 33" xfId="225"/>
    <cellStyle name="Porcentual 4" xfId="266"/>
    <cellStyle name="Porcentual 4 2" xfId="267"/>
    <cellStyle name="Porcentual 4 3" xfId="268"/>
    <cellStyle name="Salida 2" xfId="226"/>
    <cellStyle name="Salida 2 10" xfId="549"/>
    <cellStyle name="Salida 2 10 2" xfId="1122"/>
    <cellStyle name="Salida 2 11" xfId="498"/>
    <cellStyle name="Salida 2 11 2" xfId="1077"/>
    <cellStyle name="Salida 2 12" xfId="577"/>
    <cellStyle name="Salida 2 12 2" xfId="1144"/>
    <cellStyle name="Salida 2 13" xfId="303"/>
    <cellStyle name="Salida 2 13 2" xfId="896"/>
    <cellStyle name="Salida 2 14" xfId="351"/>
    <cellStyle name="Salida 2 14 2" xfId="940"/>
    <cellStyle name="Salida 2 15" xfId="618"/>
    <cellStyle name="Salida 2 15 2" xfId="1179"/>
    <cellStyle name="Salida 2 16" xfId="612"/>
    <cellStyle name="Salida 2 16 2" xfId="1173"/>
    <cellStyle name="Salida 2 17" xfId="340"/>
    <cellStyle name="Salida 2 17 2" xfId="930"/>
    <cellStyle name="Salida 2 18" xfId="661"/>
    <cellStyle name="Salida 2 18 2" xfId="1216"/>
    <cellStyle name="Salida 2 19" xfId="383"/>
    <cellStyle name="Salida 2 19 2" xfId="970"/>
    <cellStyle name="Salida 2 2" xfId="451"/>
    <cellStyle name="Salida 2 2 2" xfId="1032"/>
    <cellStyle name="Salida 2 20" xfId="683"/>
    <cellStyle name="Salida 2 20 2" xfId="1233"/>
    <cellStyle name="Salida 2 21" xfId="678"/>
    <cellStyle name="Salida 2 21 2" xfId="1229"/>
    <cellStyle name="Salida 2 22" xfId="712"/>
    <cellStyle name="Salida 2 22 2" xfId="1257"/>
    <cellStyle name="Salida 2 23" xfId="705"/>
    <cellStyle name="Salida 2 23 2" xfId="1250"/>
    <cellStyle name="Salida 2 24" xfId="748"/>
    <cellStyle name="Salida 2 24 2" xfId="1286"/>
    <cellStyle name="Salida 2 25" xfId="424"/>
    <cellStyle name="Salida 2 25 2" xfId="1009"/>
    <cellStyle name="Salida 2 26" xfId="506"/>
    <cellStyle name="Salida 2 26 2" xfId="1083"/>
    <cellStyle name="Salida 2 27" xfId="372"/>
    <cellStyle name="Salida 2 27 2" xfId="961"/>
    <cellStyle name="Salida 2 28" xfId="718"/>
    <cellStyle name="Salida 2 28 2" xfId="1262"/>
    <cellStyle name="Salida 2 29" xfId="733"/>
    <cellStyle name="Salida 2 29 2" xfId="1275"/>
    <cellStyle name="Salida 2 3" xfId="320"/>
    <cellStyle name="Salida 2 3 2" xfId="911"/>
    <cellStyle name="Salida 2 30" xfId="295"/>
    <cellStyle name="Salida 2 30 2" xfId="888"/>
    <cellStyle name="Salida 2 31" xfId="566"/>
    <cellStyle name="Salida 2 31 2" xfId="1135"/>
    <cellStyle name="Salida 2 32" xfId="343"/>
    <cellStyle name="Salida 2 32 2" xfId="933"/>
    <cellStyle name="Salida 2 33" xfId="738"/>
    <cellStyle name="Salida 2 33 2" xfId="1279"/>
    <cellStyle name="Salida 2 34" xfId="709"/>
    <cellStyle name="Salida 2 34 2" xfId="1254"/>
    <cellStyle name="Salida 2 35" xfId="762"/>
    <cellStyle name="Salida 2 35 2" xfId="1298"/>
    <cellStyle name="Salida 2 36" xfId="595"/>
    <cellStyle name="Salida 2 36 2" xfId="1158"/>
    <cellStyle name="Salida 2 37" xfId="871"/>
    <cellStyle name="Salida 2 38" xfId="322"/>
    <cellStyle name="Salida 2 4" xfId="425"/>
    <cellStyle name="Salida 2 4 2" xfId="1010"/>
    <cellStyle name="Salida 2 5" xfId="339"/>
    <cellStyle name="Salida 2 5 2" xfId="929"/>
    <cellStyle name="Salida 2 6" xfId="469"/>
    <cellStyle name="Salida 2 6 2" xfId="1049"/>
    <cellStyle name="Salida 2 7" xfId="476"/>
    <cellStyle name="Salida 2 7 2" xfId="1056"/>
    <cellStyle name="Salida 2 8" xfId="465"/>
    <cellStyle name="Salida 2 8 2" xfId="1045"/>
    <cellStyle name="Salida 2 9" xfId="360"/>
    <cellStyle name="Salida 2 9 2" xfId="949"/>
    <cellStyle name="Salida 3" xfId="227"/>
    <cellStyle name="Salida 3 10" xfId="284"/>
    <cellStyle name="Salida 3 10 2" xfId="878"/>
    <cellStyle name="Salida 3 11" xfId="354"/>
    <cellStyle name="Salida 3 11 2" xfId="943"/>
    <cellStyle name="Salida 3 12" xfId="581"/>
    <cellStyle name="Salida 3 12 2" xfId="1147"/>
    <cellStyle name="Salida 3 13" xfId="573"/>
    <cellStyle name="Salida 3 13 2" xfId="1141"/>
    <cellStyle name="Salida 3 14" xfId="489"/>
    <cellStyle name="Salida 3 14 2" xfId="1069"/>
    <cellStyle name="Salida 3 15" xfId="623"/>
    <cellStyle name="Salida 3 15 2" xfId="1183"/>
    <cellStyle name="Salida 3 16" xfId="484"/>
    <cellStyle name="Salida 3 16 2" xfId="1064"/>
    <cellStyle name="Salida 3 17" xfId="379"/>
    <cellStyle name="Salida 3 17 2" xfId="967"/>
    <cellStyle name="Salida 3 18" xfId="371"/>
    <cellStyle name="Salida 3 18 2" xfId="960"/>
    <cellStyle name="Salida 3 19" xfId="650"/>
    <cellStyle name="Salida 3 19 2" xfId="1207"/>
    <cellStyle name="Salida 3 2" xfId="452"/>
    <cellStyle name="Salida 3 2 2" xfId="1033"/>
    <cellStyle name="Salida 3 20" xfId="686"/>
    <cellStyle name="Salida 3 20 2" xfId="1235"/>
    <cellStyle name="Salida 3 21" xfId="358"/>
    <cellStyle name="Salida 3 21 2" xfId="947"/>
    <cellStyle name="Salida 3 22" xfId="302"/>
    <cellStyle name="Salida 3 22 2" xfId="895"/>
    <cellStyle name="Salida 3 23" xfId="742"/>
    <cellStyle name="Salida 3 23 2" xfId="1283"/>
    <cellStyle name="Salida 3 24" xfId="749"/>
    <cellStyle name="Salida 3 24 2" xfId="1287"/>
    <cellStyle name="Salida 3 25" xfId="508"/>
    <cellStyle name="Salida 3 25 2" xfId="1085"/>
    <cellStyle name="Salida 3 26" xfId="651"/>
    <cellStyle name="Salida 3 26 2" xfId="1208"/>
    <cellStyle name="Salida 3 27" xfId="407"/>
    <cellStyle name="Salida 3 27 2" xfId="992"/>
    <cellStyle name="Salida 3 28" xfId="333"/>
    <cellStyle name="Salida 3 28 2" xfId="923"/>
    <cellStyle name="Salida 3 29" xfId="402"/>
    <cellStyle name="Salida 3 29 2" xfId="987"/>
    <cellStyle name="Salida 3 3" xfId="319"/>
    <cellStyle name="Salida 3 3 2" xfId="910"/>
    <cellStyle name="Salida 3 30" xfId="753"/>
    <cellStyle name="Salida 3 30 2" xfId="1290"/>
    <cellStyle name="Salida 3 31" xfId="688"/>
    <cellStyle name="Salida 3 31 2" xfId="1236"/>
    <cellStyle name="Salida 3 32" xfId="704"/>
    <cellStyle name="Salida 3 32 2" xfId="1249"/>
    <cellStyle name="Salida 3 33" xfId="732"/>
    <cellStyle name="Salida 3 33 2" xfId="1274"/>
    <cellStyle name="Salida 3 34" xfId="680"/>
    <cellStyle name="Salida 3 34 2" xfId="1230"/>
    <cellStyle name="Salida 3 35" xfId="558"/>
    <cellStyle name="Salida 3 35 2" xfId="1129"/>
    <cellStyle name="Salida 3 36" xfId="609"/>
    <cellStyle name="Salida 3 36 2" xfId="1171"/>
    <cellStyle name="Salida 3 37" xfId="872"/>
    <cellStyle name="Salida 3 38" xfId="663"/>
    <cellStyle name="Salida 3 4" xfId="426"/>
    <cellStyle name="Salida 3 4 2" xfId="1011"/>
    <cellStyle name="Salida 3 5" xfId="338"/>
    <cellStyle name="Salida 3 5 2" xfId="928"/>
    <cellStyle name="Salida 3 6" xfId="283"/>
    <cellStyle name="Salida 3 6 2" xfId="877"/>
    <cellStyle name="Salida 3 7" xfId="475"/>
    <cellStyle name="Salida 3 7 2" xfId="1055"/>
    <cellStyle name="Salida 3 8" xfId="413"/>
    <cellStyle name="Salida 3 8 2" xfId="998"/>
    <cellStyle name="Salida 3 9" xfId="296"/>
    <cellStyle name="Salida 3 9 2" xfId="889"/>
    <cellStyle name="Texto de advertencia 2" xfId="228"/>
    <cellStyle name="Texto de advertencia 3" xfId="229"/>
    <cellStyle name="Texto explicativo 2" xfId="230"/>
    <cellStyle name="Texto explicativo 3" xfId="231"/>
    <cellStyle name="Title" xfId="232"/>
    <cellStyle name="Título 1 2" xfId="233"/>
    <cellStyle name="Título 2 2" xfId="234"/>
    <cellStyle name="Título 2 3" xfId="235"/>
    <cellStyle name="Título 3 2" xfId="236"/>
    <cellStyle name="Título 3 3" xfId="237"/>
    <cellStyle name="Título 4" xfId="238"/>
    <cellStyle name="Título 5" xfId="239"/>
    <cellStyle name="Total 2" xfId="240"/>
    <cellStyle name="Total 2 10" xfId="419"/>
    <cellStyle name="Total 2 10 2" xfId="1004"/>
    <cellStyle name="Total 2 11" xfId="448"/>
    <cellStyle name="Total 2 11 2" xfId="1029"/>
    <cellStyle name="Total 2 12" xfId="417"/>
    <cellStyle name="Total 2 12 2" xfId="1002"/>
    <cellStyle name="Total 2 13" xfId="543"/>
    <cellStyle name="Total 2 13 2" xfId="1116"/>
    <cellStyle name="Total 2 14" xfId="534"/>
    <cellStyle name="Total 2 14 2" xfId="1108"/>
    <cellStyle name="Total 2 15" xfId="531"/>
    <cellStyle name="Total 2 15 2" xfId="1106"/>
    <cellStyle name="Total 2 16" xfId="599"/>
    <cellStyle name="Total 2 16 2" xfId="1161"/>
    <cellStyle name="Total 2 17" xfId="614"/>
    <cellStyle name="Total 2 17 2" xfId="1175"/>
    <cellStyle name="Total 2 18" xfId="636"/>
    <cellStyle name="Total 2 18 2" xfId="1194"/>
    <cellStyle name="Total 2 19" xfId="642"/>
    <cellStyle name="Total 2 19 2" xfId="1199"/>
    <cellStyle name="Total 2 2" xfId="462"/>
    <cellStyle name="Total 2 2 2" xfId="1042"/>
    <cellStyle name="Total 2 20" xfId="561"/>
    <cellStyle name="Total 2 20 2" xfId="1131"/>
    <cellStyle name="Total 2 21" xfId="643"/>
    <cellStyle name="Total 2 21 2" xfId="1200"/>
    <cellStyle name="Total 2 22" xfId="449"/>
    <cellStyle name="Total 2 22 2" xfId="1030"/>
    <cellStyle name="Total 2 23" xfId="601"/>
    <cellStyle name="Total 2 23 2" xfId="1163"/>
    <cellStyle name="Total 2 24" xfId="571"/>
    <cellStyle name="Total 2 24 2" xfId="1139"/>
    <cellStyle name="Total 2 25" xfId="540"/>
    <cellStyle name="Total 2 25 2" xfId="1114"/>
    <cellStyle name="Total 2 26" xfId="539"/>
    <cellStyle name="Total 2 26 2" xfId="1113"/>
    <cellStyle name="Total 2 27" xfId="365"/>
    <cellStyle name="Total 2 27 2" xfId="954"/>
    <cellStyle name="Total 2 28" xfId="401"/>
    <cellStyle name="Total 2 28 2" xfId="986"/>
    <cellStyle name="Total 2 29" xfId="673"/>
    <cellStyle name="Total 2 29 2" xfId="1225"/>
    <cellStyle name="Total 2 3" xfId="309"/>
    <cellStyle name="Total 2 3 2" xfId="902"/>
    <cellStyle name="Total 2 30" xfId="755"/>
    <cellStyle name="Total 2 30 2" xfId="1292"/>
    <cellStyle name="Total 2 31" xfId="760"/>
    <cellStyle name="Total 2 31 2" xfId="1296"/>
    <cellStyle name="Total 2 32" xfId="660"/>
    <cellStyle name="Total 2 32 2" xfId="1215"/>
    <cellStyle name="Total 2 33" xfId="756"/>
    <cellStyle name="Total 2 33 2" xfId="1293"/>
    <cellStyle name="Total 2 34" xfId="591"/>
    <cellStyle name="Total 2 34 2" xfId="1154"/>
    <cellStyle name="Total 2 35" xfId="723"/>
    <cellStyle name="Total 2 35 2" xfId="1267"/>
    <cellStyle name="Total 2 36" xfId="649"/>
    <cellStyle name="Total 2 36 2" xfId="1206"/>
    <cellStyle name="Total 2 37" xfId="873"/>
    <cellStyle name="Total 2 38" xfId="349"/>
    <cellStyle name="Total 2 4" xfId="436"/>
    <cellStyle name="Total 2 4 2" xfId="1019"/>
    <cellStyle name="Total 2 5" xfId="336"/>
    <cellStyle name="Total 2 5 2" xfId="926"/>
    <cellStyle name="Total 2 6" xfId="473"/>
    <cellStyle name="Total 2 6 2" xfId="1053"/>
    <cellStyle name="Total 2 7" xfId="504"/>
    <cellStyle name="Total 2 7 2" xfId="1082"/>
    <cellStyle name="Total 2 8" xfId="316"/>
    <cellStyle name="Total 2 8 2" xfId="908"/>
    <cellStyle name="Total 2 9" xfId="458"/>
    <cellStyle name="Total 2 9 2" xfId="1038"/>
    <cellStyle name="Total 3" xfId="241"/>
    <cellStyle name="Total 3 10" xfId="569"/>
    <cellStyle name="Total 3 10 2" xfId="1137"/>
    <cellStyle name="Total 3 11" xfId="366"/>
    <cellStyle name="Total 3 11 2" xfId="955"/>
    <cellStyle name="Total 3 12" xfId="418"/>
    <cellStyle name="Total 3 12 2" xfId="1003"/>
    <cellStyle name="Total 3 13" xfId="442"/>
    <cellStyle name="Total 3 13 2" xfId="1023"/>
    <cellStyle name="Total 3 14" xfId="525"/>
    <cellStyle name="Total 3 14 2" xfId="1100"/>
    <cellStyle name="Total 3 15" xfId="492"/>
    <cellStyle name="Total 3 15 2" xfId="1071"/>
    <cellStyle name="Total 3 16" xfId="368"/>
    <cellStyle name="Total 3 16 2" xfId="957"/>
    <cellStyle name="Total 3 17" xfId="429"/>
    <cellStyle name="Total 3 17 2" xfId="1013"/>
    <cellStyle name="Total 3 18" xfId="653"/>
    <cellStyle name="Total 3 18 2" xfId="1209"/>
    <cellStyle name="Total 3 19" xfId="606"/>
    <cellStyle name="Total 3 19 2" xfId="1168"/>
    <cellStyle name="Total 3 2" xfId="463"/>
    <cellStyle name="Total 3 2 2" xfId="1043"/>
    <cellStyle name="Total 3 20" xfId="493"/>
    <cellStyle name="Total 3 20 2" xfId="1072"/>
    <cellStyle name="Total 3 21" xfId="597"/>
    <cellStyle name="Total 3 21 2" xfId="1159"/>
    <cellStyle name="Total 3 22" xfId="11"/>
    <cellStyle name="Total 3 22 2" xfId="854"/>
    <cellStyle name="Total 3 23" xfId="598"/>
    <cellStyle name="Total 3 23 2" xfId="1160"/>
    <cellStyle name="Total 3 24" xfId="736"/>
    <cellStyle name="Total 3 24 2" xfId="1277"/>
    <cellStyle name="Total 3 25" xfId="739"/>
    <cellStyle name="Total 3 25 2" xfId="1280"/>
    <cellStyle name="Total 3 26" xfId="16"/>
    <cellStyle name="Total 3 26 2" xfId="856"/>
    <cellStyle name="Total 3 27" xfId="517"/>
    <cellStyle name="Total 3 27 2" xfId="1093"/>
    <cellStyle name="Total 3 28" xfId="769"/>
    <cellStyle name="Total 3 28 2" xfId="1304"/>
    <cellStyle name="Total 3 29" xfId="694"/>
    <cellStyle name="Total 3 29 2" xfId="1241"/>
    <cellStyle name="Total 3 3" xfId="308"/>
    <cellStyle name="Total 3 3 2" xfId="901"/>
    <cellStyle name="Total 3 30" xfId="671"/>
    <cellStyle name="Total 3 30 2" xfId="1223"/>
    <cellStyle name="Total 3 31" xfId="572"/>
    <cellStyle name="Total 3 31 2" xfId="1140"/>
    <cellStyle name="Total 3 32" xfId="771"/>
    <cellStyle name="Total 3 32 2" xfId="1306"/>
    <cellStyle name="Total 3 33" xfId="741"/>
    <cellStyle name="Total 3 33 2" xfId="1282"/>
    <cellStyle name="Total 3 34" xfId="300"/>
    <cellStyle name="Total 3 34 2" xfId="893"/>
    <cellStyle name="Total 3 35" xfId="779"/>
    <cellStyle name="Total 3 35 2" xfId="1312"/>
    <cellStyle name="Total 3 36" xfId="788"/>
    <cellStyle name="Total 3 36 2" xfId="1319"/>
    <cellStyle name="Total 3 37" xfId="874"/>
    <cellStyle name="Total 3 38" xfId="797"/>
    <cellStyle name="Total 3 4" xfId="437"/>
    <cellStyle name="Total 3 4 2" xfId="1020"/>
    <cellStyle name="Total 3 5" xfId="335"/>
    <cellStyle name="Total 3 5 2" xfId="925"/>
    <cellStyle name="Total 3 6" xfId="421"/>
    <cellStyle name="Total 3 6 2" xfId="1006"/>
    <cellStyle name="Total 3 7" xfId="455"/>
    <cellStyle name="Total 3 7 2" xfId="1035"/>
    <cellStyle name="Total 3 8" xfId="289"/>
    <cellStyle name="Total 3 8 2" xfId="882"/>
    <cellStyle name="Total 3 9" xfId="290"/>
    <cellStyle name="Total 3 9 2" xfId="883"/>
    <cellStyle name="Warning Text" xfId="242"/>
  </cellStyles>
  <dxfs count="1">
    <dxf>
      <font>
        <color rgb="FF9C0006"/>
      </font>
      <fill>
        <patternFill>
          <bgColor rgb="FFFFC7CE"/>
        </patternFill>
      </fill>
    </dxf>
  </dxfs>
  <tableStyles count="0" defaultTableStyle="TableStyleMedium2" defaultPivotStyle="PivotStyleLight16"/>
  <colors>
    <mruColors>
      <color rgb="FF00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417285</xdr:colOff>
      <xdr:row>0</xdr:row>
      <xdr:rowOff>40821</xdr:rowOff>
    </xdr:from>
    <xdr:to>
      <xdr:col>1</xdr:col>
      <xdr:colOff>272142</xdr:colOff>
      <xdr:row>3</xdr:row>
      <xdr:rowOff>163286</xdr:rowOff>
    </xdr:to>
    <xdr:pic>
      <xdr:nvPicPr>
        <xdr:cNvPr id="2" name="Imagen 1" descr="C:\Users\AUXPLANEACION03\Desktop\Gobernacion_del_quindio.jpg">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7285" y="40821"/>
          <a:ext cx="957036" cy="102053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49"/>
  <sheetViews>
    <sheetView showGridLines="0" tabSelected="1" zoomScale="70" zoomScaleNormal="70" workbookViewId="0">
      <pane ySplit="6" topLeftCell="A7" activePane="bottomLeft" state="frozen"/>
      <selection pane="bottomLeft" activeCell="E5" sqref="E5:E6"/>
    </sheetView>
  </sheetViews>
  <sheetFormatPr baseColWidth="10" defaultColWidth="11.42578125" defaultRowHeight="15.75" x14ac:dyDescent="0.25"/>
  <cols>
    <col min="1" max="1" width="16.42578125" style="156" customWidth="1"/>
    <col min="2" max="2" width="15" style="156" customWidth="1"/>
    <col min="3" max="3" width="9" style="158" customWidth="1"/>
    <col min="4" max="4" width="35.7109375" style="156" customWidth="1"/>
    <col min="5" max="5" width="14.42578125" style="156" customWidth="1"/>
    <col min="6" max="6" width="15.5703125" style="156" customWidth="1"/>
    <col min="7" max="7" width="12.140625" style="156" customWidth="1"/>
    <col min="8" max="8" width="6.7109375" style="158" customWidth="1"/>
    <col min="9" max="9" width="33.28515625" style="156" customWidth="1"/>
    <col min="10" max="10" width="11.5703125" style="156" customWidth="1"/>
    <col min="11" max="11" width="15.85546875" style="156" customWidth="1"/>
    <col min="12" max="12" width="14.28515625" style="156" customWidth="1"/>
    <col min="13" max="13" width="18.140625" style="731" customWidth="1"/>
    <col min="14" max="14" width="29.85546875" style="156" customWidth="1"/>
    <col min="15" max="15" width="10.7109375" style="158" customWidth="1"/>
    <col min="16" max="16" width="20.7109375" style="156" customWidth="1"/>
    <col min="17" max="17" width="22.7109375" style="156" customWidth="1"/>
    <col min="18" max="18" width="20.28515625" style="156" customWidth="1"/>
    <col min="19" max="19" width="32.5703125" style="156" customWidth="1"/>
    <col min="20" max="20" width="19.140625" style="156" customWidth="1"/>
    <col min="21" max="21" width="17.7109375" style="156" customWidth="1"/>
    <col min="22" max="22" width="24.85546875" style="156" bestFit="1" customWidth="1"/>
    <col min="23" max="23" width="19.42578125" style="156" customWidth="1"/>
    <col min="24" max="24" width="23.42578125" style="156" bestFit="1" customWidth="1"/>
    <col min="25" max="25" width="20.5703125" style="156" customWidth="1"/>
    <col min="26" max="26" width="22.140625" style="156" bestFit="1" customWidth="1"/>
    <col min="27" max="27" width="34.42578125" style="156" customWidth="1"/>
    <col min="28" max="28" width="23.5703125" style="156" bestFit="1" customWidth="1"/>
    <col min="29" max="29" width="22.140625" style="156" bestFit="1" customWidth="1"/>
    <col min="30" max="31" width="22.5703125" style="732" customWidth="1"/>
    <col min="32" max="32" width="27.7109375" style="732" bestFit="1" customWidth="1"/>
    <col min="33" max="33" width="24.42578125" style="732" customWidth="1"/>
    <col min="34" max="34" width="25.5703125" style="732" customWidth="1"/>
    <col min="35" max="35" width="24.42578125" style="732" customWidth="1"/>
    <col min="36" max="36" width="25.42578125" style="156" customWidth="1"/>
    <col min="37" max="37" width="22.7109375" style="156" customWidth="1"/>
    <col min="38" max="38" width="22.7109375" style="733" customWidth="1"/>
    <col min="39" max="39" width="18" style="159" customWidth="1"/>
    <col min="40" max="40" width="21.7109375" style="156" customWidth="1"/>
    <col min="41" max="41" width="22.28515625" style="156" customWidth="1"/>
    <col min="42" max="42" width="22.85546875" style="156" customWidth="1"/>
    <col min="43" max="46" width="11.42578125" style="196"/>
    <col min="47" max="16384" width="11.42578125" style="156"/>
  </cols>
  <sheetData>
    <row r="1" spans="1:46" ht="24" customHeight="1" x14ac:dyDescent="0.25">
      <c r="A1" s="1026" t="s">
        <v>941</v>
      </c>
      <c r="B1" s="1026"/>
      <c r="C1" s="1026"/>
      <c r="D1" s="1026"/>
      <c r="E1" s="1026"/>
      <c r="F1" s="1026"/>
      <c r="G1" s="1026"/>
      <c r="H1" s="1026"/>
      <c r="I1" s="1026"/>
      <c r="J1" s="1026"/>
      <c r="K1" s="1026"/>
      <c r="L1" s="1026"/>
      <c r="M1" s="1026"/>
      <c r="N1" s="1026"/>
      <c r="O1" s="1026"/>
      <c r="P1" s="1026"/>
      <c r="Q1" s="1026"/>
      <c r="R1" s="1026"/>
      <c r="S1" s="1026"/>
      <c r="T1" s="1026"/>
      <c r="U1" s="1026"/>
      <c r="V1" s="1026"/>
      <c r="W1" s="1026"/>
      <c r="X1" s="1026"/>
      <c r="Y1" s="1026"/>
      <c r="Z1" s="1026"/>
      <c r="AA1" s="1026"/>
      <c r="AB1" s="1026"/>
      <c r="AC1" s="1026"/>
      <c r="AD1" s="1026"/>
      <c r="AE1" s="1026"/>
      <c r="AF1" s="1026"/>
      <c r="AG1" s="1026"/>
      <c r="AH1" s="1026"/>
      <c r="AI1" s="1026"/>
      <c r="AJ1" s="1026"/>
      <c r="AK1" s="1026"/>
      <c r="AL1" s="1026"/>
      <c r="AM1" s="1026"/>
      <c r="AN1" s="1080"/>
      <c r="AO1" s="160" t="s">
        <v>905</v>
      </c>
      <c r="AP1" s="160" t="s">
        <v>939</v>
      </c>
      <c r="AQ1" s="156"/>
      <c r="AR1" s="156"/>
      <c r="AS1" s="156"/>
      <c r="AT1" s="156"/>
    </row>
    <row r="2" spans="1:46" ht="24" customHeight="1" x14ac:dyDescent="0.25">
      <c r="A2" s="1026"/>
      <c r="B2" s="1026"/>
      <c r="C2" s="1026"/>
      <c r="D2" s="1026"/>
      <c r="E2" s="1026"/>
      <c r="F2" s="1026"/>
      <c r="G2" s="1026"/>
      <c r="H2" s="1026"/>
      <c r="I2" s="1026"/>
      <c r="J2" s="1026"/>
      <c r="K2" s="1026"/>
      <c r="L2" s="1026"/>
      <c r="M2" s="1026"/>
      <c r="N2" s="1026"/>
      <c r="O2" s="1026"/>
      <c r="P2" s="1026"/>
      <c r="Q2" s="1026"/>
      <c r="R2" s="1026"/>
      <c r="S2" s="1026"/>
      <c r="T2" s="1026"/>
      <c r="U2" s="1026"/>
      <c r="V2" s="1026"/>
      <c r="W2" s="1026"/>
      <c r="X2" s="1026"/>
      <c r="Y2" s="1026"/>
      <c r="Z2" s="1026"/>
      <c r="AA2" s="1026"/>
      <c r="AB2" s="1026"/>
      <c r="AC2" s="1026"/>
      <c r="AD2" s="1026"/>
      <c r="AE2" s="1026"/>
      <c r="AF2" s="1026"/>
      <c r="AG2" s="1026"/>
      <c r="AH2" s="1026"/>
      <c r="AI2" s="1026"/>
      <c r="AJ2" s="1026"/>
      <c r="AK2" s="1026"/>
      <c r="AL2" s="1026"/>
      <c r="AM2" s="1026"/>
      <c r="AN2" s="1080"/>
      <c r="AO2" s="161" t="s">
        <v>906</v>
      </c>
      <c r="AP2" s="162">
        <v>1</v>
      </c>
      <c r="AQ2" s="156"/>
      <c r="AR2" s="156"/>
      <c r="AS2" s="156"/>
      <c r="AT2" s="156"/>
    </row>
    <row r="3" spans="1:46" s="157" customFormat="1" ht="24" customHeight="1" x14ac:dyDescent="0.25">
      <c r="A3" s="1026"/>
      <c r="B3" s="1026"/>
      <c r="C3" s="1026"/>
      <c r="D3" s="1026"/>
      <c r="E3" s="1026"/>
      <c r="F3" s="1026"/>
      <c r="G3" s="1026"/>
      <c r="H3" s="1026"/>
      <c r="I3" s="1026"/>
      <c r="J3" s="1026"/>
      <c r="K3" s="1026"/>
      <c r="L3" s="1026"/>
      <c r="M3" s="1026"/>
      <c r="N3" s="1026"/>
      <c r="O3" s="1026"/>
      <c r="P3" s="1026"/>
      <c r="Q3" s="1026"/>
      <c r="R3" s="1026"/>
      <c r="S3" s="1026"/>
      <c r="T3" s="1026"/>
      <c r="U3" s="1026"/>
      <c r="V3" s="1026"/>
      <c r="W3" s="1026"/>
      <c r="X3" s="1026"/>
      <c r="Y3" s="1026"/>
      <c r="Z3" s="1026"/>
      <c r="AA3" s="1026"/>
      <c r="AB3" s="1026"/>
      <c r="AC3" s="1026"/>
      <c r="AD3" s="1026"/>
      <c r="AE3" s="1026"/>
      <c r="AF3" s="1026"/>
      <c r="AG3" s="1026"/>
      <c r="AH3" s="1026"/>
      <c r="AI3" s="1026"/>
      <c r="AJ3" s="1026"/>
      <c r="AK3" s="1026"/>
      <c r="AL3" s="1026"/>
      <c r="AM3" s="1026"/>
      <c r="AN3" s="1080"/>
      <c r="AO3" s="160" t="s">
        <v>907</v>
      </c>
      <c r="AP3" s="163" t="s">
        <v>940</v>
      </c>
    </row>
    <row r="4" spans="1:46" s="157" customFormat="1" ht="24" customHeight="1" x14ac:dyDescent="0.25">
      <c r="A4" s="1081"/>
      <c r="B4" s="1081"/>
      <c r="C4" s="1081"/>
      <c r="D4" s="1081"/>
      <c r="E4" s="1081"/>
      <c r="F4" s="1081"/>
      <c r="G4" s="1081"/>
      <c r="H4" s="1081"/>
      <c r="I4" s="1081"/>
      <c r="J4" s="1081"/>
      <c r="K4" s="1081"/>
      <c r="L4" s="1081"/>
      <c r="M4" s="1081"/>
      <c r="N4" s="1081"/>
      <c r="O4" s="1081"/>
      <c r="P4" s="1081"/>
      <c r="Q4" s="1081"/>
      <c r="R4" s="1081"/>
      <c r="S4" s="1081"/>
      <c r="T4" s="1081"/>
      <c r="U4" s="1081"/>
      <c r="V4" s="1081"/>
      <c r="W4" s="1081"/>
      <c r="X4" s="1081"/>
      <c r="Y4" s="1081"/>
      <c r="Z4" s="1081"/>
      <c r="AA4" s="1081"/>
      <c r="AB4" s="1081"/>
      <c r="AC4" s="1081"/>
      <c r="AD4" s="1081"/>
      <c r="AE4" s="1081"/>
      <c r="AF4" s="1081"/>
      <c r="AG4" s="1081"/>
      <c r="AH4" s="1081"/>
      <c r="AI4" s="1081"/>
      <c r="AJ4" s="1081"/>
      <c r="AK4" s="1081"/>
      <c r="AL4" s="1081"/>
      <c r="AM4" s="1081"/>
      <c r="AN4" s="1082"/>
      <c r="AO4" s="160" t="s">
        <v>908</v>
      </c>
      <c r="AP4" s="164" t="s">
        <v>909</v>
      </c>
    </row>
    <row r="5" spans="1:46" s="861" customFormat="1" ht="59.25" customHeight="1" x14ac:dyDescent="0.25">
      <c r="A5" s="1027" t="s">
        <v>1</v>
      </c>
      <c r="B5" s="1029" t="s">
        <v>2</v>
      </c>
      <c r="C5" s="1031" t="s">
        <v>3</v>
      </c>
      <c r="D5" s="1032"/>
      <c r="E5" s="1035" t="s">
        <v>4</v>
      </c>
      <c r="F5" s="1035" t="s">
        <v>5</v>
      </c>
      <c r="G5" s="1037" t="s">
        <v>6</v>
      </c>
      <c r="H5" s="1039" t="s">
        <v>7</v>
      </c>
      <c r="I5" s="1040"/>
      <c r="J5" s="1043" t="s">
        <v>4</v>
      </c>
      <c r="K5" s="842" t="s">
        <v>8</v>
      </c>
      <c r="L5" s="1043" t="s">
        <v>9</v>
      </c>
      <c r="M5" s="1035" t="s">
        <v>10</v>
      </c>
      <c r="N5" s="1035" t="s">
        <v>11</v>
      </c>
      <c r="O5" s="1035" t="s">
        <v>12</v>
      </c>
      <c r="P5" s="843" t="s">
        <v>13</v>
      </c>
      <c r="Q5" s="843" t="s">
        <v>14</v>
      </c>
      <c r="R5" s="843" t="s">
        <v>15</v>
      </c>
      <c r="S5" s="843" t="s">
        <v>938</v>
      </c>
      <c r="T5" s="843" t="s">
        <v>16</v>
      </c>
      <c r="U5" s="843" t="s">
        <v>17</v>
      </c>
      <c r="V5" s="843" t="s">
        <v>900</v>
      </c>
      <c r="W5" s="843" t="s">
        <v>897</v>
      </c>
      <c r="X5" s="843" t="s">
        <v>18</v>
      </c>
      <c r="Y5" s="843" t="s">
        <v>19</v>
      </c>
      <c r="Z5" s="843" t="s">
        <v>20</v>
      </c>
      <c r="AA5" s="843" t="s">
        <v>917</v>
      </c>
      <c r="AB5" s="843" t="s">
        <v>21</v>
      </c>
      <c r="AC5" s="843" t="s">
        <v>22</v>
      </c>
      <c r="AD5" s="843" t="s">
        <v>23</v>
      </c>
      <c r="AE5" s="843" t="s">
        <v>899</v>
      </c>
      <c r="AF5" s="843" t="s">
        <v>24</v>
      </c>
      <c r="AG5" s="843" t="s">
        <v>901</v>
      </c>
      <c r="AH5" s="843" t="s">
        <v>25</v>
      </c>
      <c r="AI5" s="843" t="s">
        <v>26</v>
      </c>
      <c r="AJ5" s="843" t="s">
        <v>902</v>
      </c>
      <c r="AK5" s="843" t="s">
        <v>27</v>
      </c>
      <c r="AL5" s="844" t="s">
        <v>28</v>
      </c>
      <c r="AM5" s="843" t="s">
        <v>29</v>
      </c>
      <c r="AN5" s="843" t="s">
        <v>30</v>
      </c>
      <c r="AO5" s="843" t="s">
        <v>896</v>
      </c>
      <c r="AP5" s="1079" t="s">
        <v>921</v>
      </c>
    </row>
    <row r="6" spans="1:46" s="862" customFormat="1" ht="37.5" customHeight="1" x14ac:dyDescent="0.25">
      <c r="A6" s="1028"/>
      <c r="B6" s="1030"/>
      <c r="C6" s="1033"/>
      <c r="D6" s="1034"/>
      <c r="E6" s="1036"/>
      <c r="F6" s="1036"/>
      <c r="G6" s="1038"/>
      <c r="H6" s="1041"/>
      <c r="I6" s="1042"/>
      <c r="J6" s="1044"/>
      <c r="K6" s="845" t="s">
        <v>903</v>
      </c>
      <c r="L6" s="1044"/>
      <c r="M6" s="1036"/>
      <c r="N6" s="1036"/>
      <c r="O6" s="1036"/>
      <c r="P6" s="846" t="s">
        <v>904</v>
      </c>
      <c r="Q6" s="846" t="s">
        <v>904</v>
      </c>
      <c r="R6" s="846" t="s">
        <v>904</v>
      </c>
      <c r="S6" s="846" t="s">
        <v>904</v>
      </c>
      <c r="T6" s="846" t="s">
        <v>904</v>
      </c>
      <c r="U6" s="846" t="s">
        <v>904</v>
      </c>
      <c r="V6" s="846" t="s">
        <v>904</v>
      </c>
      <c r="W6" s="846" t="s">
        <v>904</v>
      </c>
      <c r="X6" s="846" t="s">
        <v>904</v>
      </c>
      <c r="Y6" s="846" t="s">
        <v>904</v>
      </c>
      <c r="Z6" s="846" t="s">
        <v>904</v>
      </c>
      <c r="AA6" s="846" t="s">
        <v>904</v>
      </c>
      <c r="AB6" s="846" t="s">
        <v>904</v>
      </c>
      <c r="AC6" s="846" t="s">
        <v>904</v>
      </c>
      <c r="AD6" s="846" t="s">
        <v>904</v>
      </c>
      <c r="AE6" s="846" t="s">
        <v>904</v>
      </c>
      <c r="AF6" s="846" t="s">
        <v>904</v>
      </c>
      <c r="AG6" s="846" t="s">
        <v>904</v>
      </c>
      <c r="AH6" s="846" t="s">
        <v>904</v>
      </c>
      <c r="AI6" s="846" t="s">
        <v>904</v>
      </c>
      <c r="AJ6" s="846" t="s">
        <v>904</v>
      </c>
      <c r="AK6" s="846" t="s">
        <v>904</v>
      </c>
      <c r="AL6" s="847" t="s">
        <v>904</v>
      </c>
      <c r="AM6" s="846" t="s">
        <v>904</v>
      </c>
      <c r="AN6" s="846" t="s">
        <v>904</v>
      </c>
      <c r="AO6" s="846" t="s">
        <v>904</v>
      </c>
      <c r="AP6" s="846" t="s">
        <v>904</v>
      </c>
    </row>
    <row r="7" spans="1:46" s="48" customFormat="1" ht="18" customHeight="1" x14ac:dyDescent="0.25">
      <c r="A7" s="165" t="s">
        <v>31</v>
      </c>
      <c r="B7" s="166"/>
      <c r="C7" s="167"/>
      <c r="D7" s="166"/>
      <c r="E7" s="166"/>
      <c r="F7" s="166"/>
      <c r="G7" s="166"/>
      <c r="H7" s="167"/>
      <c r="I7" s="166"/>
      <c r="J7" s="166"/>
      <c r="K7" s="166"/>
      <c r="L7" s="166"/>
      <c r="M7" s="168"/>
      <c r="N7" s="166"/>
      <c r="O7" s="167"/>
      <c r="P7" s="166"/>
      <c r="Q7" s="166"/>
      <c r="R7" s="166"/>
      <c r="S7" s="166"/>
      <c r="T7" s="166"/>
      <c r="U7" s="166"/>
      <c r="V7" s="166"/>
      <c r="W7" s="166"/>
      <c r="X7" s="166"/>
      <c r="Y7" s="166"/>
      <c r="Z7" s="166"/>
      <c r="AA7" s="166"/>
      <c r="AB7" s="166"/>
      <c r="AC7" s="166"/>
      <c r="AD7" s="166"/>
      <c r="AE7" s="166"/>
      <c r="AF7" s="166"/>
      <c r="AG7" s="166"/>
      <c r="AH7" s="166"/>
      <c r="AI7" s="166"/>
      <c r="AJ7" s="166"/>
      <c r="AK7" s="166"/>
      <c r="AL7" s="169"/>
      <c r="AM7" s="170"/>
      <c r="AN7" s="166"/>
      <c r="AO7" s="166"/>
      <c r="AP7" s="172"/>
    </row>
    <row r="8" spans="1:46" s="48" customFormat="1" ht="18" customHeight="1" x14ac:dyDescent="0.25">
      <c r="A8" s="173">
        <v>5</v>
      </c>
      <c r="B8" s="174" t="s">
        <v>32</v>
      </c>
      <c r="C8" s="175"/>
      <c r="D8" s="174"/>
      <c r="E8" s="174"/>
      <c r="F8" s="174"/>
      <c r="G8" s="174"/>
      <c r="H8" s="175"/>
      <c r="I8" s="174"/>
      <c r="J8" s="174"/>
      <c r="K8" s="174"/>
      <c r="L8" s="174"/>
      <c r="M8" s="176"/>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7"/>
      <c r="AM8" s="174"/>
      <c r="AN8" s="174"/>
      <c r="AO8" s="174"/>
      <c r="AP8" s="178"/>
    </row>
    <row r="9" spans="1:46" s="48" customFormat="1" ht="18" customHeight="1" x14ac:dyDescent="0.25">
      <c r="A9" s="179"/>
      <c r="B9" s="180">
        <v>28</v>
      </c>
      <c r="C9" s="181" t="s">
        <v>33</v>
      </c>
      <c r="D9" s="182"/>
      <c r="E9" s="182"/>
      <c r="F9" s="182"/>
      <c r="G9" s="182"/>
      <c r="H9" s="183"/>
      <c r="I9" s="182"/>
      <c r="J9" s="182"/>
      <c r="K9" s="182"/>
      <c r="L9" s="182"/>
      <c r="M9" s="184"/>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5"/>
      <c r="AM9" s="182"/>
      <c r="AN9" s="182"/>
      <c r="AO9" s="182"/>
      <c r="AP9" s="186"/>
    </row>
    <row r="10" spans="1:46" s="48" customFormat="1" ht="18" customHeight="1" x14ac:dyDescent="0.25">
      <c r="A10" s="22"/>
      <c r="B10" s="187"/>
      <c r="C10" s="848"/>
      <c r="D10" s="224"/>
      <c r="E10" s="224"/>
      <c r="F10" s="225"/>
      <c r="G10" s="1">
        <v>89</v>
      </c>
      <c r="H10" s="2" t="s">
        <v>34</v>
      </c>
      <c r="I10" s="2"/>
      <c r="J10" s="3"/>
      <c r="K10" s="3"/>
      <c r="L10" s="3"/>
      <c r="M10" s="4"/>
      <c r="N10" s="3"/>
      <c r="O10" s="3"/>
      <c r="P10" s="3"/>
      <c r="Q10" s="3"/>
      <c r="R10" s="3"/>
      <c r="S10" s="3"/>
      <c r="T10" s="3"/>
      <c r="U10" s="3"/>
      <c r="V10" s="3"/>
      <c r="W10" s="3"/>
      <c r="X10" s="3"/>
      <c r="Y10" s="3"/>
      <c r="Z10" s="3"/>
      <c r="AA10" s="3"/>
      <c r="AB10" s="3"/>
      <c r="AC10" s="3"/>
      <c r="AD10" s="3"/>
      <c r="AE10" s="3"/>
      <c r="AF10" s="3"/>
      <c r="AG10" s="3"/>
      <c r="AH10" s="3"/>
      <c r="AI10" s="3"/>
      <c r="AJ10" s="3"/>
      <c r="AK10" s="3"/>
      <c r="AL10" s="112"/>
      <c r="AM10" s="3"/>
      <c r="AN10" s="3"/>
      <c r="AO10" s="3"/>
      <c r="AP10" s="110"/>
    </row>
    <row r="11" spans="1:46" s="28" customFormat="1" ht="118.5" customHeight="1" x14ac:dyDescent="0.25">
      <c r="A11" s="22"/>
      <c r="B11" s="20"/>
      <c r="C11" s="150" t="s">
        <v>922</v>
      </c>
      <c r="D11" s="151" t="s">
        <v>933</v>
      </c>
      <c r="E11" s="152">
        <v>0</v>
      </c>
      <c r="F11" s="152">
        <v>2</v>
      </c>
      <c r="G11" s="23"/>
      <c r="H11" s="133">
        <v>282</v>
      </c>
      <c r="I11" s="151" t="s">
        <v>35</v>
      </c>
      <c r="J11" s="24" t="s">
        <v>36</v>
      </c>
      <c r="K11" s="24">
        <v>2</v>
      </c>
      <c r="L11" s="25" t="s">
        <v>37</v>
      </c>
      <c r="M11" s="155" t="s">
        <v>38</v>
      </c>
      <c r="N11" s="151" t="s">
        <v>39</v>
      </c>
      <c r="O11" s="152" t="s">
        <v>40</v>
      </c>
      <c r="P11" s="26">
        <v>0</v>
      </c>
      <c r="Q11" s="26">
        <v>0</v>
      </c>
      <c r="R11" s="26">
        <v>0</v>
      </c>
      <c r="S11" s="26">
        <v>0</v>
      </c>
      <c r="T11" s="26">
        <v>0</v>
      </c>
      <c r="U11" s="26">
        <v>0</v>
      </c>
      <c r="V11" s="26">
        <v>0</v>
      </c>
      <c r="W11" s="26"/>
      <c r="X11" s="26"/>
      <c r="Y11" s="26"/>
      <c r="Z11" s="26">
        <v>0</v>
      </c>
      <c r="AA11" s="26"/>
      <c r="AB11" s="26">
        <v>0</v>
      </c>
      <c r="AC11" s="26">
        <v>0</v>
      </c>
      <c r="AD11" s="26"/>
      <c r="AE11" s="26"/>
      <c r="AF11" s="26"/>
      <c r="AG11" s="26"/>
      <c r="AH11" s="26"/>
      <c r="AI11" s="26"/>
      <c r="AJ11" s="26">
        <v>0</v>
      </c>
      <c r="AK11" s="26">
        <v>0</v>
      </c>
      <c r="AL11" s="113">
        <v>39989033.940345511</v>
      </c>
      <c r="AM11" s="14"/>
      <c r="AN11" s="26">
        <v>0</v>
      </c>
      <c r="AO11" s="27">
        <v>0</v>
      </c>
      <c r="AP11" s="26">
        <f>P11+Q11+R11+S11+T11+U11+V11+W11+X11+Y11+Z11+AA11+AB11+AC11+AD11+AE11+AF11+AG11+AH11+AI11+AJ11+AK11+AL11+AM11+AN11+AO11</f>
        <v>39989033.940345511</v>
      </c>
    </row>
    <row r="12" spans="1:46" s="28" customFormat="1" ht="101.25" customHeight="1" x14ac:dyDescent="0.25">
      <c r="A12" s="22"/>
      <c r="B12" s="20"/>
      <c r="C12" s="150" t="s">
        <v>923</v>
      </c>
      <c r="D12" s="151" t="s">
        <v>934</v>
      </c>
      <c r="E12" s="152"/>
      <c r="F12" s="152"/>
      <c r="G12" s="29"/>
      <c r="H12" s="152">
        <v>283</v>
      </c>
      <c r="I12" s="151" t="s">
        <v>41</v>
      </c>
      <c r="J12" s="24" t="s">
        <v>36</v>
      </c>
      <c r="K12" s="24">
        <v>1</v>
      </c>
      <c r="L12" s="25" t="s">
        <v>37</v>
      </c>
      <c r="M12" s="30" t="s">
        <v>42</v>
      </c>
      <c r="N12" s="151" t="s">
        <v>43</v>
      </c>
      <c r="O12" s="152" t="s">
        <v>44</v>
      </c>
      <c r="P12" s="26">
        <v>0</v>
      </c>
      <c r="Q12" s="26">
        <v>0</v>
      </c>
      <c r="R12" s="26">
        <v>0</v>
      </c>
      <c r="S12" s="26">
        <v>0</v>
      </c>
      <c r="T12" s="26">
        <v>0</v>
      </c>
      <c r="U12" s="26">
        <v>0</v>
      </c>
      <c r="V12" s="26">
        <v>0</v>
      </c>
      <c r="W12" s="26"/>
      <c r="X12" s="26"/>
      <c r="Y12" s="26"/>
      <c r="Z12" s="26">
        <v>0</v>
      </c>
      <c r="AA12" s="26"/>
      <c r="AB12" s="26">
        <v>0</v>
      </c>
      <c r="AC12" s="26">
        <v>0</v>
      </c>
      <c r="AD12" s="26"/>
      <c r="AE12" s="26"/>
      <c r="AF12" s="26"/>
      <c r="AG12" s="26"/>
      <c r="AH12" s="26"/>
      <c r="AI12" s="26"/>
      <c r="AJ12" s="26">
        <v>0</v>
      </c>
      <c r="AK12" s="26">
        <v>0</v>
      </c>
      <c r="AL12" s="113">
        <v>48317341.163003899</v>
      </c>
      <c r="AM12" s="14"/>
      <c r="AN12" s="26">
        <v>0</v>
      </c>
      <c r="AO12" s="27">
        <v>0</v>
      </c>
      <c r="AP12" s="26">
        <f>P12+Q12+R12+S12+T12+U12+V12+W12+X12+Y12+Z12+AA12+AB12+AC12+AD12+AE12+AF12+AG12+AH12+AI12+AJ12+AK12+AL12+AM12+AN12+AO12</f>
        <v>48317341.163003899</v>
      </c>
    </row>
    <row r="13" spans="1:46" s="28" customFormat="1" ht="82.5" customHeight="1" x14ac:dyDescent="0.25">
      <c r="A13" s="22"/>
      <c r="B13" s="20"/>
      <c r="C13" s="150">
        <v>38</v>
      </c>
      <c r="D13" s="151" t="s">
        <v>45</v>
      </c>
      <c r="E13" s="152"/>
      <c r="F13" s="152"/>
      <c r="G13" s="29"/>
      <c r="H13" s="152">
        <v>284</v>
      </c>
      <c r="I13" s="151" t="s">
        <v>46</v>
      </c>
      <c r="J13" s="24">
        <v>1</v>
      </c>
      <c r="K13" s="24">
        <v>1</v>
      </c>
      <c r="L13" s="25" t="s">
        <v>37</v>
      </c>
      <c r="M13" s="30" t="s">
        <v>47</v>
      </c>
      <c r="N13" s="151" t="s">
        <v>48</v>
      </c>
      <c r="O13" s="152" t="s">
        <v>44</v>
      </c>
      <c r="P13" s="26">
        <v>0</v>
      </c>
      <c r="Q13" s="26">
        <v>0</v>
      </c>
      <c r="R13" s="26">
        <v>0</v>
      </c>
      <c r="S13" s="26">
        <v>0</v>
      </c>
      <c r="T13" s="26">
        <v>0</v>
      </c>
      <c r="U13" s="26">
        <v>0</v>
      </c>
      <c r="V13" s="26">
        <v>0</v>
      </c>
      <c r="W13" s="26"/>
      <c r="X13" s="26"/>
      <c r="Y13" s="26"/>
      <c r="Z13" s="26">
        <v>0</v>
      </c>
      <c r="AA13" s="26"/>
      <c r="AB13" s="26">
        <v>0</v>
      </c>
      <c r="AC13" s="26">
        <v>0</v>
      </c>
      <c r="AD13" s="26"/>
      <c r="AE13" s="26"/>
      <c r="AF13" s="26"/>
      <c r="AG13" s="26"/>
      <c r="AH13" s="26"/>
      <c r="AI13" s="26"/>
      <c r="AJ13" s="26">
        <v>0</v>
      </c>
      <c r="AK13" s="26">
        <v>0</v>
      </c>
      <c r="AL13" s="113">
        <v>68295337.59692508</v>
      </c>
      <c r="AM13" s="14"/>
      <c r="AN13" s="26">
        <v>0</v>
      </c>
      <c r="AO13" s="27">
        <v>0</v>
      </c>
      <c r="AP13" s="26">
        <f>P13+Q13+R13+S13+T13+U13+V13+W13+X13+Y13+Z13+AA13+AB13+AC13+AD13+AE13+AF13+AG13+AH13+AI13+AJ13+AK13+AL13+AM13+AN13+AO13</f>
        <v>68295337.59692508</v>
      </c>
    </row>
    <row r="14" spans="1:46" s="28" customFormat="1" ht="80.25" customHeight="1" x14ac:dyDescent="0.25">
      <c r="A14" s="22"/>
      <c r="B14" s="20"/>
      <c r="C14" s="150">
        <v>38</v>
      </c>
      <c r="D14" s="151" t="s">
        <v>45</v>
      </c>
      <c r="E14" s="152"/>
      <c r="F14" s="152"/>
      <c r="G14" s="29"/>
      <c r="H14" s="152">
        <v>285</v>
      </c>
      <c r="I14" s="151" t="s">
        <v>930</v>
      </c>
      <c r="J14" s="24">
        <v>1</v>
      </c>
      <c r="K14" s="24">
        <v>1</v>
      </c>
      <c r="L14" s="25" t="s">
        <v>37</v>
      </c>
      <c r="M14" s="30" t="s">
        <v>49</v>
      </c>
      <c r="N14" s="151" t="s">
        <v>50</v>
      </c>
      <c r="O14" s="152" t="s">
        <v>44</v>
      </c>
      <c r="P14" s="26">
        <v>0</v>
      </c>
      <c r="Q14" s="26">
        <v>0</v>
      </c>
      <c r="R14" s="26">
        <v>0</v>
      </c>
      <c r="S14" s="26">
        <v>0</v>
      </c>
      <c r="T14" s="26">
        <v>0</v>
      </c>
      <c r="U14" s="26">
        <v>0</v>
      </c>
      <c r="V14" s="26">
        <v>0</v>
      </c>
      <c r="W14" s="26"/>
      <c r="X14" s="26"/>
      <c r="Y14" s="26"/>
      <c r="Z14" s="26">
        <v>0</v>
      </c>
      <c r="AA14" s="26"/>
      <c r="AB14" s="26">
        <v>0</v>
      </c>
      <c r="AC14" s="26">
        <v>0</v>
      </c>
      <c r="AD14" s="26"/>
      <c r="AE14" s="26"/>
      <c r="AF14" s="26"/>
      <c r="AG14" s="26"/>
      <c r="AH14" s="26"/>
      <c r="AI14" s="26"/>
      <c r="AJ14" s="26">
        <v>0</v>
      </c>
      <c r="AK14" s="26">
        <v>0</v>
      </c>
      <c r="AL14" s="113">
        <v>60403055.337795399</v>
      </c>
      <c r="AM14" s="14"/>
      <c r="AN14" s="26">
        <v>0</v>
      </c>
      <c r="AO14" s="27">
        <v>0</v>
      </c>
      <c r="AP14" s="26">
        <f>P14+Q14+R14+S14+T14+U14+V14+W14+X14+Y14+Z14+AA14+AB14+AC14+AD14+AE14+AF14+AG14+AH14+AI14+AJ14+AK14+AL14+AM14+AN14+AO14</f>
        <v>60403055.337795399</v>
      </c>
    </row>
    <row r="15" spans="1:46" s="28" customFormat="1" ht="70.5" customHeight="1" x14ac:dyDescent="0.25">
      <c r="A15" s="22"/>
      <c r="B15" s="20"/>
      <c r="C15" s="150">
        <v>38</v>
      </c>
      <c r="D15" s="151" t="s">
        <v>45</v>
      </c>
      <c r="E15" s="152"/>
      <c r="F15" s="152"/>
      <c r="G15" s="31"/>
      <c r="H15" s="152">
        <v>280</v>
      </c>
      <c r="I15" s="151" t="s">
        <v>51</v>
      </c>
      <c r="J15" s="32">
        <v>0</v>
      </c>
      <c r="K15" s="32">
        <v>1</v>
      </c>
      <c r="L15" s="893" t="s">
        <v>37</v>
      </c>
      <c r="M15" s="939" t="s">
        <v>52</v>
      </c>
      <c r="N15" s="893" t="s">
        <v>53</v>
      </c>
      <c r="O15" s="152" t="s">
        <v>44</v>
      </c>
      <c r="P15" s="26">
        <v>0</v>
      </c>
      <c r="Q15" s="26">
        <v>0</v>
      </c>
      <c r="R15" s="26">
        <v>0</v>
      </c>
      <c r="S15" s="26">
        <v>0</v>
      </c>
      <c r="T15" s="26">
        <v>0</v>
      </c>
      <c r="U15" s="26">
        <v>0</v>
      </c>
      <c r="V15" s="26">
        <v>0</v>
      </c>
      <c r="W15" s="26"/>
      <c r="X15" s="26"/>
      <c r="Y15" s="26"/>
      <c r="Z15" s="26">
        <v>0</v>
      </c>
      <c r="AA15" s="26"/>
      <c r="AB15" s="26">
        <v>0</v>
      </c>
      <c r="AC15" s="26">
        <v>0</v>
      </c>
      <c r="AD15" s="26"/>
      <c r="AE15" s="26"/>
      <c r="AF15" s="26"/>
      <c r="AG15" s="26"/>
      <c r="AH15" s="26"/>
      <c r="AI15" s="26"/>
      <c r="AJ15" s="26">
        <v>0</v>
      </c>
      <c r="AK15" s="26">
        <v>0</v>
      </c>
      <c r="AL15" s="114">
        <f>20000000+50000000</f>
        <v>70000000</v>
      </c>
      <c r="AM15" s="33"/>
      <c r="AN15" s="26">
        <v>0</v>
      </c>
      <c r="AO15" s="27">
        <v>0</v>
      </c>
      <c r="AP15" s="26">
        <f>P15+Q15+R15+S15+T15+U15+V15+W15+X15+Y15+Z15+AA15+AB15+AC15+AD15+AE15+AF15+AG15+AH15+AI15+AJ15+AK15+AL15+AM15+AN15+AO15</f>
        <v>70000000</v>
      </c>
    </row>
    <row r="16" spans="1:46" s="28" customFormat="1" ht="65.25" customHeight="1" x14ac:dyDescent="0.25">
      <c r="A16" s="22"/>
      <c r="B16" s="20"/>
      <c r="C16" s="150"/>
      <c r="D16" s="151"/>
      <c r="E16" s="152"/>
      <c r="F16" s="152"/>
      <c r="G16" s="31"/>
      <c r="H16" s="152">
        <v>281</v>
      </c>
      <c r="I16" s="151" t="s">
        <v>54</v>
      </c>
      <c r="J16" s="32">
        <v>0</v>
      </c>
      <c r="K16" s="32">
        <v>1</v>
      </c>
      <c r="L16" s="894"/>
      <c r="M16" s="940"/>
      <c r="N16" s="894"/>
      <c r="O16" s="152" t="s">
        <v>44</v>
      </c>
      <c r="P16" s="26"/>
      <c r="Q16" s="26"/>
      <c r="R16" s="26"/>
      <c r="S16" s="26"/>
      <c r="T16" s="26"/>
      <c r="U16" s="26"/>
      <c r="V16" s="26"/>
      <c r="W16" s="26"/>
      <c r="X16" s="26"/>
      <c r="Y16" s="26"/>
      <c r="Z16" s="26"/>
      <c r="AA16" s="26"/>
      <c r="AB16" s="26"/>
      <c r="AC16" s="26"/>
      <c r="AD16" s="26"/>
      <c r="AE16" s="26"/>
      <c r="AF16" s="26"/>
      <c r="AG16" s="26"/>
      <c r="AH16" s="26"/>
      <c r="AI16" s="26"/>
      <c r="AJ16" s="26"/>
      <c r="AK16" s="26"/>
      <c r="AL16" s="114">
        <f>20000000+50000000</f>
        <v>70000000</v>
      </c>
      <c r="AM16" s="33"/>
      <c r="AN16" s="26"/>
      <c r="AO16" s="27"/>
      <c r="AP16" s="26">
        <f>P16+Q16+R16+S16+T16+U16+V16+W16+X16+Y16+Z16+AA16+AB16+AC16+AD16+AE16+AF16+AG16+AH16+AI16+AJ16+AK16+AL16+AM16+AN16+AO16</f>
        <v>70000000</v>
      </c>
    </row>
    <row r="17" spans="1:42" s="28" customFormat="1" ht="58.5" customHeight="1" x14ac:dyDescent="0.25">
      <c r="A17" s="22"/>
      <c r="B17" s="20"/>
      <c r="C17" s="150"/>
      <c r="D17" s="151"/>
      <c r="E17" s="152"/>
      <c r="F17" s="152"/>
      <c r="G17" s="31"/>
      <c r="H17" s="152">
        <v>286</v>
      </c>
      <c r="I17" s="151" t="s">
        <v>55</v>
      </c>
      <c r="J17" s="24">
        <v>1</v>
      </c>
      <c r="K17" s="24">
        <v>1</v>
      </c>
      <c r="L17" s="894"/>
      <c r="M17" s="940"/>
      <c r="N17" s="894"/>
      <c r="O17" s="152" t="s">
        <v>40</v>
      </c>
      <c r="P17" s="26"/>
      <c r="Q17" s="26"/>
      <c r="R17" s="26"/>
      <c r="S17" s="26"/>
      <c r="T17" s="26"/>
      <c r="U17" s="26"/>
      <c r="V17" s="26"/>
      <c r="W17" s="26"/>
      <c r="X17" s="26"/>
      <c r="Y17" s="26"/>
      <c r="Z17" s="26"/>
      <c r="AA17" s="26"/>
      <c r="AB17" s="26"/>
      <c r="AC17" s="26"/>
      <c r="AD17" s="26"/>
      <c r="AE17" s="26"/>
      <c r="AF17" s="26"/>
      <c r="AG17" s="26"/>
      <c r="AH17" s="26"/>
      <c r="AI17" s="26"/>
      <c r="AJ17" s="26"/>
      <c r="AK17" s="26"/>
      <c r="AL17" s="114">
        <f>40000000+100000000</f>
        <v>140000000</v>
      </c>
      <c r="AM17" s="33"/>
      <c r="AN17" s="26"/>
      <c r="AO17" s="27"/>
      <c r="AP17" s="26">
        <f>P17+Q17+R17+S17+T17+U17+V17+W17+X17+Y17+Z17+AA17+AB17+AC17+AD17+AE17+AF17+AG17+AH17+AI17+AJ17+AK17+AL17+AM17+AN17+AO17</f>
        <v>140000000</v>
      </c>
    </row>
    <row r="18" spans="1:42" s="28" customFormat="1" ht="42.75" x14ac:dyDescent="0.25">
      <c r="A18" s="22"/>
      <c r="B18" s="20"/>
      <c r="C18" s="150"/>
      <c r="D18" s="151"/>
      <c r="E18" s="152"/>
      <c r="F18" s="152"/>
      <c r="G18" s="31"/>
      <c r="H18" s="152">
        <v>287</v>
      </c>
      <c r="I18" s="151" t="s">
        <v>56</v>
      </c>
      <c r="J18" s="24">
        <v>1</v>
      </c>
      <c r="K18" s="24">
        <v>1</v>
      </c>
      <c r="L18" s="894"/>
      <c r="M18" s="940"/>
      <c r="N18" s="894"/>
      <c r="O18" s="152" t="s">
        <v>44</v>
      </c>
      <c r="P18" s="26"/>
      <c r="Q18" s="26"/>
      <c r="R18" s="26"/>
      <c r="S18" s="26"/>
      <c r="T18" s="26"/>
      <c r="U18" s="26"/>
      <c r="V18" s="26"/>
      <c r="W18" s="26"/>
      <c r="X18" s="26"/>
      <c r="Y18" s="26"/>
      <c r="Z18" s="26"/>
      <c r="AA18" s="26"/>
      <c r="AB18" s="26"/>
      <c r="AC18" s="26"/>
      <c r="AD18" s="26"/>
      <c r="AE18" s="26"/>
      <c r="AF18" s="26"/>
      <c r="AG18" s="26"/>
      <c r="AH18" s="26"/>
      <c r="AI18" s="26"/>
      <c r="AJ18" s="26"/>
      <c r="AK18" s="26"/>
      <c r="AL18" s="114">
        <f>57642632.7192573+100000000+100000000</f>
        <v>257642632.7192573</v>
      </c>
      <c r="AM18" s="33"/>
      <c r="AN18" s="26"/>
      <c r="AO18" s="27"/>
      <c r="AP18" s="26">
        <f>P18+Q18+R18+S18+T18+U18+V18+W18+X18+Y18+Z18+AA18+AB18+AC18+AD18+AE18+AF18+AG18+AH18+AI18+AJ18+AK18+AL18+AM18+AN18+AO18</f>
        <v>257642632.7192573</v>
      </c>
    </row>
    <row r="19" spans="1:42" s="28" customFormat="1" ht="52.5" customHeight="1" x14ac:dyDescent="0.25">
      <c r="A19" s="22"/>
      <c r="B19" s="20"/>
      <c r="C19" s="150"/>
      <c r="D19" s="151"/>
      <c r="E19" s="152"/>
      <c r="F19" s="152"/>
      <c r="G19" s="31"/>
      <c r="H19" s="152">
        <v>289</v>
      </c>
      <c r="I19" s="151" t="s">
        <v>898</v>
      </c>
      <c r="J19" s="24" t="s">
        <v>36</v>
      </c>
      <c r="K19" s="24">
        <v>1</v>
      </c>
      <c r="L19" s="895"/>
      <c r="M19" s="941"/>
      <c r="N19" s="895"/>
      <c r="O19" s="152" t="s">
        <v>40</v>
      </c>
      <c r="P19" s="26"/>
      <c r="Q19" s="26"/>
      <c r="R19" s="26"/>
      <c r="S19" s="26"/>
      <c r="T19" s="26"/>
      <c r="U19" s="26"/>
      <c r="V19" s="26"/>
      <c r="W19" s="26"/>
      <c r="X19" s="26"/>
      <c r="Y19" s="26"/>
      <c r="Z19" s="26"/>
      <c r="AA19" s="26"/>
      <c r="AB19" s="26"/>
      <c r="AC19" s="26"/>
      <c r="AD19" s="26"/>
      <c r="AE19" s="26"/>
      <c r="AF19" s="26"/>
      <c r="AG19" s="26"/>
      <c r="AH19" s="26"/>
      <c r="AI19" s="26"/>
      <c r="AJ19" s="26"/>
      <c r="AK19" s="26"/>
      <c r="AL19" s="114">
        <f>1500000000-100000000</f>
        <v>1400000000</v>
      </c>
      <c r="AM19" s="33"/>
      <c r="AN19" s="26"/>
      <c r="AO19" s="27"/>
      <c r="AP19" s="26">
        <f>P19+Q19+R19+S19+T19+U19+V19+W19+X19+Y19+Z19+AA19+AB19+AC19+AD19+AE19+AF19+AG19+AH19+AI19+AJ19+AK19+AL19+AM19+AN19+AO19</f>
        <v>1400000000</v>
      </c>
    </row>
    <row r="20" spans="1:42" s="196" customFormat="1" ht="15" x14ac:dyDescent="0.25">
      <c r="A20" s="22"/>
      <c r="B20" s="189"/>
      <c r="C20" s="848"/>
      <c r="D20" s="224"/>
      <c r="E20" s="224"/>
      <c r="F20" s="225"/>
      <c r="G20" s="191"/>
      <c r="H20" s="192"/>
      <c r="I20" s="191"/>
      <c r="J20" s="193"/>
      <c r="K20" s="193"/>
      <c r="L20" s="193"/>
      <c r="M20" s="194"/>
      <c r="N20" s="191"/>
      <c r="O20" s="192"/>
      <c r="P20" s="195">
        <f>SUM(P11:P19)</f>
        <v>0</v>
      </c>
      <c r="Q20" s="195">
        <f t="shared" ref="Q20:AK20" si="0">SUM(Q11:Q19)</f>
        <v>0</v>
      </c>
      <c r="R20" s="195">
        <f t="shared" si="0"/>
        <v>0</v>
      </c>
      <c r="S20" s="195">
        <f t="shared" si="0"/>
        <v>0</v>
      </c>
      <c r="T20" s="195">
        <f t="shared" si="0"/>
        <v>0</v>
      </c>
      <c r="U20" s="195">
        <f t="shared" si="0"/>
        <v>0</v>
      </c>
      <c r="V20" s="195">
        <f t="shared" si="0"/>
        <v>0</v>
      </c>
      <c r="W20" s="195">
        <f t="shared" si="0"/>
        <v>0</v>
      </c>
      <c r="X20" s="195">
        <f t="shared" si="0"/>
        <v>0</v>
      </c>
      <c r="Y20" s="195">
        <f t="shared" si="0"/>
        <v>0</v>
      </c>
      <c r="Z20" s="195">
        <f t="shared" si="0"/>
        <v>0</v>
      </c>
      <c r="AA20" s="195">
        <f t="shared" si="0"/>
        <v>0</v>
      </c>
      <c r="AB20" s="195">
        <f t="shared" si="0"/>
        <v>0</v>
      </c>
      <c r="AC20" s="195">
        <f t="shared" si="0"/>
        <v>0</v>
      </c>
      <c r="AD20" s="195">
        <f t="shared" si="0"/>
        <v>0</v>
      </c>
      <c r="AE20" s="195">
        <f t="shared" si="0"/>
        <v>0</v>
      </c>
      <c r="AF20" s="195">
        <f t="shared" si="0"/>
        <v>0</v>
      </c>
      <c r="AG20" s="195">
        <f t="shared" si="0"/>
        <v>0</v>
      </c>
      <c r="AH20" s="195">
        <f t="shared" si="0"/>
        <v>0</v>
      </c>
      <c r="AI20" s="195">
        <f t="shared" si="0"/>
        <v>0</v>
      </c>
      <c r="AJ20" s="195">
        <f t="shared" si="0"/>
        <v>0</v>
      </c>
      <c r="AK20" s="195">
        <f t="shared" si="0"/>
        <v>0</v>
      </c>
      <c r="AL20" s="195">
        <f t="shared" ref="AL20:AP20" si="1">SUM(AL11:AL19)</f>
        <v>2154647400.7573271</v>
      </c>
      <c r="AM20" s="195">
        <f t="shared" si="1"/>
        <v>0</v>
      </c>
      <c r="AN20" s="195">
        <f t="shared" si="1"/>
        <v>0</v>
      </c>
      <c r="AO20" s="195">
        <f t="shared" si="1"/>
        <v>0</v>
      </c>
      <c r="AP20" s="195">
        <f t="shared" si="1"/>
        <v>2154647400.7573271</v>
      </c>
    </row>
    <row r="21" spans="1:42" s="196" customFormat="1" ht="15" x14ac:dyDescent="0.25">
      <c r="A21" s="197"/>
      <c r="B21" s="198"/>
      <c r="C21" s="199"/>
      <c r="D21" s="198"/>
      <c r="E21" s="199"/>
      <c r="F21" s="199"/>
      <c r="G21" s="198"/>
      <c r="H21" s="199"/>
      <c r="I21" s="198"/>
      <c r="J21" s="200"/>
      <c r="K21" s="200"/>
      <c r="L21" s="200"/>
      <c r="M21" s="201"/>
      <c r="N21" s="198"/>
      <c r="O21" s="199"/>
      <c r="P21" s="202">
        <f t="shared" ref="P21:AK21" si="2">P20</f>
        <v>0</v>
      </c>
      <c r="Q21" s="202">
        <f t="shared" si="2"/>
        <v>0</v>
      </c>
      <c r="R21" s="202">
        <f t="shared" si="2"/>
        <v>0</v>
      </c>
      <c r="S21" s="202">
        <f t="shared" si="2"/>
        <v>0</v>
      </c>
      <c r="T21" s="202">
        <f t="shared" si="2"/>
        <v>0</v>
      </c>
      <c r="U21" s="202">
        <f t="shared" si="2"/>
        <v>0</v>
      </c>
      <c r="V21" s="202">
        <f t="shared" si="2"/>
        <v>0</v>
      </c>
      <c r="W21" s="202">
        <f t="shared" si="2"/>
        <v>0</v>
      </c>
      <c r="X21" s="202">
        <f t="shared" si="2"/>
        <v>0</v>
      </c>
      <c r="Y21" s="202">
        <f t="shared" si="2"/>
        <v>0</v>
      </c>
      <c r="Z21" s="202">
        <f t="shared" si="2"/>
        <v>0</v>
      </c>
      <c r="AA21" s="202">
        <f t="shared" si="2"/>
        <v>0</v>
      </c>
      <c r="AB21" s="202">
        <f t="shared" si="2"/>
        <v>0</v>
      </c>
      <c r="AC21" s="202">
        <f t="shared" si="2"/>
        <v>0</v>
      </c>
      <c r="AD21" s="202">
        <f t="shared" si="2"/>
        <v>0</v>
      </c>
      <c r="AE21" s="202">
        <f t="shared" si="2"/>
        <v>0</v>
      </c>
      <c r="AF21" s="202">
        <f t="shared" si="2"/>
        <v>0</v>
      </c>
      <c r="AG21" s="202">
        <f t="shared" si="2"/>
        <v>0</v>
      </c>
      <c r="AH21" s="202">
        <f t="shared" si="2"/>
        <v>0</v>
      </c>
      <c r="AI21" s="202">
        <f t="shared" si="2"/>
        <v>0</v>
      </c>
      <c r="AJ21" s="202">
        <f t="shared" si="2"/>
        <v>0</v>
      </c>
      <c r="AK21" s="202">
        <f t="shared" si="2"/>
        <v>0</v>
      </c>
      <c r="AL21" s="202">
        <f t="shared" ref="AL21:AP21" si="3">AL20</f>
        <v>2154647400.7573271</v>
      </c>
      <c r="AM21" s="202">
        <f t="shared" si="3"/>
        <v>0</v>
      </c>
      <c r="AN21" s="202">
        <f t="shared" si="3"/>
        <v>0</v>
      </c>
      <c r="AO21" s="202">
        <f t="shared" si="3"/>
        <v>0</v>
      </c>
      <c r="AP21" s="202">
        <f t="shared" si="3"/>
        <v>2154647400.7573271</v>
      </c>
    </row>
    <row r="22" spans="1:42" s="196" customFormat="1" ht="15" x14ac:dyDescent="0.25">
      <c r="A22" s="203"/>
      <c r="B22" s="203"/>
      <c r="C22" s="204"/>
      <c r="D22" s="203"/>
      <c r="E22" s="204"/>
      <c r="F22" s="204"/>
      <c r="G22" s="203"/>
      <c r="H22" s="204"/>
      <c r="I22" s="203"/>
      <c r="J22" s="205"/>
      <c r="K22" s="205"/>
      <c r="L22" s="205"/>
      <c r="M22" s="206"/>
      <c r="N22" s="203"/>
      <c r="O22" s="204"/>
      <c r="P22" s="207">
        <f t="shared" ref="P22:AK22" si="4">+P21</f>
        <v>0</v>
      </c>
      <c r="Q22" s="207">
        <f t="shared" si="4"/>
        <v>0</v>
      </c>
      <c r="R22" s="207">
        <f t="shared" si="4"/>
        <v>0</v>
      </c>
      <c r="S22" s="207">
        <f t="shared" si="4"/>
        <v>0</v>
      </c>
      <c r="T22" s="207">
        <f t="shared" si="4"/>
        <v>0</v>
      </c>
      <c r="U22" s="207">
        <f t="shared" si="4"/>
        <v>0</v>
      </c>
      <c r="V22" s="207">
        <f t="shared" si="4"/>
        <v>0</v>
      </c>
      <c r="W22" s="207">
        <f t="shared" si="4"/>
        <v>0</v>
      </c>
      <c r="X22" s="207">
        <f t="shared" si="4"/>
        <v>0</v>
      </c>
      <c r="Y22" s="207">
        <f t="shared" si="4"/>
        <v>0</v>
      </c>
      <c r="Z22" s="207">
        <f t="shared" si="4"/>
        <v>0</v>
      </c>
      <c r="AA22" s="207">
        <f t="shared" si="4"/>
        <v>0</v>
      </c>
      <c r="AB22" s="207">
        <f t="shared" si="4"/>
        <v>0</v>
      </c>
      <c r="AC22" s="207">
        <f t="shared" si="4"/>
        <v>0</v>
      </c>
      <c r="AD22" s="207">
        <f t="shared" si="4"/>
        <v>0</v>
      </c>
      <c r="AE22" s="207">
        <f t="shared" si="4"/>
        <v>0</v>
      </c>
      <c r="AF22" s="207">
        <f t="shared" si="4"/>
        <v>0</v>
      </c>
      <c r="AG22" s="207">
        <f t="shared" si="4"/>
        <v>0</v>
      </c>
      <c r="AH22" s="207">
        <f t="shared" si="4"/>
        <v>0</v>
      </c>
      <c r="AI22" s="207">
        <f t="shared" si="4"/>
        <v>0</v>
      </c>
      <c r="AJ22" s="207">
        <f t="shared" si="4"/>
        <v>0</v>
      </c>
      <c r="AK22" s="207">
        <f t="shared" si="4"/>
        <v>0</v>
      </c>
      <c r="AL22" s="207">
        <f t="shared" ref="AL22:AP22" si="5">+AL21</f>
        <v>2154647400.7573271</v>
      </c>
      <c r="AM22" s="207">
        <f t="shared" si="5"/>
        <v>0</v>
      </c>
      <c r="AN22" s="207">
        <f t="shared" si="5"/>
        <v>0</v>
      </c>
      <c r="AO22" s="207">
        <f t="shared" si="5"/>
        <v>0</v>
      </c>
      <c r="AP22" s="207">
        <f t="shared" si="5"/>
        <v>2154647400.7573271</v>
      </c>
    </row>
    <row r="23" spans="1:42" s="196" customFormat="1" ht="15" x14ac:dyDescent="0.25">
      <c r="A23" s="208"/>
      <c r="B23" s="208"/>
      <c r="C23" s="209"/>
      <c r="D23" s="208"/>
      <c r="E23" s="209"/>
      <c r="F23" s="209"/>
      <c r="G23" s="208"/>
      <c r="H23" s="209"/>
      <c r="I23" s="208"/>
      <c r="J23" s="210"/>
      <c r="K23" s="210"/>
      <c r="L23" s="210"/>
      <c r="M23" s="211"/>
      <c r="N23" s="208"/>
      <c r="O23" s="209"/>
      <c r="P23" s="212">
        <f t="shared" ref="P23:AK23" si="6">P22</f>
        <v>0</v>
      </c>
      <c r="Q23" s="212">
        <f t="shared" si="6"/>
        <v>0</v>
      </c>
      <c r="R23" s="212">
        <f t="shared" si="6"/>
        <v>0</v>
      </c>
      <c r="S23" s="212">
        <f t="shared" si="6"/>
        <v>0</v>
      </c>
      <c r="T23" s="212">
        <f t="shared" si="6"/>
        <v>0</v>
      </c>
      <c r="U23" s="212">
        <f t="shared" si="6"/>
        <v>0</v>
      </c>
      <c r="V23" s="212">
        <f t="shared" si="6"/>
        <v>0</v>
      </c>
      <c r="W23" s="212">
        <f t="shared" si="6"/>
        <v>0</v>
      </c>
      <c r="X23" s="212">
        <f t="shared" si="6"/>
        <v>0</v>
      </c>
      <c r="Y23" s="212">
        <f t="shared" si="6"/>
        <v>0</v>
      </c>
      <c r="Z23" s="212">
        <f t="shared" si="6"/>
        <v>0</v>
      </c>
      <c r="AA23" s="212">
        <f t="shared" si="6"/>
        <v>0</v>
      </c>
      <c r="AB23" s="212">
        <f t="shared" si="6"/>
        <v>0</v>
      </c>
      <c r="AC23" s="212">
        <f t="shared" si="6"/>
        <v>0</v>
      </c>
      <c r="AD23" s="212">
        <f t="shared" si="6"/>
        <v>0</v>
      </c>
      <c r="AE23" s="212">
        <f t="shared" si="6"/>
        <v>0</v>
      </c>
      <c r="AF23" s="212">
        <f t="shared" si="6"/>
        <v>0</v>
      </c>
      <c r="AG23" s="212">
        <f t="shared" si="6"/>
        <v>0</v>
      </c>
      <c r="AH23" s="212">
        <f t="shared" si="6"/>
        <v>0</v>
      </c>
      <c r="AI23" s="212">
        <f t="shared" si="6"/>
        <v>0</v>
      </c>
      <c r="AJ23" s="212">
        <f t="shared" si="6"/>
        <v>0</v>
      </c>
      <c r="AK23" s="212">
        <f t="shared" si="6"/>
        <v>0</v>
      </c>
      <c r="AL23" s="212">
        <f t="shared" ref="AL23:AP23" si="7">AL22</f>
        <v>2154647400.7573271</v>
      </c>
      <c r="AM23" s="212">
        <f t="shared" si="7"/>
        <v>0</v>
      </c>
      <c r="AN23" s="212">
        <f t="shared" si="7"/>
        <v>0</v>
      </c>
      <c r="AO23" s="212">
        <f t="shared" si="7"/>
        <v>0</v>
      </c>
      <c r="AP23" s="212">
        <f t="shared" si="7"/>
        <v>2154647400.7573271</v>
      </c>
    </row>
    <row r="24" spans="1:42" s="28" customFormat="1" ht="15" x14ac:dyDescent="0.25">
      <c r="A24" s="213"/>
      <c r="B24" s="214"/>
      <c r="C24" s="454"/>
      <c r="D24" s="214"/>
      <c r="E24" s="454"/>
      <c r="F24" s="454"/>
      <c r="G24" s="214"/>
      <c r="H24" s="454"/>
      <c r="I24" s="214"/>
      <c r="J24" s="215"/>
      <c r="K24" s="215"/>
      <c r="L24" s="215"/>
      <c r="M24" s="216"/>
      <c r="N24" s="214"/>
      <c r="O24" s="454"/>
      <c r="P24" s="217"/>
      <c r="Q24" s="217"/>
      <c r="R24" s="217"/>
      <c r="S24" s="217"/>
      <c r="T24" s="217"/>
      <c r="U24" s="217"/>
      <c r="V24" s="217"/>
      <c r="W24" s="217"/>
      <c r="X24" s="217"/>
      <c r="Y24" s="217"/>
      <c r="Z24" s="217"/>
      <c r="AA24" s="217"/>
      <c r="AB24" s="217"/>
      <c r="AC24" s="217"/>
      <c r="AD24" s="218"/>
      <c r="AE24" s="218"/>
      <c r="AF24" s="218"/>
      <c r="AG24" s="218"/>
      <c r="AH24" s="218"/>
      <c r="AI24" s="218"/>
      <c r="AJ24" s="217"/>
      <c r="AK24" s="217"/>
      <c r="AL24" s="219"/>
      <c r="AM24" s="220"/>
      <c r="AN24" s="217"/>
      <c r="AO24" s="217"/>
      <c r="AP24" s="221"/>
    </row>
    <row r="25" spans="1:42" s="48" customFormat="1" ht="20.25" x14ac:dyDescent="0.25">
      <c r="A25" s="165" t="s">
        <v>57</v>
      </c>
      <c r="B25" s="166"/>
      <c r="C25" s="167"/>
      <c r="D25" s="166"/>
      <c r="E25" s="166"/>
      <c r="F25" s="166"/>
      <c r="G25" s="166"/>
      <c r="H25" s="167"/>
      <c r="I25" s="166"/>
      <c r="J25" s="166"/>
      <c r="K25" s="166"/>
      <c r="L25" s="166"/>
      <c r="M25" s="168"/>
      <c r="N25" s="166"/>
      <c r="O25" s="167"/>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9"/>
      <c r="AM25" s="170"/>
      <c r="AN25" s="166"/>
      <c r="AO25" s="166"/>
      <c r="AP25" s="172" t="s">
        <v>0</v>
      </c>
    </row>
    <row r="26" spans="1:42" s="196" customFormat="1" x14ac:dyDescent="0.25">
      <c r="A26" s="173">
        <v>5</v>
      </c>
      <c r="B26" s="174" t="s">
        <v>32</v>
      </c>
      <c r="C26" s="175"/>
      <c r="D26" s="174"/>
      <c r="E26" s="174"/>
      <c r="F26" s="174"/>
      <c r="G26" s="174"/>
      <c r="H26" s="175"/>
      <c r="I26" s="174"/>
      <c r="J26" s="174"/>
      <c r="K26" s="174"/>
      <c r="L26" s="174"/>
      <c r="M26" s="176"/>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7"/>
      <c r="AM26" s="174"/>
      <c r="AN26" s="174"/>
      <c r="AO26" s="174"/>
      <c r="AP26" s="178"/>
    </row>
    <row r="27" spans="1:42" s="196" customFormat="1" x14ac:dyDescent="0.25">
      <c r="A27" s="222"/>
      <c r="B27" s="181">
        <v>26</v>
      </c>
      <c r="C27" s="181" t="s">
        <v>58</v>
      </c>
      <c r="D27" s="182"/>
      <c r="E27" s="182"/>
      <c r="F27" s="182"/>
      <c r="G27" s="182"/>
      <c r="H27" s="183"/>
      <c r="I27" s="182"/>
      <c r="J27" s="182"/>
      <c r="K27" s="182"/>
      <c r="L27" s="182"/>
      <c r="M27" s="184"/>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5"/>
      <c r="AM27" s="182"/>
      <c r="AN27" s="182"/>
      <c r="AO27" s="182"/>
      <c r="AP27" s="186"/>
    </row>
    <row r="28" spans="1:42" s="196" customFormat="1" x14ac:dyDescent="0.25">
      <c r="A28" s="35"/>
      <c r="B28" s="223"/>
      <c r="C28" s="848"/>
      <c r="D28" s="224"/>
      <c r="E28" s="224"/>
      <c r="F28" s="225"/>
      <c r="G28" s="226">
        <v>83</v>
      </c>
      <c r="H28" s="317" t="s">
        <v>59</v>
      </c>
      <c r="I28" s="227"/>
      <c r="J28" s="227"/>
      <c r="K28" s="227"/>
      <c r="L28" s="227"/>
      <c r="M28" s="228"/>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9"/>
      <c r="AM28" s="227"/>
      <c r="AN28" s="227"/>
      <c r="AO28" s="227"/>
      <c r="AP28" s="230"/>
    </row>
    <row r="29" spans="1:42" s="28" customFormat="1" ht="110.25" customHeight="1" x14ac:dyDescent="0.25">
      <c r="A29" s="35"/>
      <c r="B29" s="20"/>
      <c r="C29" s="152">
        <v>37</v>
      </c>
      <c r="D29" s="36" t="s">
        <v>60</v>
      </c>
      <c r="E29" s="37" t="s">
        <v>642</v>
      </c>
      <c r="F29" s="34">
        <v>0.6</v>
      </c>
      <c r="G29" s="151"/>
      <c r="H29" s="152">
        <v>246</v>
      </c>
      <c r="I29" s="151" t="s">
        <v>62</v>
      </c>
      <c r="J29" s="24" t="s">
        <v>36</v>
      </c>
      <c r="K29" s="24">
        <v>13</v>
      </c>
      <c r="L29" s="25" t="s">
        <v>37</v>
      </c>
      <c r="M29" s="38" t="s">
        <v>63</v>
      </c>
      <c r="N29" s="151" t="s">
        <v>64</v>
      </c>
      <c r="O29" s="152" t="s">
        <v>44</v>
      </c>
      <c r="P29" s="26">
        <v>0</v>
      </c>
      <c r="Q29" s="26">
        <v>0</v>
      </c>
      <c r="R29" s="26">
        <v>0</v>
      </c>
      <c r="S29" s="26">
        <v>0</v>
      </c>
      <c r="T29" s="26">
        <v>0</v>
      </c>
      <c r="U29" s="26">
        <v>0</v>
      </c>
      <c r="V29" s="26">
        <v>0</v>
      </c>
      <c r="W29" s="26"/>
      <c r="X29" s="26"/>
      <c r="Y29" s="26"/>
      <c r="Z29" s="26">
        <v>0</v>
      </c>
      <c r="AA29" s="26"/>
      <c r="AB29" s="26">
        <v>0</v>
      </c>
      <c r="AC29" s="26">
        <v>0</v>
      </c>
      <c r="AD29" s="26"/>
      <c r="AE29" s="26"/>
      <c r="AF29" s="26"/>
      <c r="AG29" s="26"/>
      <c r="AH29" s="26"/>
      <c r="AI29" s="26"/>
      <c r="AJ29" s="26">
        <v>0</v>
      </c>
      <c r="AK29" s="26">
        <v>0</v>
      </c>
      <c r="AL29" s="115">
        <v>30000000</v>
      </c>
      <c r="AM29" s="11"/>
      <c r="AN29" s="26">
        <v>0</v>
      </c>
      <c r="AO29" s="27">
        <v>0</v>
      </c>
      <c r="AP29" s="26">
        <f>P29+Q29+R29+S29+T29+U29+V29+W29+X29+Y29+Z29+AA29+AB29+AC29+AD29+AE29+AF29+AG29+AH29+AI29+AJ29+AK29+AL29+AM29+AN29+AO29</f>
        <v>30000000</v>
      </c>
    </row>
    <row r="30" spans="1:42" s="196" customFormat="1" ht="15" x14ac:dyDescent="0.25">
      <c r="A30" s="35"/>
      <c r="B30" s="20"/>
      <c r="C30" s="848"/>
      <c r="D30" s="224"/>
      <c r="E30" s="224"/>
      <c r="F30" s="225"/>
      <c r="G30" s="231"/>
      <c r="H30" s="232"/>
      <c r="I30" s="233"/>
      <c r="J30" s="234"/>
      <c r="K30" s="234"/>
      <c r="L30" s="235"/>
      <c r="M30" s="236"/>
      <c r="N30" s="233"/>
      <c r="O30" s="232"/>
      <c r="P30" s="237">
        <f t="shared" ref="P30:AO30" si="8">SUM(P29)</f>
        <v>0</v>
      </c>
      <c r="Q30" s="237">
        <f t="shared" si="8"/>
        <v>0</v>
      </c>
      <c r="R30" s="237">
        <f t="shared" si="8"/>
        <v>0</v>
      </c>
      <c r="S30" s="237">
        <f t="shared" si="8"/>
        <v>0</v>
      </c>
      <c r="T30" s="237">
        <f t="shared" si="8"/>
        <v>0</v>
      </c>
      <c r="U30" s="237">
        <f t="shared" si="8"/>
        <v>0</v>
      </c>
      <c r="V30" s="237">
        <f t="shared" si="8"/>
        <v>0</v>
      </c>
      <c r="W30" s="237">
        <f t="shared" si="8"/>
        <v>0</v>
      </c>
      <c r="X30" s="237">
        <f t="shared" si="8"/>
        <v>0</v>
      </c>
      <c r="Y30" s="237">
        <f t="shared" si="8"/>
        <v>0</v>
      </c>
      <c r="Z30" s="237">
        <f t="shared" si="8"/>
        <v>0</v>
      </c>
      <c r="AA30" s="237">
        <f t="shared" si="8"/>
        <v>0</v>
      </c>
      <c r="AB30" s="237">
        <f t="shared" si="8"/>
        <v>0</v>
      </c>
      <c r="AC30" s="237">
        <f t="shared" si="8"/>
        <v>0</v>
      </c>
      <c r="AD30" s="237">
        <f t="shared" si="8"/>
        <v>0</v>
      </c>
      <c r="AE30" s="237">
        <f t="shared" si="8"/>
        <v>0</v>
      </c>
      <c r="AF30" s="237">
        <f t="shared" si="8"/>
        <v>0</v>
      </c>
      <c r="AG30" s="237">
        <f t="shared" si="8"/>
        <v>0</v>
      </c>
      <c r="AH30" s="237">
        <f t="shared" si="8"/>
        <v>0</v>
      </c>
      <c r="AI30" s="237">
        <f t="shared" si="8"/>
        <v>0</v>
      </c>
      <c r="AJ30" s="237">
        <f t="shared" si="8"/>
        <v>0</v>
      </c>
      <c r="AK30" s="237">
        <f t="shared" si="8"/>
        <v>0</v>
      </c>
      <c r="AL30" s="237">
        <f t="shared" si="8"/>
        <v>30000000</v>
      </c>
      <c r="AM30" s="237">
        <f t="shared" si="8"/>
        <v>0</v>
      </c>
      <c r="AN30" s="237">
        <f t="shared" si="8"/>
        <v>0</v>
      </c>
      <c r="AO30" s="237">
        <f t="shared" si="8"/>
        <v>0</v>
      </c>
      <c r="AP30" s="237">
        <f>SUM(AP29)</f>
        <v>30000000</v>
      </c>
    </row>
    <row r="31" spans="1:42" s="28" customFormat="1" ht="15" x14ac:dyDescent="0.25">
      <c r="A31" s="35"/>
      <c r="B31" s="20"/>
      <c r="C31" s="152"/>
      <c r="D31" s="214"/>
      <c r="E31" s="454"/>
      <c r="F31" s="454"/>
      <c r="G31" s="214"/>
      <c r="H31" s="454"/>
      <c r="I31" s="214"/>
      <c r="J31" s="215"/>
      <c r="K31" s="215"/>
      <c r="L31" s="215"/>
      <c r="M31" s="216"/>
      <c r="N31" s="214"/>
      <c r="O31" s="454"/>
      <c r="P31" s="217"/>
      <c r="Q31" s="217"/>
      <c r="R31" s="217"/>
      <c r="S31" s="217"/>
      <c r="T31" s="217"/>
      <c r="U31" s="217"/>
      <c r="V31" s="217"/>
      <c r="W31" s="217"/>
      <c r="X31" s="217"/>
      <c r="Y31" s="217"/>
      <c r="Z31" s="217"/>
      <c r="AA31" s="217"/>
      <c r="AB31" s="217"/>
      <c r="AC31" s="217"/>
      <c r="AD31" s="218"/>
      <c r="AE31" s="218"/>
      <c r="AF31" s="218"/>
      <c r="AG31" s="218"/>
      <c r="AH31" s="218"/>
      <c r="AI31" s="218"/>
      <c r="AJ31" s="217"/>
      <c r="AK31" s="217"/>
      <c r="AL31" s="219"/>
      <c r="AM31" s="220"/>
      <c r="AN31" s="217"/>
      <c r="AO31" s="217"/>
      <c r="AP31" s="238"/>
    </row>
    <row r="32" spans="1:42" s="28" customFormat="1" x14ac:dyDescent="0.25">
      <c r="A32" s="35"/>
      <c r="B32" s="20"/>
      <c r="C32" s="848"/>
      <c r="D32" s="224"/>
      <c r="E32" s="224"/>
      <c r="F32" s="225"/>
      <c r="G32" s="239">
        <v>84</v>
      </c>
      <c r="H32" s="240" t="s">
        <v>65</v>
      </c>
      <c r="I32" s="241"/>
      <c r="J32" s="241"/>
      <c r="K32" s="241"/>
      <c r="L32" s="241"/>
      <c r="M32" s="242"/>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3"/>
      <c r="AM32" s="241"/>
      <c r="AN32" s="241"/>
      <c r="AO32" s="241"/>
      <c r="AP32" s="244"/>
    </row>
    <row r="33" spans="1:42" s="28" customFormat="1" ht="114" customHeight="1" x14ac:dyDescent="0.25">
      <c r="A33" s="35"/>
      <c r="B33" s="20"/>
      <c r="C33" s="150">
        <v>37</v>
      </c>
      <c r="D33" s="151" t="s">
        <v>60</v>
      </c>
      <c r="E33" s="37" t="s">
        <v>642</v>
      </c>
      <c r="F33" s="34">
        <v>0.6</v>
      </c>
      <c r="G33" s="151"/>
      <c r="H33" s="152">
        <v>248</v>
      </c>
      <c r="I33" s="151" t="s">
        <v>66</v>
      </c>
      <c r="J33" s="24" t="s">
        <v>36</v>
      </c>
      <c r="K33" s="24">
        <v>12</v>
      </c>
      <c r="L33" s="25" t="s">
        <v>37</v>
      </c>
      <c r="M33" s="38" t="s">
        <v>67</v>
      </c>
      <c r="N33" s="151" t="s">
        <v>68</v>
      </c>
      <c r="O33" s="152" t="s">
        <v>44</v>
      </c>
      <c r="P33" s="26">
        <v>0</v>
      </c>
      <c r="Q33" s="26">
        <v>0</v>
      </c>
      <c r="R33" s="26">
        <v>0</v>
      </c>
      <c r="S33" s="26">
        <v>0</v>
      </c>
      <c r="T33" s="26">
        <v>0</v>
      </c>
      <c r="U33" s="26">
        <v>0</v>
      </c>
      <c r="V33" s="26">
        <v>0</v>
      </c>
      <c r="W33" s="26"/>
      <c r="X33" s="26"/>
      <c r="Y33" s="26"/>
      <c r="Z33" s="26">
        <v>0</v>
      </c>
      <c r="AA33" s="26"/>
      <c r="AB33" s="26">
        <v>0</v>
      </c>
      <c r="AC33" s="26">
        <v>0</v>
      </c>
      <c r="AD33" s="26"/>
      <c r="AE33" s="26"/>
      <c r="AF33" s="26"/>
      <c r="AG33" s="26"/>
      <c r="AH33" s="26"/>
      <c r="AI33" s="26"/>
      <c r="AJ33" s="26">
        <v>0</v>
      </c>
      <c r="AK33" s="26">
        <v>0</v>
      </c>
      <c r="AL33" s="113">
        <v>40000000</v>
      </c>
      <c r="AM33" s="14"/>
      <c r="AN33" s="26">
        <v>0</v>
      </c>
      <c r="AO33" s="27">
        <v>0</v>
      </c>
      <c r="AP33" s="26">
        <f>P33+Q33+R33+S33+T33+U33+V33+W33+X33+Y33+Z33+AA33+AB33+AC33+AD33+AE33+AF33+AG33+AH33+AI33+AJ33+AK33+AL33+AM33+AN33+AO33</f>
        <v>40000000</v>
      </c>
    </row>
    <row r="34" spans="1:42" s="48" customFormat="1" ht="20.25" x14ac:dyDescent="0.25">
      <c r="A34" s="35"/>
      <c r="B34" s="189"/>
      <c r="C34" s="848"/>
      <c r="D34" s="224"/>
      <c r="E34" s="224"/>
      <c r="F34" s="225"/>
      <c r="G34" s="191"/>
      <c r="H34" s="192"/>
      <c r="I34" s="191"/>
      <c r="J34" s="193"/>
      <c r="K34" s="193"/>
      <c r="L34" s="193"/>
      <c r="M34" s="194"/>
      <c r="N34" s="191"/>
      <c r="O34" s="192"/>
      <c r="P34" s="195">
        <f t="shared" ref="P34:AK34" si="9">P33</f>
        <v>0</v>
      </c>
      <c r="Q34" s="195">
        <f t="shared" si="9"/>
        <v>0</v>
      </c>
      <c r="R34" s="195">
        <f t="shared" si="9"/>
        <v>0</v>
      </c>
      <c r="S34" s="195">
        <f t="shared" si="9"/>
        <v>0</v>
      </c>
      <c r="T34" s="195">
        <f t="shared" si="9"/>
        <v>0</v>
      </c>
      <c r="U34" s="195">
        <f t="shared" si="9"/>
        <v>0</v>
      </c>
      <c r="V34" s="195">
        <f t="shared" si="9"/>
        <v>0</v>
      </c>
      <c r="W34" s="195">
        <f t="shared" si="9"/>
        <v>0</v>
      </c>
      <c r="X34" s="195">
        <f t="shared" si="9"/>
        <v>0</v>
      </c>
      <c r="Y34" s="195">
        <f t="shared" si="9"/>
        <v>0</v>
      </c>
      <c r="Z34" s="195">
        <f t="shared" si="9"/>
        <v>0</v>
      </c>
      <c r="AA34" s="195">
        <f t="shared" si="9"/>
        <v>0</v>
      </c>
      <c r="AB34" s="195">
        <f t="shared" si="9"/>
        <v>0</v>
      </c>
      <c r="AC34" s="195">
        <f t="shared" si="9"/>
        <v>0</v>
      </c>
      <c r="AD34" s="195">
        <f t="shared" si="9"/>
        <v>0</v>
      </c>
      <c r="AE34" s="195">
        <f t="shared" si="9"/>
        <v>0</v>
      </c>
      <c r="AF34" s="195">
        <f t="shared" si="9"/>
        <v>0</v>
      </c>
      <c r="AG34" s="195">
        <f t="shared" si="9"/>
        <v>0</v>
      </c>
      <c r="AH34" s="195">
        <f t="shared" si="9"/>
        <v>0</v>
      </c>
      <c r="AI34" s="195">
        <f t="shared" si="9"/>
        <v>0</v>
      </c>
      <c r="AJ34" s="195">
        <f t="shared" si="9"/>
        <v>0</v>
      </c>
      <c r="AK34" s="195">
        <f t="shared" si="9"/>
        <v>0</v>
      </c>
      <c r="AL34" s="195">
        <f t="shared" ref="AL34:AP34" si="10">AL33</f>
        <v>40000000</v>
      </c>
      <c r="AM34" s="195">
        <f t="shared" si="10"/>
        <v>0</v>
      </c>
      <c r="AN34" s="195">
        <f t="shared" si="10"/>
        <v>0</v>
      </c>
      <c r="AO34" s="195">
        <f t="shared" si="10"/>
        <v>0</v>
      </c>
      <c r="AP34" s="195">
        <f t="shared" si="10"/>
        <v>40000000</v>
      </c>
    </row>
    <row r="35" spans="1:42" s="196" customFormat="1" ht="15" x14ac:dyDescent="0.25">
      <c r="A35" s="35"/>
      <c r="B35" s="245"/>
      <c r="C35" s="246"/>
      <c r="D35" s="245"/>
      <c r="E35" s="246"/>
      <c r="F35" s="246"/>
      <c r="G35" s="245"/>
      <c r="H35" s="246"/>
      <c r="I35" s="245"/>
      <c r="J35" s="247"/>
      <c r="K35" s="247"/>
      <c r="L35" s="248"/>
      <c r="M35" s="249"/>
      <c r="N35" s="245"/>
      <c r="O35" s="246"/>
      <c r="P35" s="250">
        <f t="shared" ref="P35:AK35" si="11">P30+P34</f>
        <v>0</v>
      </c>
      <c r="Q35" s="250">
        <f t="shared" si="11"/>
        <v>0</v>
      </c>
      <c r="R35" s="250">
        <f t="shared" si="11"/>
        <v>0</v>
      </c>
      <c r="S35" s="250">
        <f t="shared" si="11"/>
        <v>0</v>
      </c>
      <c r="T35" s="250">
        <f t="shared" si="11"/>
        <v>0</v>
      </c>
      <c r="U35" s="250">
        <f t="shared" si="11"/>
        <v>0</v>
      </c>
      <c r="V35" s="250">
        <f t="shared" si="11"/>
        <v>0</v>
      </c>
      <c r="W35" s="250">
        <f t="shared" si="11"/>
        <v>0</v>
      </c>
      <c r="X35" s="250">
        <f t="shared" si="11"/>
        <v>0</v>
      </c>
      <c r="Y35" s="250">
        <f t="shared" si="11"/>
        <v>0</v>
      </c>
      <c r="Z35" s="250">
        <f t="shared" si="11"/>
        <v>0</v>
      </c>
      <c r="AA35" s="250">
        <f t="shared" si="11"/>
        <v>0</v>
      </c>
      <c r="AB35" s="250">
        <f t="shared" si="11"/>
        <v>0</v>
      </c>
      <c r="AC35" s="250">
        <f t="shared" si="11"/>
        <v>0</v>
      </c>
      <c r="AD35" s="250">
        <f t="shared" si="11"/>
        <v>0</v>
      </c>
      <c r="AE35" s="250">
        <f t="shared" si="11"/>
        <v>0</v>
      </c>
      <c r="AF35" s="250">
        <f t="shared" si="11"/>
        <v>0</v>
      </c>
      <c r="AG35" s="250">
        <f t="shared" si="11"/>
        <v>0</v>
      </c>
      <c r="AH35" s="250">
        <f t="shared" si="11"/>
        <v>0</v>
      </c>
      <c r="AI35" s="250">
        <f t="shared" si="11"/>
        <v>0</v>
      </c>
      <c r="AJ35" s="250">
        <f t="shared" si="11"/>
        <v>0</v>
      </c>
      <c r="AK35" s="250">
        <f t="shared" si="11"/>
        <v>0</v>
      </c>
      <c r="AL35" s="250">
        <f t="shared" ref="AL35:AP35" si="12">AL30+AL34</f>
        <v>70000000</v>
      </c>
      <c r="AM35" s="250">
        <f t="shared" si="12"/>
        <v>0</v>
      </c>
      <c r="AN35" s="250">
        <f t="shared" si="12"/>
        <v>0</v>
      </c>
      <c r="AO35" s="250">
        <f t="shared" si="12"/>
        <v>0</v>
      </c>
      <c r="AP35" s="250">
        <f t="shared" si="12"/>
        <v>70000000</v>
      </c>
    </row>
    <row r="36" spans="1:42" s="28" customFormat="1" ht="15" x14ac:dyDescent="0.25">
      <c r="A36" s="35"/>
      <c r="B36" s="214"/>
      <c r="C36" s="454"/>
      <c r="D36" s="214"/>
      <c r="E36" s="454"/>
      <c r="F36" s="454"/>
      <c r="G36" s="214"/>
      <c r="H36" s="454"/>
      <c r="I36" s="214"/>
      <c r="J36" s="215"/>
      <c r="K36" s="215"/>
      <c r="L36" s="251"/>
      <c r="M36" s="216"/>
      <c r="N36" s="214"/>
      <c r="O36" s="454"/>
      <c r="P36" s="217"/>
      <c r="Q36" s="217"/>
      <c r="R36" s="217"/>
      <c r="S36" s="217"/>
      <c r="T36" s="217"/>
      <c r="U36" s="217"/>
      <c r="V36" s="217"/>
      <c r="W36" s="217"/>
      <c r="X36" s="217"/>
      <c r="Y36" s="217"/>
      <c r="Z36" s="217"/>
      <c r="AA36" s="217"/>
      <c r="AB36" s="217"/>
      <c r="AC36" s="217"/>
      <c r="AD36" s="218"/>
      <c r="AE36" s="218"/>
      <c r="AF36" s="218"/>
      <c r="AG36" s="218"/>
      <c r="AH36" s="218"/>
      <c r="AI36" s="218"/>
      <c r="AJ36" s="217"/>
      <c r="AK36" s="217"/>
      <c r="AL36" s="219"/>
      <c r="AM36" s="217"/>
      <c r="AN36" s="217"/>
      <c r="AO36" s="217"/>
      <c r="AP36" s="217"/>
    </row>
    <row r="37" spans="1:42" s="196" customFormat="1" x14ac:dyDescent="0.25">
      <c r="A37" s="35"/>
      <c r="B37" s="181">
        <v>27</v>
      </c>
      <c r="C37" s="181" t="s">
        <v>69</v>
      </c>
      <c r="D37" s="182"/>
      <c r="E37" s="182"/>
      <c r="F37" s="182"/>
      <c r="G37" s="182"/>
      <c r="H37" s="183"/>
      <c r="I37" s="182"/>
      <c r="J37" s="182"/>
      <c r="K37" s="182"/>
      <c r="L37" s="182"/>
      <c r="M37" s="184"/>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5"/>
      <c r="AM37" s="182"/>
      <c r="AN37" s="182"/>
      <c r="AO37" s="182"/>
      <c r="AP37" s="182"/>
    </row>
    <row r="38" spans="1:42" s="196" customFormat="1" x14ac:dyDescent="0.25">
      <c r="A38" s="35"/>
      <c r="B38" s="252"/>
      <c r="C38" s="253"/>
      <c r="D38" s="254"/>
      <c r="E38" s="254"/>
      <c r="F38" s="255"/>
      <c r="G38" s="226">
        <v>85</v>
      </c>
      <c r="H38" s="268" t="s">
        <v>70</v>
      </c>
      <c r="I38" s="227"/>
      <c r="J38" s="227"/>
      <c r="K38" s="227"/>
      <c r="L38" s="227"/>
      <c r="M38" s="228"/>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9"/>
      <c r="AM38" s="227"/>
      <c r="AN38" s="227"/>
      <c r="AO38" s="227"/>
      <c r="AP38" s="230"/>
    </row>
    <row r="39" spans="1:42" s="28" customFormat="1" ht="97.5" customHeight="1" x14ac:dyDescent="0.25">
      <c r="A39" s="35"/>
      <c r="B39" s="29"/>
      <c r="C39" s="150">
        <v>37</v>
      </c>
      <c r="D39" s="151" t="s">
        <v>60</v>
      </c>
      <c r="E39" s="37" t="s">
        <v>642</v>
      </c>
      <c r="F39" s="34">
        <v>0.6</v>
      </c>
      <c r="G39" s="136"/>
      <c r="H39" s="133">
        <v>249</v>
      </c>
      <c r="I39" s="151" t="s">
        <v>71</v>
      </c>
      <c r="J39" s="24">
        <v>1</v>
      </c>
      <c r="K39" s="24">
        <v>1</v>
      </c>
      <c r="L39" s="25" t="s">
        <v>72</v>
      </c>
      <c r="M39" s="38" t="s">
        <v>73</v>
      </c>
      <c r="N39" s="151" t="s">
        <v>74</v>
      </c>
      <c r="O39" s="152" t="s">
        <v>44</v>
      </c>
      <c r="P39" s="26">
        <v>0</v>
      </c>
      <c r="Q39" s="26">
        <v>0</v>
      </c>
      <c r="R39" s="26">
        <v>0</v>
      </c>
      <c r="S39" s="26">
        <v>0</v>
      </c>
      <c r="T39" s="26">
        <v>0</v>
      </c>
      <c r="U39" s="26">
        <v>0</v>
      </c>
      <c r="V39" s="26">
        <v>0</v>
      </c>
      <c r="W39" s="26"/>
      <c r="X39" s="26"/>
      <c r="Y39" s="26"/>
      <c r="Z39" s="26">
        <v>0</v>
      </c>
      <c r="AA39" s="26"/>
      <c r="AB39" s="26">
        <v>0</v>
      </c>
      <c r="AC39" s="26">
        <v>0</v>
      </c>
      <c r="AD39" s="26"/>
      <c r="AE39" s="26"/>
      <c r="AF39" s="26"/>
      <c r="AG39" s="26"/>
      <c r="AH39" s="26"/>
      <c r="AI39" s="26"/>
      <c r="AJ39" s="26">
        <v>0</v>
      </c>
      <c r="AK39" s="26">
        <v>0</v>
      </c>
      <c r="AL39" s="113">
        <f>120000000+20000000</f>
        <v>140000000</v>
      </c>
      <c r="AM39" s="39"/>
      <c r="AN39" s="26">
        <v>0</v>
      </c>
      <c r="AO39" s="27">
        <v>0</v>
      </c>
      <c r="AP39" s="26">
        <f>P39+Q39+R39+S39+T39+U39+V39+W39+X39+Y39+Z39+AA39+AB39+AC39+AD39+AE39+AF39+AG39+AH39+AI39+AJ39+AK39+AL39+AM39+AN39+AO39</f>
        <v>140000000</v>
      </c>
    </row>
    <row r="40" spans="1:42" s="196" customFormat="1" ht="15" x14ac:dyDescent="0.25">
      <c r="A40" s="35"/>
      <c r="B40" s="256"/>
      <c r="C40" s="848"/>
      <c r="D40" s="224"/>
      <c r="E40" s="224"/>
      <c r="F40" s="225"/>
      <c r="G40" s="258"/>
      <c r="H40" s="259"/>
      <c r="I40" s="191"/>
      <c r="J40" s="193"/>
      <c r="K40" s="193"/>
      <c r="L40" s="193"/>
      <c r="M40" s="194"/>
      <c r="N40" s="191"/>
      <c r="O40" s="192"/>
      <c r="P40" s="195">
        <f t="shared" ref="P40:AK40" si="13">SUM(P39)</f>
        <v>0</v>
      </c>
      <c r="Q40" s="195">
        <f t="shared" si="13"/>
        <v>0</v>
      </c>
      <c r="R40" s="195">
        <f t="shared" si="13"/>
        <v>0</v>
      </c>
      <c r="S40" s="195">
        <f t="shared" si="13"/>
        <v>0</v>
      </c>
      <c r="T40" s="195">
        <f t="shared" si="13"/>
        <v>0</v>
      </c>
      <c r="U40" s="195">
        <f t="shared" si="13"/>
        <v>0</v>
      </c>
      <c r="V40" s="195">
        <f t="shared" si="13"/>
        <v>0</v>
      </c>
      <c r="W40" s="195">
        <f t="shared" si="13"/>
        <v>0</v>
      </c>
      <c r="X40" s="195">
        <f t="shared" si="13"/>
        <v>0</v>
      </c>
      <c r="Y40" s="195">
        <f t="shared" si="13"/>
        <v>0</v>
      </c>
      <c r="Z40" s="195">
        <f t="shared" si="13"/>
        <v>0</v>
      </c>
      <c r="AA40" s="195">
        <f t="shared" si="13"/>
        <v>0</v>
      </c>
      <c r="AB40" s="195">
        <f t="shared" si="13"/>
        <v>0</v>
      </c>
      <c r="AC40" s="195">
        <f t="shared" si="13"/>
        <v>0</v>
      </c>
      <c r="AD40" s="195">
        <f t="shared" si="13"/>
        <v>0</v>
      </c>
      <c r="AE40" s="195">
        <f t="shared" si="13"/>
        <v>0</v>
      </c>
      <c r="AF40" s="195">
        <f t="shared" si="13"/>
        <v>0</v>
      </c>
      <c r="AG40" s="195">
        <f t="shared" si="13"/>
        <v>0</v>
      </c>
      <c r="AH40" s="195">
        <f t="shared" si="13"/>
        <v>0</v>
      </c>
      <c r="AI40" s="195">
        <f t="shared" si="13"/>
        <v>0</v>
      </c>
      <c r="AJ40" s="195">
        <f t="shared" si="13"/>
        <v>0</v>
      </c>
      <c r="AK40" s="195">
        <f t="shared" si="13"/>
        <v>0</v>
      </c>
      <c r="AL40" s="195">
        <f t="shared" ref="AL40:AP40" si="14">SUM(AL39)</f>
        <v>140000000</v>
      </c>
      <c r="AM40" s="195">
        <f t="shared" si="14"/>
        <v>0</v>
      </c>
      <c r="AN40" s="195">
        <f t="shared" si="14"/>
        <v>0</v>
      </c>
      <c r="AO40" s="195">
        <f t="shared" si="14"/>
        <v>0</v>
      </c>
      <c r="AP40" s="195">
        <f t="shared" si="14"/>
        <v>140000000</v>
      </c>
    </row>
    <row r="41" spans="1:42" s="196" customFormat="1" ht="15" x14ac:dyDescent="0.25">
      <c r="A41" s="35"/>
      <c r="B41" s="260"/>
      <c r="C41" s="261"/>
      <c r="D41" s="245"/>
      <c r="E41" s="246"/>
      <c r="F41" s="262"/>
      <c r="G41" s="263"/>
      <c r="H41" s="264"/>
      <c r="I41" s="198"/>
      <c r="J41" s="200"/>
      <c r="K41" s="200"/>
      <c r="L41" s="200"/>
      <c r="M41" s="201"/>
      <c r="N41" s="198"/>
      <c r="O41" s="199"/>
      <c r="P41" s="202">
        <f t="shared" ref="P41:AK41" si="15">P40</f>
        <v>0</v>
      </c>
      <c r="Q41" s="202">
        <f t="shared" si="15"/>
        <v>0</v>
      </c>
      <c r="R41" s="202">
        <f t="shared" si="15"/>
        <v>0</v>
      </c>
      <c r="S41" s="202">
        <f t="shared" si="15"/>
        <v>0</v>
      </c>
      <c r="T41" s="202">
        <f t="shared" si="15"/>
        <v>0</v>
      </c>
      <c r="U41" s="202">
        <f t="shared" si="15"/>
        <v>0</v>
      </c>
      <c r="V41" s="202">
        <f t="shared" si="15"/>
        <v>0</v>
      </c>
      <c r="W41" s="202">
        <f t="shared" si="15"/>
        <v>0</v>
      </c>
      <c r="X41" s="202">
        <f t="shared" si="15"/>
        <v>0</v>
      </c>
      <c r="Y41" s="202">
        <f t="shared" si="15"/>
        <v>0</v>
      </c>
      <c r="Z41" s="202">
        <f t="shared" si="15"/>
        <v>0</v>
      </c>
      <c r="AA41" s="202">
        <f t="shared" si="15"/>
        <v>0</v>
      </c>
      <c r="AB41" s="202">
        <f t="shared" si="15"/>
        <v>0</v>
      </c>
      <c r="AC41" s="202">
        <f t="shared" si="15"/>
        <v>0</v>
      </c>
      <c r="AD41" s="202">
        <f t="shared" si="15"/>
        <v>0</v>
      </c>
      <c r="AE41" s="202">
        <f t="shared" si="15"/>
        <v>0</v>
      </c>
      <c r="AF41" s="202">
        <f t="shared" si="15"/>
        <v>0</v>
      </c>
      <c r="AG41" s="202">
        <f t="shared" si="15"/>
        <v>0</v>
      </c>
      <c r="AH41" s="202">
        <f t="shared" si="15"/>
        <v>0</v>
      </c>
      <c r="AI41" s="202">
        <f t="shared" si="15"/>
        <v>0</v>
      </c>
      <c r="AJ41" s="202">
        <f t="shared" si="15"/>
        <v>0</v>
      </c>
      <c r="AK41" s="202">
        <f t="shared" si="15"/>
        <v>0</v>
      </c>
      <c r="AL41" s="202">
        <f t="shared" ref="AL41:AP41" si="16">AL40</f>
        <v>140000000</v>
      </c>
      <c r="AM41" s="202">
        <f t="shared" si="16"/>
        <v>0</v>
      </c>
      <c r="AN41" s="202">
        <f t="shared" si="16"/>
        <v>0</v>
      </c>
      <c r="AO41" s="202">
        <f t="shared" si="16"/>
        <v>0</v>
      </c>
      <c r="AP41" s="202">
        <f t="shared" si="16"/>
        <v>140000000</v>
      </c>
    </row>
    <row r="42" spans="1:42" s="196" customFormat="1" ht="15" x14ac:dyDescent="0.25">
      <c r="A42" s="35"/>
      <c r="B42" s="214"/>
      <c r="C42" s="454"/>
      <c r="D42" s="214"/>
      <c r="E42" s="454"/>
      <c r="F42" s="454"/>
      <c r="G42" s="265"/>
      <c r="H42" s="153"/>
      <c r="I42" s="214"/>
      <c r="J42" s="215"/>
      <c r="K42" s="215"/>
      <c r="L42" s="215"/>
      <c r="M42" s="216"/>
      <c r="N42" s="214"/>
      <c r="O42" s="454"/>
      <c r="P42" s="217"/>
      <c r="Q42" s="217"/>
      <c r="R42" s="217"/>
      <c r="S42" s="217"/>
      <c r="T42" s="217"/>
      <c r="U42" s="217"/>
      <c r="V42" s="217"/>
      <c r="W42" s="217"/>
      <c r="X42" s="217"/>
      <c r="Y42" s="217"/>
      <c r="Z42" s="217"/>
      <c r="AA42" s="217"/>
      <c r="AB42" s="217"/>
      <c r="AC42" s="217"/>
      <c r="AD42" s="218"/>
      <c r="AE42" s="218"/>
      <c r="AF42" s="218"/>
      <c r="AG42" s="218"/>
      <c r="AH42" s="218"/>
      <c r="AI42" s="218"/>
      <c r="AJ42" s="217"/>
      <c r="AK42" s="217"/>
      <c r="AL42" s="219"/>
      <c r="AM42" s="220"/>
      <c r="AN42" s="217"/>
      <c r="AO42" s="217"/>
      <c r="AP42" s="217"/>
    </row>
    <row r="43" spans="1:42" s="196" customFormat="1" x14ac:dyDescent="0.25">
      <c r="A43" s="35"/>
      <c r="B43" s="266">
        <v>28</v>
      </c>
      <c r="C43" s="180" t="s">
        <v>33</v>
      </c>
      <c r="D43" s="182"/>
      <c r="E43" s="182"/>
      <c r="F43" s="182"/>
      <c r="G43" s="182"/>
      <c r="H43" s="183"/>
      <c r="I43" s="182"/>
      <c r="J43" s="182"/>
      <c r="K43" s="182"/>
      <c r="L43" s="182"/>
      <c r="M43" s="184"/>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5"/>
      <c r="AM43" s="182"/>
      <c r="AN43" s="182"/>
      <c r="AO43" s="182"/>
      <c r="AP43" s="186"/>
    </row>
    <row r="44" spans="1:42" s="196" customFormat="1" x14ac:dyDescent="0.25">
      <c r="A44" s="35"/>
      <c r="B44" s="23"/>
      <c r="C44" s="848"/>
      <c r="D44" s="224"/>
      <c r="E44" s="224"/>
      <c r="F44" s="225"/>
      <c r="G44" s="267">
        <v>87</v>
      </c>
      <c r="H44" s="268" t="s">
        <v>75</v>
      </c>
      <c r="I44" s="269"/>
      <c r="J44" s="269"/>
      <c r="K44" s="269"/>
      <c r="L44" s="269"/>
      <c r="M44" s="270"/>
      <c r="N44" s="269"/>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71"/>
      <c r="AM44" s="269"/>
      <c r="AN44" s="269"/>
      <c r="AO44" s="269"/>
      <c r="AP44" s="272"/>
    </row>
    <row r="45" spans="1:42" s="28" customFormat="1" ht="53.25" customHeight="1" x14ac:dyDescent="0.25">
      <c r="A45" s="35"/>
      <c r="B45" s="29"/>
      <c r="C45" s="876">
        <v>38</v>
      </c>
      <c r="D45" s="893" t="s">
        <v>45</v>
      </c>
      <c r="E45" s="876">
        <v>0</v>
      </c>
      <c r="F45" s="876">
        <v>2</v>
      </c>
      <c r="G45" s="29"/>
      <c r="H45" s="152">
        <v>257</v>
      </c>
      <c r="I45" s="151" t="s">
        <v>76</v>
      </c>
      <c r="J45" s="12">
        <v>0</v>
      </c>
      <c r="K45" s="12">
        <v>1</v>
      </c>
      <c r="L45" s="993" t="s">
        <v>37</v>
      </c>
      <c r="M45" s="907" t="s">
        <v>77</v>
      </c>
      <c r="N45" s="1023" t="s">
        <v>78</v>
      </c>
      <c r="O45" s="40" t="s">
        <v>44</v>
      </c>
      <c r="P45" s="26">
        <v>0</v>
      </c>
      <c r="Q45" s="26">
        <v>0</v>
      </c>
      <c r="R45" s="26">
        <v>0</v>
      </c>
      <c r="S45" s="26">
        <v>0</v>
      </c>
      <c r="T45" s="26">
        <v>0</v>
      </c>
      <c r="U45" s="26">
        <v>0</v>
      </c>
      <c r="V45" s="26">
        <v>0</v>
      </c>
      <c r="W45" s="26"/>
      <c r="X45" s="26"/>
      <c r="Y45" s="26"/>
      <c r="Z45" s="26">
        <v>0</v>
      </c>
      <c r="AA45" s="26"/>
      <c r="AB45" s="26">
        <v>0</v>
      </c>
      <c r="AC45" s="26">
        <v>0</v>
      </c>
      <c r="AD45" s="26"/>
      <c r="AE45" s="26"/>
      <c r="AF45" s="26"/>
      <c r="AG45" s="26"/>
      <c r="AH45" s="26"/>
      <c r="AI45" s="26"/>
      <c r="AJ45" s="26">
        <v>0</v>
      </c>
      <c r="AK45" s="26">
        <v>0</v>
      </c>
      <c r="AL45" s="113">
        <f>35700000+70000000+10000000</f>
        <v>115700000</v>
      </c>
      <c r="AM45" s="14"/>
      <c r="AN45" s="26">
        <v>0</v>
      </c>
      <c r="AO45" s="27">
        <v>0</v>
      </c>
      <c r="AP45" s="26">
        <f>P45+Q45+R45+S45+T45+U45+V45+W45+X45+Y45+Z45+AA45+AB45+AC45+AD45+AE45+AF45+AG45+AH45+AI45+AJ45+AK45+AL45+AM45+AN45+AO45</f>
        <v>115700000</v>
      </c>
    </row>
    <row r="46" spans="1:42" s="28" customFormat="1" ht="71.25" x14ac:dyDescent="0.25">
      <c r="A46" s="35"/>
      <c r="B46" s="29"/>
      <c r="C46" s="877"/>
      <c r="D46" s="894"/>
      <c r="E46" s="877"/>
      <c r="F46" s="877"/>
      <c r="G46" s="29"/>
      <c r="H46" s="152">
        <v>258</v>
      </c>
      <c r="I46" s="151" t="s">
        <v>79</v>
      </c>
      <c r="J46" s="12">
        <v>0</v>
      </c>
      <c r="K46" s="12">
        <v>1</v>
      </c>
      <c r="L46" s="994"/>
      <c r="M46" s="908"/>
      <c r="N46" s="1024"/>
      <c r="O46" s="40" t="s">
        <v>44</v>
      </c>
      <c r="P46" s="26">
        <v>0</v>
      </c>
      <c r="Q46" s="26">
        <v>0</v>
      </c>
      <c r="R46" s="26">
        <v>0</v>
      </c>
      <c r="S46" s="26">
        <v>0</v>
      </c>
      <c r="T46" s="26">
        <v>0</v>
      </c>
      <c r="U46" s="26">
        <v>0</v>
      </c>
      <c r="V46" s="26">
        <v>0</v>
      </c>
      <c r="W46" s="26"/>
      <c r="X46" s="26"/>
      <c r="Y46" s="26"/>
      <c r="Z46" s="26">
        <v>0</v>
      </c>
      <c r="AA46" s="26"/>
      <c r="AB46" s="26">
        <v>0</v>
      </c>
      <c r="AC46" s="26">
        <v>0</v>
      </c>
      <c r="AD46" s="26"/>
      <c r="AE46" s="26"/>
      <c r="AF46" s="26"/>
      <c r="AG46" s="26"/>
      <c r="AH46" s="26"/>
      <c r="AI46" s="26"/>
      <c r="AJ46" s="26">
        <v>0</v>
      </c>
      <c r="AK46" s="26">
        <v>0</v>
      </c>
      <c r="AL46" s="113">
        <v>20000000</v>
      </c>
      <c r="AM46" s="14"/>
      <c r="AN46" s="26">
        <v>0</v>
      </c>
      <c r="AO46" s="27">
        <v>0</v>
      </c>
      <c r="AP46" s="26">
        <f>P46+Q46+R46+S46+T46+U46+V46+W46+X46+Y46+Z46+AA46+AB46+AC46+AD46+AE46+AF46+AG46+AH46+AI46+AJ46+AK46+AL46+AM46+AN46+AO46</f>
        <v>20000000</v>
      </c>
    </row>
    <row r="47" spans="1:42" s="28" customFormat="1" ht="72.75" customHeight="1" x14ac:dyDescent="0.25">
      <c r="A47" s="35"/>
      <c r="B47" s="29"/>
      <c r="C47" s="877"/>
      <c r="D47" s="894"/>
      <c r="E47" s="877"/>
      <c r="F47" s="877"/>
      <c r="G47" s="29"/>
      <c r="H47" s="152">
        <v>259</v>
      </c>
      <c r="I47" s="151" t="s">
        <v>80</v>
      </c>
      <c r="J47" s="24">
        <v>1</v>
      </c>
      <c r="K47" s="24">
        <v>1</v>
      </c>
      <c r="L47" s="994"/>
      <c r="M47" s="908"/>
      <c r="N47" s="1024"/>
      <c r="O47" s="40" t="s">
        <v>44</v>
      </c>
      <c r="P47" s="26">
        <v>0</v>
      </c>
      <c r="Q47" s="26">
        <v>0</v>
      </c>
      <c r="R47" s="26">
        <v>0</v>
      </c>
      <c r="S47" s="26">
        <v>0</v>
      </c>
      <c r="T47" s="26">
        <v>0</v>
      </c>
      <c r="U47" s="26">
        <v>0</v>
      </c>
      <c r="V47" s="26">
        <v>0</v>
      </c>
      <c r="W47" s="26"/>
      <c r="X47" s="26"/>
      <c r="Y47" s="26"/>
      <c r="Z47" s="26">
        <v>0</v>
      </c>
      <c r="AA47" s="26"/>
      <c r="AB47" s="26">
        <v>0</v>
      </c>
      <c r="AC47" s="26">
        <v>0</v>
      </c>
      <c r="AD47" s="26"/>
      <c r="AE47" s="26"/>
      <c r="AF47" s="26"/>
      <c r="AG47" s="26"/>
      <c r="AH47" s="26"/>
      <c r="AI47" s="26"/>
      <c r="AJ47" s="26">
        <v>0</v>
      </c>
      <c r="AK47" s="26">
        <v>0</v>
      </c>
      <c r="AL47" s="114">
        <v>9000000</v>
      </c>
      <c r="AM47" s="41"/>
      <c r="AN47" s="26">
        <v>0</v>
      </c>
      <c r="AO47" s="27">
        <v>0</v>
      </c>
      <c r="AP47" s="26">
        <f>P47+Q47+R47+S47+T47+U47+V47+W47+X47+Y47+Z47+AA47+AB47+AC47+AD47+AE47+AF47+AG47+AH47+AI47+AJ47+AK47+AL47+AM47+AN47+AO47</f>
        <v>9000000</v>
      </c>
    </row>
    <row r="48" spans="1:42" s="28" customFormat="1" ht="57" customHeight="1" x14ac:dyDescent="0.25">
      <c r="A48" s="35"/>
      <c r="B48" s="29"/>
      <c r="C48" s="877"/>
      <c r="D48" s="894"/>
      <c r="E48" s="877"/>
      <c r="F48" s="877"/>
      <c r="G48" s="29"/>
      <c r="H48" s="152">
        <v>263</v>
      </c>
      <c r="I48" s="151" t="s">
        <v>81</v>
      </c>
      <c r="J48" s="24">
        <v>1</v>
      </c>
      <c r="K48" s="24">
        <v>1</v>
      </c>
      <c r="L48" s="994"/>
      <c r="M48" s="908"/>
      <c r="N48" s="1024"/>
      <c r="O48" s="40" t="s">
        <v>44</v>
      </c>
      <c r="P48" s="26">
        <v>0</v>
      </c>
      <c r="Q48" s="26">
        <v>0</v>
      </c>
      <c r="R48" s="26">
        <v>0</v>
      </c>
      <c r="S48" s="26">
        <v>0</v>
      </c>
      <c r="T48" s="26">
        <v>0</v>
      </c>
      <c r="U48" s="26">
        <v>0</v>
      </c>
      <c r="V48" s="26">
        <v>0</v>
      </c>
      <c r="W48" s="26"/>
      <c r="X48" s="26"/>
      <c r="Y48" s="26"/>
      <c r="Z48" s="26">
        <v>0</v>
      </c>
      <c r="AA48" s="26"/>
      <c r="AB48" s="26">
        <v>0</v>
      </c>
      <c r="AC48" s="26">
        <v>0</v>
      </c>
      <c r="AD48" s="26"/>
      <c r="AE48" s="26"/>
      <c r="AF48" s="26"/>
      <c r="AG48" s="26"/>
      <c r="AH48" s="26"/>
      <c r="AI48" s="26"/>
      <c r="AJ48" s="26">
        <v>0</v>
      </c>
      <c r="AK48" s="26">
        <v>0</v>
      </c>
      <c r="AL48" s="114">
        <f>35000000+30000000</f>
        <v>65000000</v>
      </c>
      <c r="AM48" s="41"/>
      <c r="AN48" s="26">
        <v>0</v>
      </c>
      <c r="AO48" s="27">
        <v>0</v>
      </c>
      <c r="AP48" s="26">
        <f>P48+Q48+R48+S48+T48+U48+V48+W48+X48+Y48+Z48+AA48+AB48+AC48+AD48+AE48+AF48+AG48+AH48+AI48+AJ48+AK48+AL48+AM48+AN48+AO48</f>
        <v>65000000</v>
      </c>
    </row>
    <row r="49" spans="1:42" s="28" customFormat="1" ht="61.5" customHeight="1" x14ac:dyDescent="0.25">
      <c r="A49" s="35"/>
      <c r="B49" s="29"/>
      <c r="C49" s="887"/>
      <c r="D49" s="895"/>
      <c r="E49" s="887"/>
      <c r="F49" s="887"/>
      <c r="G49" s="29"/>
      <c r="H49" s="152">
        <v>261</v>
      </c>
      <c r="I49" s="151" t="s">
        <v>82</v>
      </c>
      <c r="J49" s="24">
        <v>1</v>
      </c>
      <c r="K49" s="24">
        <v>2</v>
      </c>
      <c r="L49" s="995"/>
      <c r="M49" s="909"/>
      <c r="N49" s="1025"/>
      <c r="O49" s="40" t="s">
        <v>44</v>
      </c>
      <c r="P49" s="26">
        <v>0</v>
      </c>
      <c r="Q49" s="26">
        <v>0</v>
      </c>
      <c r="R49" s="26">
        <v>0</v>
      </c>
      <c r="S49" s="26">
        <v>0</v>
      </c>
      <c r="T49" s="26">
        <v>0</v>
      </c>
      <c r="U49" s="26">
        <v>0</v>
      </c>
      <c r="V49" s="26">
        <v>0</v>
      </c>
      <c r="W49" s="26"/>
      <c r="X49" s="26"/>
      <c r="Y49" s="26"/>
      <c r="Z49" s="26">
        <v>0</v>
      </c>
      <c r="AA49" s="26"/>
      <c r="AB49" s="26">
        <v>0</v>
      </c>
      <c r="AC49" s="26">
        <v>0</v>
      </c>
      <c r="AD49" s="26"/>
      <c r="AE49" s="26"/>
      <c r="AF49" s="26"/>
      <c r="AG49" s="26"/>
      <c r="AH49" s="26"/>
      <c r="AI49" s="26"/>
      <c r="AJ49" s="26">
        <v>0</v>
      </c>
      <c r="AK49" s="26">
        <v>0</v>
      </c>
      <c r="AL49" s="115">
        <v>25000000</v>
      </c>
      <c r="AM49" s="11"/>
      <c r="AN49" s="26">
        <v>0</v>
      </c>
      <c r="AO49" s="27">
        <v>0</v>
      </c>
      <c r="AP49" s="26">
        <f>P49+Q49+R49+S49+T49+U49+V49+W49+X49+Y49+Z49+AA49+AB49+AC49+AD49+AE49+AF49+AG49+AH49+AI49+AJ49+AK49+AL49+AM49+AN49+AO49</f>
        <v>25000000</v>
      </c>
    </row>
    <row r="50" spans="1:42" s="28" customFormat="1" ht="98.25" customHeight="1" x14ac:dyDescent="0.25">
      <c r="A50" s="35"/>
      <c r="B50" s="29"/>
      <c r="C50" s="133">
        <v>38</v>
      </c>
      <c r="D50" s="136" t="s">
        <v>45</v>
      </c>
      <c r="E50" s="152">
        <v>0</v>
      </c>
      <c r="F50" s="152">
        <v>2</v>
      </c>
      <c r="G50" s="29"/>
      <c r="H50" s="152">
        <v>262</v>
      </c>
      <c r="I50" s="151" t="s">
        <v>83</v>
      </c>
      <c r="J50" s="24">
        <v>1</v>
      </c>
      <c r="K50" s="24">
        <v>1</v>
      </c>
      <c r="L50" s="151" t="s">
        <v>37</v>
      </c>
      <c r="M50" s="38" t="s">
        <v>84</v>
      </c>
      <c r="N50" s="151" t="s">
        <v>85</v>
      </c>
      <c r="O50" s="40" t="s">
        <v>44</v>
      </c>
      <c r="P50" s="26">
        <v>0</v>
      </c>
      <c r="Q50" s="26">
        <v>0</v>
      </c>
      <c r="R50" s="26">
        <v>0</v>
      </c>
      <c r="S50" s="26">
        <v>0</v>
      </c>
      <c r="T50" s="26">
        <v>0</v>
      </c>
      <c r="U50" s="26">
        <v>0</v>
      </c>
      <c r="V50" s="26">
        <v>0</v>
      </c>
      <c r="W50" s="26"/>
      <c r="X50" s="26"/>
      <c r="Y50" s="26"/>
      <c r="Z50" s="26">
        <v>0</v>
      </c>
      <c r="AA50" s="26"/>
      <c r="AB50" s="26">
        <v>0</v>
      </c>
      <c r="AC50" s="26">
        <v>0</v>
      </c>
      <c r="AD50" s="26"/>
      <c r="AE50" s="26"/>
      <c r="AF50" s="26"/>
      <c r="AG50" s="26"/>
      <c r="AH50" s="26"/>
      <c r="AI50" s="26"/>
      <c r="AJ50" s="26">
        <v>0</v>
      </c>
      <c r="AK50" s="26">
        <v>0</v>
      </c>
      <c r="AL50" s="113">
        <v>25000000</v>
      </c>
      <c r="AM50" s="39"/>
      <c r="AN50" s="26">
        <v>0</v>
      </c>
      <c r="AO50" s="27">
        <v>0</v>
      </c>
      <c r="AP50" s="26">
        <f>P50+Q50+R50+S50+T50+U50+V50+W50+X50+Y50+Z50+AA50+AB50+AC50+AD50+AE50+AF50+AG50+AH50+AI50+AJ50+AK50+AL50+AM50+AN50+AO50</f>
        <v>25000000</v>
      </c>
    </row>
    <row r="51" spans="1:42" s="28" customFormat="1" ht="96.75" customHeight="1" x14ac:dyDescent="0.25">
      <c r="A51" s="35"/>
      <c r="B51" s="29"/>
      <c r="C51" s="133">
        <v>38</v>
      </c>
      <c r="D51" s="136" t="s">
        <v>45</v>
      </c>
      <c r="E51" s="152">
        <v>0</v>
      </c>
      <c r="F51" s="152">
        <v>2</v>
      </c>
      <c r="G51" s="29"/>
      <c r="H51" s="152">
        <v>264</v>
      </c>
      <c r="I51" s="151" t="s">
        <v>86</v>
      </c>
      <c r="J51" s="24">
        <v>0</v>
      </c>
      <c r="K51" s="24">
        <v>1</v>
      </c>
      <c r="L51" s="151" t="s">
        <v>37</v>
      </c>
      <c r="M51" s="38" t="s">
        <v>87</v>
      </c>
      <c r="N51" s="151" t="s">
        <v>88</v>
      </c>
      <c r="O51" s="40" t="s">
        <v>44</v>
      </c>
      <c r="P51" s="26">
        <v>0</v>
      </c>
      <c r="Q51" s="26">
        <v>0</v>
      </c>
      <c r="R51" s="26">
        <v>0</v>
      </c>
      <c r="S51" s="26">
        <v>0</v>
      </c>
      <c r="T51" s="26">
        <v>0</v>
      </c>
      <c r="U51" s="26">
        <v>0</v>
      </c>
      <c r="V51" s="26">
        <v>0</v>
      </c>
      <c r="W51" s="26"/>
      <c r="X51" s="26"/>
      <c r="Y51" s="26"/>
      <c r="Z51" s="26">
        <v>0</v>
      </c>
      <c r="AA51" s="26"/>
      <c r="AB51" s="26">
        <v>0</v>
      </c>
      <c r="AC51" s="26">
        <v>0</v>
      </c>
      <c r="AD51" s="26"/>
      <c r="AE51" s="26"/>
      <c r="AF51" s="26"/>
      <c r="AG51" s="26"/>
      <c r="AH51" s="26"/>
      <c r="AI51" s="26"/>
      <c r="AJ51" s="26">
        <v>0</v>
      </c>
      <c r="AK51" s="26">
        <v>0</v>
      </c>
      <c r="AL51" s="113">
        <f>25000000+150000000+40000000</f>
        <v>215000000</v>
      </c>
      <c r="AM51" s="39"/>
      <c r="AN51" s="26">
        <v>0</v>
      </c>
      <c r="AO51" s="27">
        <v>0</v>
      </c>
      <c r="AP51" s="26">
        <f>P51+Q51+R51+S51+T51+U51+V51+W51+X51+Y51+Z51+AA51+AB51+AC51+AD51+AE51+AF51+AG51+AH51+AI51+AJ51+AK51+AL51+AM51+AN51+AO51</f>
        <v>215000000</v>
      </c>
    </row>
    <row r="52" spans="1:42" s="28" customFormat="1" ht="72" customHeight="1" x14ac:dyDescent="0.25">
      <c r="A52" s="35"/>
      <c r="B52" s="29"/>
      <c r="C52" s="133">
        <v>38</v>
      </c>
      <c r="D52" s="136" t="s">
        <v>45</v>
      </c>
      <c r="E52" s="152">
        <v>0</v>
      </c>
      <c r="F52" s="152">
        <v>2</v>
      </c>
      <c r="G52" s="29"/>
      <c r="H52" s="152">
        <v>265</v>
      </c>
      <c r="I52" s="151" t="s">
        <v>89</v>
      </c>
      <c r="J52" s="12">
        <v>0</v>
      </c>
      <c r="K52" s="12">
        <v>1</v>
      </c>
      <c r="L52" s="12" t="s">
        <v>90</v>
      </c>
      <c r="M52" s="38" t="s">
        <v>91</v>
      </c>
      <c r="N52" s="151" t="s">
        <v>92</v>
      </c>
      <c r="O52" s="40" t="s">
        <v>44</v>
      </c>
      <c r="P52" s="26">
        <v>0</v>
      </c>
      <c r="Q52" s="26">
        <v>0</v>
      </c>
      <c r="R52" s="26">
        <v>0</v>
      </c>
      <c r="S52" s="26">
        <v>0</v>
      </c>
      <c r="T52" s="26">
        <v>0</v>
      </c>
      <c r="U52" s="26">
        <v>0</v>
      </c>
      <c r="V52" s="26">
        <v>0</v>
      </c>
      <c r="W52" s="26"/>
      <c r="X52" s="26"/>
      <c r="Y52" s="26"/>
      <c r="Z52" s="26">
        <v>0</v>
      </c>
      <c r="AA52" s="26"/>
      <c r="AB52" s="26">
        <v>0</v>
      </c>
      <c r="AC52" s="26">
        <v>0</v>
      </c>
      <c r="AD52" s="26"/>
      <c r="AE52" s="26"/>
      <c r="AF52" s="26"/>
      <c r="AG52" s="26"/>
      <c r="AH52" s="26"/>
      <c r="AI52" s="26"/>
      <c r="AJ52" s="26">
        <v>0</v>
      </c>
      <c r="AK52" s="26">
        <v>0</v>
      </c>
      <c r="AL52" s="116">
        <f>100000000+500000000+45000000</f>
        <v>645000000</v>
      </c>
      <c r="AM52" s="42"/>
      <c r="AN52" s="26">
        <v>0</v>
      </c>
      <c r="AO52" s="27">
        <v>0</v>
      </c>
      <c r="AP52" s="26">
        <f>P52+Q52+R52+S52+T52+U52+V52+W52+X52+Y52+Z52+AA52+AB52+AC52+AD52+AE52+AF52+AG52+AH52+AI52+AJ52+AK52+AL52+AM52+AN52+AO52</f>
        <v>645000000</v>
      </c>
    </row>
    <row r="53" spans="1:42" s="28" customFormat="1" ht="65.099999999999994" customHeight="1" x14ac:dyDescent="0.25">
      <c r="A53" s="35"/>
      <c r="B53" s="29"/>
      <c r="C53" s="152">
        <v>38</v>
      </c>
      <c r="D53" s="151" t="s">
        <v>45</v>
      </c>
      <c r="E53" s="152">
        <v>0</v>
      </c>
      <c r="F53" s="152">
        <v>2</v>
      </c>
      <c r="G53" s="29"/>
      <c r="H53" s="152">
        <v>266</v>
      </c>
      <c r="I53" s="151" t="s">
        <v>93</v>
      </c>
      <c r="J53" s="24">
        <v>1</v>
      </c>
      <c r="K53" s="24">
        <v>1</v>
      </c>
      <c r="L53" s="151" t="s">
        <v>37</v>
      </c>
      <c r="M53" s="38" t="s">
        <v>94</v>
      </c>
      <c r="N53" s="151" t="s">
        <v>95</v>
      </c>
      <c r="O53" s="40" t="s">
        <v>44</v>
      </c>
      <c r="P53" s="26">
        <v>0</v>
      </c>
      <c r="Q53" s="26">
        <v>0</v>
      </c>
      <c r="R53" s="26">
        <v>0</v>
      </c>
      <c r="S53" s="26">
        <v>0</v>
      </c>
      <c r="T53" s="26">
        <v>0</v>
      </c>
      <c r="U53" s="26">
        <v>0</v>
      </c>
      <c r="V53" s="26">
        <v>0</v>
      </c>
      <c r="W53" s="26"/>
      <c r="X53" s="26"/>
      <c r="Y53" s="26"/>
      <c r="Z53" s="26">
        <v>0</v>
      </c>
      <c r="AA53" s="26"/>
      <c r="AB53" s="26">
        <v>0</v>
      </c>
      <c r="AC53" s="26">
        <v>0</v>
      </c>
      <c r="AD53" s="26"/>
      <c r="AE53" s="26"/>
      <c r="AF53" s="26"/>
      <c r="AG53" s="26"/>
      <c r="AH53" s="26"/>
      <c r="AI53" s="26"/>
      <c r="AJ53" s="26">
        <v>0</v>
      </c>
      <c r="AK53" s="26">
        <v>0</v>
      </c>
      <c r="AL53" s="116">
        <f>16000000+20000000</f>
        <v>36000000</v>
      </c>
      <c r="AM53" s="42"/>
      <c r="AN53" s="26">
        <v>0</v>
      </c>
      <c r="AO53" s="27">
        <v>0</v>
      </c>
      <c r="AP53" s="26">
        <f>P53+Q53+R53+S53+T53+U53+V53+W53+X53+Y53+Z53+AA53+AB53+AC53+AD53+AE53+AF53+AG53+AH53+AI53+AJ53+AK53+AL53+AM53+AN53+AO53</f>
        <v>36000000</v>
      </c>
    </row>
    <row r="54" spans="1:42" s="28" customFormat="1" ht="48.75" customHeight="1" x14ac:dyDescent="0.25">
      <c r="A54" s="35"/>
      <c r="B54" s="29"/>
      <c r="C54" s="876">
        <v>38</v>
      </c>
      <c r="D54" s="893" t="s">
        <v>45</v>
      </c>
      <c r="E54" s="876">
        <v>0</v>
      </c>
      <c r="F54" s="876">
        <v>2</v>
      </c>
      <c r="G54" s="29"/>
      <c r="H54" s="152">
        <v>267</v>
      </c>
      <c r="I54" s="151" t="s">
        <v>96</v>
      </c>
      <c r="J54" s="24">
        <v>1</v>
      </c>
      <c r="K54" s="24">
        <v>1</v>
      </c>
      <c r="L54" s="1015" t="s">
        <v>37</v>
      </c>
      <c r="M54" s="907" t="s">
        <v>97</v>
      </c>
      <c r="N54" s="893" t="s">
        <v>98</v>
      </c>
      <c r="O54" s="40" t="s">
        <v>44</v>
      </c>
      <c r="P54" s="26">
        <v>0</v>
      </c>
      <c r="Q54" s="26">
        <v>0</v>
      </c>
      <c r="R54" s="26">
        <v>0</v>
      </c>
      <c r="S54" s="26">
        <v>0</v>
      </c>
      <c r="T54" s="26">
        <v>0</v>
      </c>
      <c r="U54" s="26">
        <v>0</v>
      </c>
      <c r="V54" s="26">
        <v>0</v>
      </c>
      <c r="W54" s="26"/>
      <c r="X54" s="26"/>
      <c r="Y54" s="26"/>
      <c r="Z54" s="26">
        <v>0</v>
      </c>
      <c r="AA54" s="26"/>
      <c r="AB54" s="26">
        <v>0</v>
      </c>
      <c r="AC54" s="26">
        <v>0</v>
      </c>
      <c r="AD54" s="26"/>
      <c r="AE54" s="26"/>
      <c r="AF54" s="26"/>
      <c r="AG54" s="26"/>
      <c r="AH54" s="26"/>
      <c r="AI54" s="26"/>
      <c r="AJ54" s="26">
        <v>0</v>
      </c>
      <c r="AK54" s="26">
        <v>0</v>
      </c>
      <c r="AL54" s="113">
        <v>12000000</v>
      </c>
      <c r="AM54" s="14"/>
      <c r="AN54" s="26">
        <v>0</v>
      </c>
      <c r="AO54" s="27">
        <v>0</v>
      </c>
      <c r="AP54" s="26">
        <f>P54+Q54+R54+S54+T54+U54+V54+W54+X54+Y54+Z54+AA54+AB54+AC54+AD54+AE54+AF54+AG54+AH54+AI54+AJ54+AK54+AL54+AM54+AN54+AO54</f>
        <v>12000000</v>
      </c>
    </row>
    <row r="55" spans="1:42" s="28" customFormat="1" ht="99.75" x14ac:dyDescent="0.25">
      <c r="A55" s="35"/>
      <c r="B55" s="29"/>
      <c r="C55" s="877"/>
      <c r="D55" s="894"/>
      <c r="E55" s="877"/>
      <c r="F55" s="877"/>
      <c r="G55" s="29"/>
      <c r="H55" s="152">
        <v>268</v>
      </c>
      <c r="I55" s="151" t="s">
        <v>99</v>
      </c>
      <c r="J55" s="24">
        <v>12</v>
      </c>
      <c r="K55" s="24">
        <v>12</v>
      </c>
      <c r="L55" s="1016"/>
      <c r="M55" s="908"/>
      <c r="N55" s="894"/>
      <c r="O55" s="40" t="s">
        <v>44</v>
      </c>
      <c r="P55" s="26">
        <v>0</v>
      </c>
      <c r="Q55" s="26">
        <v>0</v>
      </c>
      <c r="R55" s="26">
        <v>0</v>
      </c>
      <c r="S55" s="26">
        <v>0</v>
      </c>
      <c r="T55" s="26">
        <v>0</v>
      </c>
      <c r="U55" s="26">
        <v>0</v>
      </c>
      <c r="V55" s="26">
        <v>0</v>
      </c>
      <c r="W55" s="26"/>
      <c r="X55" s="26"/>
      <c r="Y55" s="26"/>
      <c r="Z55" s="26">
        <v>0</v>
      </c>
      <c r="AA55" s="26"/>
      <c r="AB55" s="26">
        <v>0</v>
      </c>
      <c r="AC55" s="26">
        <v>0</v>
      </c>
      <c r="AD55" s="26"/>
      <c r="AE55" s="26"/>
      <c r="AF55" s="26"/>
      <c r="AG55" s="26"/>
      <c r="AH55" s="26"/>
      <c r="AI55" s="26"/>
      <c r="AJ55" s="26">
        <v>0</v>
      </c>
      <c r="AK55" s="26">
        <v>0</v>
      </c>
      <c r="AL55" s="113">
        <v>12000000</v>
      </c>
      <c r="AM55" s="14"/>
      <c r="AN55" s="26">
        <v>0</v>
      </c>
      <c r="AO55" s="27">
        <v>0</v>
      </c>
      <c r="AP55" s="26">
        <f>P55+Q55+R55+S55+T55+U55+V55+W55+X55+Y55+Z55+AA55+AB55+AC55+AD55+AE55+AF55+AG55+AH55+AI55+AJ55+AK55+AL55+AM55+AN55+AO55</f>
        <v>12000000</v>
      </c>
    </row>
    <row r="56" spans="1:42" s="28" customFormat="1" ht="99.75" x14ac:dyDescent="0.25">
      <c r="A56" s="35"/>
      <c r="B56" s="29"/>
      <c r="C56" s="877"/>
      <c r="D56" s="894"/>
      <c r="E56" s="877"/>
      <c r="F56" s="877"/>
      <c r="G56" s="29"/>
      <c r="H56" s="152">
        <v>269</v>
      </c>
      <c r="I56" s="151" t="s">
        <v>100</v>
      </c>
      <c r="J56" s="24">
        <v>12</v>
      </c>
      <c r="K56" s="24">
        <v>12</v>
      </c>
      <c r="L56" s="1016"/>
      <c r="M56" s="908"/>
      <c r="N56" s="894"/>
      <c r="O56" s="40" t="s">
        <v>44</v>
      </c>
      <c r="P56" s="26">
        <v>0</v>
      </c>
      <c r="Q56" s="26">
        <v>0</v>
      </c>
      <c r="R56" s="26">
        <v>0</v>
      </c>
      <c r="S56" s="26">
        <v>0</v>
      </c>
      <c r="T56" s="26">
        <v>0</v>
      </c>
      <c r="U56" s="26">
        <v>0</v>
      </c>
      <c r="V56" s="26">
        <v>0</v>
      </c>
      <c r="W56" s="26"/>
      <c r="X56" s="26"/>
      <c r="Y56" s="26"/>
      <c r="Z56" s="26">
        <v>0</v>
      </c>
      <c r="AA56" s="26"/>
      <c r="AB56" s="26">
        <v>0</v>
      </c>
      <c r="AC56" s="26">
        <v>0</v>
      </c>
      <c r="AD56" s="26"/>
      <c r="AE56" s="26"/>
      <c r="AF56" s="26"/>
      <c r="AG56" s="26"/>
      <c r="AH56" s="26"/>
      <c r="AI56" s="26"/>
      <c r="AJ56" s="26">
        <v>0</v>
      </c>
      <c r="AK56" s="26">
        <v>0</v>
      </c>
      <c r="AL56" s="113">
        <f>12000000</f>
        <v>12000000</v>
      </c>
      <c r="AM56" s="14"/>
      <c r="AN56" s="26">
        <v>0</v>
      </c>
      <c r="AO56" s="27">
        <v>0</v>
      </c>
      <c r="AP56" s="26">
        <f>P56+Q56+R56+S56+T56+U56+V56+W56+X56+Y56+Z56+AA56+AB56+AC56+AD56+AE56+AF56+AG56+AH56+AI56+AJ56+AK56+AL56+AM56+AN56+AO56</f>
        <v>12000000</v>
      </c>
    </row>
    <row r="57" spans="1:42" s="28" customFormat="1" ht="99.75" x14ac:dyDescent="0.25">
      <c r="A57" s="35"/>
      <c r="B57" s="29"/>
      <c r="C57" s="877"/>
      <c r="D57" s="894"/>
      <c r="E57" s="877"/>
      <c r="F57" s="877"/>
      <c r="G57" s="29"/>
      <c r="H57" s="152">
        <v>270</v>
      </c>
      <c r="I57" s="151" t="s">
        <v>101</v>
      </c>
      <c r="J57" s="24" t="s">
        <v>36</v>
      </c>
      <c r="K57" s="24">
        <v>12</v>
      </c>
      <c r="L57" s="1016"/>
      <c r="M57" s="908"/>
      <c r="N57" s="894"/>
      <c r="O57" s="40" t="s">
        <v>44</v>
      </c>
      <c r="P57" s="26">
        <v>0</v>
      </c>
      <c r="Q57" s="26">
        <v>0</v>
      </c>
      <c r="R57" s="26">
        <v>0</v>
      </c>
      <c r="S57" s="26">
        <v>0</v>
      </c>
      <c r="T57" s="26">
        <v>0</v>
      </c>
      <c r="U57" s="26">
        <v>0</v>
      </c>
      <c r="V57" s="26">
        <v>0</v>
      </c>
      <c r="W57" s="26"/>
      <c r="X57" s="26"/>
      <c r="Y57" s="26"/>
      <c r="Z57" s="26">
        <v>0</v>
      </c>
      <c r="AA57" s="26"/>
      <c r="AB57" s="26">
        <v>0</v>
      </c>
      <c r="AC57" s="26">
        <v>0</v>
      </c>
      <c r="AD57" s="26"/>
      <c r="AE57" s="26"/>
      <c r="AF57" s="26"/>
      <c r="AG57" s="26"/>
      <c r="AH57" s="26"/>
      <c r="AI57" s="26"/>
      <c r="AJ57" s="26">
        <v>0</v>
      </c>
      <c r="AK57" s="26">
        <v>0</v>
      </c>
      <c r="AL57" s="113">
        <v>15000000</v>
      </c>
      <c r="AM57" s="14"/>
      <c r="AN57" s="26">
        <v>0</v>
      </c>
      <c r="AO57" s="27">
        <v>0</v>
      </c>
      <c r="AP57" s="26">
        <f>P57+Q57+R57+S57+T57+U57+V57+W57+X57+Y57+Z57+AA57+AB57+AC57+AD57+AE57+AF57+AG57+AH57+AI57+AJ57+AK57+AL57+AM57+AN57+AO57</f>
        <v>15000000</v>
      </c>
    </row>
    <row r="58" spans="1:42" s="28" customFormat="1" ht="128.25" x14ac:dyDescent="0.25">
      <c r="A58" s="35"/>
      <c r="B58" s="29"/>
      <c r="C58" s="877"/>
      <c r="D58" s="894"/>
      <c r="E58" s="877"/>
      <c r="F58" s="877"/>
      <c r="G58" s="29"/>
      <c r="H58" s="152">
        <v>271</v>
      </c>
      <c r="I58" s="151" t="s">
        <v>102</v>
      </c>
      <c r="J58" s="24">
        <v>12</v>
      </c>
      <c r="K58" s="24">
        <v>12</v>
      </c>
      <c r="L58" s="1016"/>
      <c r="M58" s="908"/>
      <c r="N58" s="894"/>
      <c r="O58" s="40" t="s">
        <v>44</v>
      </c>
      <c r="P58" s="26">
        <v>0</v>
      </c>
      <c r="Q58" s="26">
        <v>0</v>
      </c>
      <c r="R58" s="26">
        <v>0</v>
      </c>
      <c r="S58" s="26">
        <v>0</v>
      </c>
      <c r="T58" s="26">
        <v>0</v>
      </c>
      <c r="U58" s="26">
        <v>0</v>
      </c>
      <c r="V58" s="26">
        <v>0</v>
      </c>
      <c r="W58" s="26"/>
      <c r="X58" s="26"/>
      <c r="Y58" s="26"/>
      <c r="Z58" s="26">
        <v>0</v>
      </c>
      <c r="AA58" s="26"/>
      <c r="AB58" s="26">
        <v>0</v>
      </c>
      <c r="AC58" s="26">
        <v>0</v>
      </c>
      <c r="AD58" s="26"/>
      <c r="AE58" s="26"/>
      <c r="AF58" s="26"/>
      <c r="AG58" s="26"/>
      <c r="AH58" s="26"/>
      <c r="AI58" s="26"/>
      <c r="AJ58" s="26">
        <v>0</v>
      </c>
      <c r="AK58" s="26">
        <v>0</v>
      </c>
      <c r="AL58" s="113">
        <f>28492500+17500000</f>
        <v>45992500</v>
      </c>
      <c r="AM58" s="14"/>
      <c r="AN58" s="26">
        <v>0</v>
      </c>
      <c r="AO58" s="27">
        <v>0</v>
      </c>
      <c r="AP58" s="26">
        <f>P58+Q58+R58+S58+T58+U58+V58+W58+X58+Y58+Z58+AA58+AB58+AC58+AD58+AE58+AF58+AG58+AH58+AI58+AJ58+AK58+AL58+AM58+AN58+AO58</f>
        <v>45992500</v>
      </c>
    </row>
    <row r="59" spans="1:42" s="28" customFormat="1" ht="114" customHeight="1" x14ac:dyDescent="0.25">
      <c r="A59" s="35"/>
      <c r="B59" s="29"/>
      <c r="C59" s="877"/>
      <c r="D59" s="894"/>
      <c r="E59" s="877"/>
      <c r="F59" s="877"/>
      <c r="G59" s="29"/>
      <c r="H59" s="152">
        <v>272</v>
      </c>
      <c r="I59" s="151" t="s">
        <v>103</v>
      </c>
      <c r="J59" s="24" t="s">
        <v>36</v>
      </c>
      <c r="K59" s="24">
        <v>12</v>
      </c>
      <c r="L59" s="1016"/>
      <c r="M59" s="908"/>
      <c r="N59" s="894"/>
      <c r="O59" s="40" t="s">
        <v>44</v>
      </c>
      <c r="P59" s="26">
        <v>0</v>
      </c>
      <c r="Q59" s="26">
        <v>0</v>
      </c>
      <c r="R59" s="26">
        <v>0</v>
      </c>
      <c r="S59" s="26">
        <v>0</v>
      </c>
      <c r="T59" s="26">
        <v>0</v>
      </c>
      <c r="U59" s="26">
        <v>0</v>
      </c>
      <c r="V59" s="26">
        <v>0</v>
      </c>
      <c r="W59" s="26"/>
      <c r="X59" s="26"/>
      <c r="Y59" s="26"/>
      <c r="Z59" s="26">
        <v>0</v>
      </c>
      <c r="AA59" s="26"/>
      <c r="AB59" s="26">
        <v>0</v>
      </c>
      <c r="AC59" s="26">
        <v>0</v>
      </c>
      <c r="AD59" s="26"/>
      <c r="AE59" s="26"/>
      <c r="AF59" s="26"/>
      <c r="AG59" s="26"/>
      <c r="AH59" s="26"/>
      <c r="AI59" s="26"/>
      <c r="AJ59" s="26">
        <v>0</v>
      </c>
      <c r="AK59" s="26">
        <v>0</v>
      </c>
      <c r="AL59" s="113">
        <f>15000000+17500000</f>
        <v>32500000</v>
      </c>
      <c r="AM59" s="14"/>
      <c r="AN59" s="26">
        <v>0</v>
      </c>
      <c r="AO59" s="27">
        <v>0</v>
      </c>
      <c r="AP59" s="26">
        <f>P59+Q59+R59+S59+T59+U59+V59+W59+X59+Y59+Z59+AA59+AB59+AC59+AD59+AE59+AF59+AG59+AH59+AI59+AJ59+AK59+AL59+AM59+AN59+AO59</f>
        <v>32500000</v>
      </c>
    </row>
    <row r="60" spans="1:42" s="28" customFormat="1" ht="114" customHeight="1" x14ac:dyDescent="0.25">
      <c r="A60" s="35"/>
      <c r="B60" s="29"/>
      <c r="C60" s="877"/>
      <c r="D60" s="894"/>
      <c r="E60" s="877"/>
      <c r="F60" s="877"/>
      <c r="G60" s="29"/>
      <c r="H60" s="152">
        <v>273</v>
      </c>
      <c r="I60" s="151" t="s">
        <v>104</v>
      </c>
      <c r="J60" s="24">
        <v>12</v>
      </c>
      <c r="K60" s="24">
        <v>12</v>
      </c>
      <c r="L60" s="1016"/>
      <c r="M60" s="908"/>
      <c r="N60" s="894"/>
      <c r="O60" s="40" t="s">
        <v>44</v>
      </c>
      <c r="P60" s="26">
        <v>0</v>
      </c>
      <c r="Q60" s="26">
        <v>0</v>
      </c>
      <c r="R60" s="26">
        <v>0</v>
      </c>
      <c r="S60" s="26">
        <v>0</v>
      </c>
      <c r="T60" s="26">
        <v>0</v>
      </c>
      <c r="U60" s="26">
        <v>0</v>
      </c>
      <c r="V60" s="26">
        <v>0</v>
      </c>
      <c r="W60" s="26"/>
      <c r="X60" s="26"/>
      <c r="Y60" s="26"/>
      <c r="Z60" s="26">
        <v>0</v>
      </c>
      <c r="AA60" s="26"/>
      <c r="AB60" s="26">
        <v>0</v>
      </c>
      <c r="AC60" s="26">
        <v>0</v>
      </c>
      <c r="AD60" s="26"/>
      <c r="AE60" s="26"/>
      <c r="AF60" s="26"/>
      <c r="AG60" s="26"/>
      <c r="AH60" s="26"/>
      <c r="AI60" s="26"/>
      <c r="AJ60" s="26">
        <v>0</v>
      </c>
      <c r="AK60" s="26">
        <v>0</v>
      </c>
      <c r="AL60" s="113">
        <v>2672500</v>
      </c>
      <c r="AM60" s="14"/>
      <c r="AN60" s="26">
        <v>0</v>
      </c>
      <c r="AO60" s="27">
        <v>0</v>
      </c>
      <c r="AP60" s="26">
        <f>P60+Q60+R60+S60+T60+U60+V60+W60+X60+Y60+Z60+AA60+AB60+AC60+AD60+AE60+AF60+AG60+AH60+AI60+AJ60+AK60+AL60+AM60+AN60+AO60</f>
        <v>2672500</v>
      </c>
    </row>
    <row r="61" spans="1:42" s="28" customFormat="1" ht="72" customHeight="1" x14ac:dyDescent="0.25">
      <c r="A61" s="35"/>
      <c r="B61" s="29"/>
      <c r="C61" s="877"/>
      <c r="D61" s="894"/>
      <c r="E61" s="877"/>
      <c r="F61" s="877"/>
      <c r="G61" s="29"/>
      <c r="H61" s="152">
        <v>274</v>
      </c>
      <c r="I61" s="151" t="s">
        <v>105</v>
      </c>
      <c r="J61" s="24" t="s">
        <v>36</v>
      </c>
      <c r="K61" s="24">
        <v>12</v>
      </c>
      <c r="L61" s="1016"/>
      <c r="M61" s="908"/>
      <c r="N61" s="894"/>
      <c r="O61" s="40" t="s">
        <v>44</v>
      </c>
      <c r="P61" s="26">
        <v>0</v>
      </c>
      <c r="Q61" s="26">
        <v>0</v>
      </c>
      <c r="R61" s="26">
        <v>0</v>
      </c>
      <c r="S61" s="26">
        <v>0</v>
      </c>
      <c r="T61" s="26">
        <v>0</v>
      </c>
      <c r="U61" s="26">
        <v>0</v>
      </c>
      <c r="V61" s="26">
        <v>0</v>
      </c>
      <c r="W61" s="26"/>
      <c r="X61" s="26"/>
      <c r="Y61" s="26"/>
      <c r="Z61" s="26">
        <v>0</v>
      </c>
      <c r="AA61" s="26"/>
      <c r="AB61" s="26">
        <v>0</v>
      </c>
      <c r="AC61" s="26">
        <v>0</v>
      </c>
      <c r="AD61" s="26"/>
      <c r="AE61" s="26"/>
      <c r="AF61" s="26"/>
      <c r="AG61" s="26"/>
      <c r="AH61" s="26"/>
      <c r="AI61" s="26"/>
      <c r="AJ61" s="26">
        <v>0</v>
      </c>
      <c r="AK61" s="26">
        <v>0</v>
      </c>
      <c r="AL61" s="113">
        <v>14135000</v>
      </c>
      <c r="AM61" s="14"/>
      <c r="AN61" s="26">
        <v>0</v>
      </c>
      <c r="AO61" s="27">
        <v>0</v>
      </c>
      <c r="AP61" s="26">
        <f>P61+Q61+R61+S61+T61+U61+V61+W61+X61+Y61+Z61+AA61+AB61+AC61+AD61+AE61+AF61+AG61+AH61+AI61+AJ61+AK61+AL61+AM61+AN61+AO61</f>
        <v>14135000</v>
      </c>
    </row>
    <row r="62" spans="1:42" s="28" customFormat="1" ht="96" customHeight="1" x14ac:dyDescent="0.25">
      <c r="A62" s="35"/>
      <c r="B62" s="29"/>
      <c r="C62" s="887"/>
      <c r="D62" s="895"/>
      <c r="E62" s="887"/>
      <c r="F62" s="887"/>
      <c r="G62" s="31"/>
      <c r="H62" s="152">
        <v>260</v>
      </c>
      <c r="I62" s="151" t="s">
        <v>106</v>
      </c>
      <c r="J62" s="24">
        <v>12</v>
      </c>
      <c r="K62" s="24">
        <v>12</v>
      </c>
      <c r="L62" s="1017"/>
      <c r="M62" s="909"/>
      <c r="N62" s="895"/>
      <c r="O62" s="40" t="s">
        <v>44</v>
      </c>
      <c r="P62" s="26">
        <v>0</v>
      </c>
      <c r="Q62" s="26">
        <v>0</v>
      </c>
      <c r="R62" s="26">
        <v>0</v>
      </c>
      <c r="S62" s="26">
        <v>0</v>
      </c>
      <c r="T62" s="26">
        <v>0</v>
      </c>
      <c r="U62" s="26">
        <v>0</v>
      </c>
      <c r="V62" s="26">
        <v>0</v>
      </c>
      <c r="W62" s="26"/>
      <c r="X62" s="26"/>
      <c r="Y62" s="26"/>
      <c r="Z62" s="26">
        <v>0</v>
      </c>
      <c r="AA62" s="26"/>
      <c r="AB62" s="26">
        <v>0</v>
      </c>
      <c r="AC62" s="26">
        <v>0</v>
      </c>
      <c r="AD62" s="26"/>
      <c r="AE62" s="26"/>
      <c r="AF62" s="26"/>
      <c r="AG62" s="26"/>
      <c r="AH62" s="26"/>
      <c r="AI62" s="26"/>
      <c r="AJ62" s="26">
        <v>0</v>
      </c>
      <c r="AK62" s="26">
        <v>0</v>
      </c>
      <c r="AL62" s="113">
        <v>18000000</v>
      </c>
      <c r="AM62" s="14"/>
      <c r="AN62" s="26">
        <v>0</v>
      </c>
      <c r="AO62" s="27">
        <v>0</v>
      </c>
      <c r="AP62" s="26">
        <f>P62+Q62+R62+S62+T62+U62+V62+W62+X62+Y62+Z62+AA62+AB62+AC62+AD62+AE62+AF62+AG62+AH62+AI62+AJ62+AK62+AL62+AM62+AN62+AO62</f>
        <v>18000000</v>
      </c>
    </row>
    <row r="63" spans="1:42" s="196" customFormat="1" ht="15" x14ac:dyDescent="0.25">
      <c r="A63" s="35"/>
      <c r="B63" s="31"/>
      <c r="C63" s="152"/>
      <c r="D63" s="151"/>
      <c r="E63" s="152"/>
      <c r="F63" s="152"/>
      <c r="G63" s="191"/>
      <c r="H63" s="192"/>
      <c r="I63" s="191"/>
      <c r="J63" s="193"/>
      <c r="K63" s="193"/>
      <c r="L63" s="193"/>
      <c r="M63" s="194"/>
      <c r="N63" s="191"/>
      <c r="O63" s="192"/>
      <c r="P63" s="195">
        <f>SUM(P45:P62)</f>
        <v>0</v>
      </c>
      <c r="Q63" s="195">
        <f t="shared" ref="Q63:AK63" si="17">SUM(Q45:Q62)</f>
        <v>0</v>
      </c>
      <c r="R63" s="195">
        <f t="shared" si="17"/>
        <v>0</v>
      </c>
      <c r="S63" s="195">
        <f t="shared" si="17"/>
        <v>0</v>
      </c>
      <c r="T63" s="195">
        <f t="shared" si="17"/>
        <v>0</v>
      </c>
      <c r="U63" s="195">
        <f t="shared" si="17"/>
        <v>0</v>
      </c>
      <c r="V63" s="195">
        <f t="shared" si="17"/>
        <v>0</v>
      </c>
      <c r="W63" s="195">
        <f t="shared" si="17"/>
        <v>0</v>
      </c>
      <c r="X63" s="195">
        <f t="shared" si="17"/>
        <v>0</v>
      </c>
      <c r="Y63" s="195">
        <f t="shared" si="17"/>
        <v>0</v>
      </c>
      <c r="Z63" s="195">
        <f t="shared" si="17"/>
        <v>0</v>
      </c>
      <c r="AA63" s="195">
        <f t="shared" si="17"/>
        <v>0</v>
      </c>
      <c r="AB63" s="195">
        <f t="shared" si="17"/>
        <v>0</v>
      </c>
      <c r="AC63" s="195">
        <f t="shared" si="17"/>
        <v>0</v>
      </c>
      <c r="AD63" s="195">
        <f t="shared" si="17"/>
        <v>0</v>
      </c>
      <c r="AE63" s="195">
        <f t="shared" si="17"/>
        <v>0</v>
      </c>
      <c r="AF63" s="195">
        <f t="shared" si="17"/>
        <v>0</v>
      </c>
      <c r="AG63" s="195">
        <f t="shared" si="17"/>
        <v>0</v>
      </c>
      <c r="AH63" s="195">
        <f t="shared" si="17"/>
        <v>0</v>
      </c>
      <c r="AI63" s="195">
        <f t="shared" si="17"/>
        <v>0</v>
      </c>
      <c r="AJ63" s="195">
        <f t="shared" si="17"/>
        <v>0</v>
      </c>
      <c r="AK63" s="195">
        <f t="shared" si="17"/>
        <v>0</v>
      </c>
      <c r="AL63" s="195">
        <f t="shared" ref="AL63:AP63" si="18">SUM(AL45:AL62)</f>
        <v>1320000000</v>
      </c>
      <c r="AM63" s="195">
        <f t="shared" si="18"/>
        <v>0</v>
      </c>
      <c r="AN63" s="195">
        <f t="shared" si="18"/>
        <v>0</v>
      </c>
      <c r="AO63" s="195">
        <f t="shared" si="18"/>
        <v>0</v>
      </c>
      <c r="AP63" s="195">
        <f t="shared" si="18"/>
        <v>1320000000</v>
      </c>
    </row>
    <row r="64" spans="1:42" s="196" customFormat="1" ht="15" x14ac:dyDescent="0.25">
      <c r="A64" s="273"/>
      <c r="B64" s="260"/>
      <c r="C64" s="199"/>
      <c r="D64" s="198"/>
      <c r="E64" s="199"/>
      <c r="F64" s="199"/>
      <c r="G64" s="198"/>
      <c r="H64" s="199"/>
      <c r="I64" s="198"/>
      <c r="J64" s="200"/>
      <c r="K64" s="200"/>
      <c r="L64" s="200"/>
      <c r="M64" s="201"/>
      <c r="N64" s="198"/>
      <c r="O64" s="199"/>
      <c r="P64" s="202">
        <f t="shared" ref="P64:AK64" si="19">P63</f>
        <v>0</v>
      </c>
      <c r="Q64" s="202">
        <f t="shared" si="19"/>
        <v>0</v>
      </c>
      <c r="R64" s="202">
        <f t="shared" si="19"/>
        <v>0</v>
      </c>
      <c r="S64" s="202">
        <f t="shared" si="19"/>
        <v>0</v>
      </c>
      <c r="T64" s="202">
        <f t="shared" si="19"/>
        <v>0</v>
      </c>
      <c r="U64" s="202">
        <f t="shared" si="19"/>
        <v>0</v>
      </c>
      <c r="V64" s="202">
        <f t="shared" si="19"/>
        <v>0</v>
      </c>
      <c r="W64" s="202">
        <f t="shared" si="19"/>
        <v>0</v>
      </c>
      <c r="X64" s="202">
        <f t="shared" si="19"/>
        <v>0</v>
      </c>
      <c r="Y64" s="202">
        <f t="shared" si="19"/>
        <v>0</v>
      </c>
      <c r="Z64" s="202">
        <f t="shared" si="19"/>
        <v>0</v>
      </c>
      <c r="AA64" s="202">
        <f t="shared" si="19"/>
        <v>0</v>
      </c>
      <c r="AB64" s="202">
        <f t="shared" si="19"/>
        <v>0</v>
      </c>
      <c r="AC64" s="202">
        <f t="shared" si="19"/>
        <v>0</v>
      </c>
      <c r="AD64" s="202">
        <f t="shared" si="19"/>
        <v>0</v>
      </c>
      <c r="AE64" s="202">
        <f t="shared" si="19"/>
        <v>0</v>
      </c>
      <c r="AF64" s="202">
        <f t="shared" si="19"/>
        <v>0</v>
      </c>
      <c r="AG64" s="202">
        <f t="shared" si="19"/>
        <v>0</v>
      </c>
      <c r="AH64" s="202">
        <f t="shared" si="19"/>
        <v>0</v>
      </c>
      <c r="AI64" s="202">
        <f t="shared" si="19"/>
        <v>0</v>
      </c>
      <c r="AJ64" s="202">
        <f t="shared" si="19"/>
        <v>0</v>
      </c>
      <c r="AK64" s="202">
        <f t="shared" si="19"/>
        <v>0</v>
      </c>
      <c r="AL64" s="202">
        <f t="shared" ref="AL64:AP64" si="20">AL63</f>
        <v>1320000000</v>
      </c>
      <c r="AM64" s="202">
        <f t="shared" si="20"/>
        <v>0</v>
      </c>
      <c r="AN64" s="202">
        <f t="shared" si="20"/>
        <v>0</v>
      </c>
      <c r="AO64" s="202">
        <f t="shared" si="20"/>
        <v>0</v>
      </c>
      <c r="AP64" s="202">
        <f t="shared" si="20"/>
        <v>1320000000</v>
      </c>
    </row>
    <row r="65" spans="1:47" s="276" customFormat="1" ht="20.25" x14ac:dyDescent="0.25">
      <c r="A65" s="203"/>
      <c r="B65" s="203"/>
      <c r="C65" s="204"/>
      <c r="D65" s="203"/>
      <c r="E65" s="204"/>
      <c r="F65" s="204"/>
      <c r="G65" s="203"/>
      <c r="H65" s="204"/>
      <c r="I65" s="203"/>
      <c r="J65" s="205"/>
      <c r="K65" s="205"/>
      <c r="L65" s="205"/>
      <c r="M65" s="206"/>
      <c r="N65" s="203"/>
      <c r="O65" s="204"/>
      <c r="P65" s="207">
        <f t="shared" ref="P65:AK65" si="21">P35+P41+P64</f>
        <v>0</v>
      </c>
      <c r="Q65" s="207">
        <f t="shared" si="21"/>
        <v>0</v>
      </c>
      <c r="R65" s="207">
        <f t="shared" si="21"/>
        <v>0</v>
      </c>
      <c r="S65" s="207">
        <f t="shared" si="21"/>
        <v>0</v>
      </c>
      <c r="T65" s="207">
        <f t="shared" si="21"/>
        <v>0</v>
      </c>
      <c r="U65" s="207">
        <f t="shared" si="21"/>
        <v>0</v>
      </c>
      <c r="V65" s="207">
        <f t="shared" si="21"/>
        <v>0</v>
      </c>
      <c r="W65" s="207">
        <f t="shared" si="21"/>
        <v>0</v>
      </c>
      <c r="X65" s="207">
        <f t="shared" si="21"/>
        <v>0</v>
      </c>
      <c r="Y65" s="207">
        <f t="shared" si="21"/>
        <v>0</v>
      </c>
      <c r="Z65" s="207">
        <f t="shared" si="21"/>
        <v>0</v>
      </c>
      <c r="AA65" s="207">
        <f t="shared" si="21"/>
        <v>0</v>
      </c>
      <c r="AB65" s="207">
        <f t="shared" si="21"/>
        <v>0</v>
      </c>
      <c r="AC65" s="207">
        <f t="shared" si="21"/>
        <v>0</v>
      </c>
      <c r="AD65" s="207">
        <f t="shared" si="21"/>
        <v>0</v>
      </c>
      <c r="AE65" s="207">
        <f t="shared" si="21"/>
        <v>0</v>
      </c>
      <c r="AF65" s="207">
        <f t="shared" si="21"/>
        <v>0</v>
      </c>
      <c r="AG65" s="207">
        <f t="shared" si="21"/>
        <v>0</v>
      </c>
      <c r="AH65" s="207">
        <f t="shared" si="21"/>
        <v>0</v>
      </c>
      <c r="AI65" s="207">
        <f t="shared" si="21"/>
        <v>0</v>
      </c>
      <c r="AJ65" s="207">
        <f t="shared" si="21"/>
        <v>0</v>
      </c>
      <c r="AK65" s="207">
        <f t="shared" si="21"/>
        <v>0</v>
      </c>
      <c r="AL65" s="207">
        <f t="shared" ref="AL65:AP65" si="22">AL35+AL41+AL64</f>
        <v>1530000000</v>
      </c>
      <c r="AM65" s="207">
        <f t="shared" si="22"/>
        <v>0</v>
      </c>
      <c r="AN65" s="207">
        <f t="shared" si="22"/>
        <v>0</v>
      </c>
      <c r="AO65" s="207">
        <f t="shared" si="22"/>
        <v>0</v>
      </c>
      <c r="AP65" s="207">
        <f t="shared" si="22"/>
        <v>1530000000</v>
      </c>
      <c r="AQ65" s="274"/>
      <c r="AR65" s="274"/>
      <c r="AS65" s="274"/>
      <c r="AT65" s="274"/>
      <c r="AU65" s="275"/>
    </row>
    <row r="66" spans="1:47" s="276" customFormat="1" ht="20.25" x14ac:dyDescent="0.25">
      <c r="A66" s="208"/>
      <c r="B66" s="208"/>
      <c r="C66" s="209"/>
      <c r="D66" s="208"/>
      <c r="E66" s="209"/>
      <c r="F66" s="209"/>
      <c r="G66" s="208"/>
      <c r="H66" s="209"/>
      <c r="I66" s="208"/>
      <c r="J66" s="210"/>
      <c r="K66" s="210"/>
      <c r="L66" s="210"/>
      <c r="M66" s="211"/>
      <c r="N66" s="208"/>
      <c r="O66" s="209"/>
      <c r="P66" s="212">
        <f t="shared" ref="P66:AK66" si="23">P65</f>
        <v>0</v>
      </c>
      <c r="Q66" s="212">
        <f t="shared" si="23"/>
        <v>0</v>
      </c>
      <c r="R66" s="212">
        <f t="shared" si="23"/>
        <v>0</v>
      </c>
      <c r="S66" s="212">
        <f t="shared" si="23"/>
        <v>0</v>
      </c>
      <c r="T66" s="212">
        <f t="shared" si="23"/>
        <v>0</v>
      </c>
      <c r="U66" s="212">
        <f t="shared" si="23"/>
        <v>0</v>
      </c>
      <c r="V66" s="212">
        <f t="shared" si="23"/>
        <v>0</v>
      </c>
      <c r="W66" s="212">
        <f t="shared" si="23"/>
        <v>0</v>
      </c>
      <c r="X66" s="212">
        <f t="shared" si="23"/>
        <v>0</v>
      </c>
      <c r="Y66" s="212">
        <f t="shared" si="23"/>
        <v>0</v>
      </c>
      <c r="Z66" s="212">
        <f t="shared" si="23"/>
        <v>0</v>
      </c>
      <c r="AA66" s="212">
        <f t="shared" si="23"/>
        <v>0</v>
      </c>
      <c r="AB66" s="212">
        <f t="shared" si="23"/>
        <v>0</v>
      </c>
      <c r="AC66" s="212">
        <f t="shared" si="23"/>
        <v>0</v>
      </c>
      <c r="AD66" s="212">
        <f t="shared" si="23"/>
        <v>0</v>
      </c>
      <c r="AE66" s="212">
        <f t="shared" si="23"/>
        <v>0</v>
      </c>
      <c r="AF66" s="212">
        <f t="shared" si="23"/>
        <v>0</v>
      </c>
      <c r="AG66" s="212">
        <f t="shared" si="23"/>
        <v>0</v>
      </c>
      <c r="AH66" s="212">
        <f t="shared" si="23"/>
        <v>0</v>
      </c>
      <c r="AI66" s="212">
        <f t="shared" si="23"/>
        <v>0</v>
      </c>
      <c r="AJ66" s="212">
        <f t="shared" si="23"/>
        <v>0</v>
      </c>
      <c r="AK66" s="212">
        <f t="shared" si="23"/>
        <v>0</v>
      </c>
      <c r="AL66" s="212">
        <f t="shared" ref="AL66:AP66" si="24">AL65</f>
        <v>1530000000</v>
      </c>
      <c r="AM66" s="212">
        <f t="shared" si="24"/>
        <v>0</v>
      </c>
      <c r="AN66" s="212">
        <f t="shared" si="24"/>
        <v>0</v>
      </c>
      <c r="AO66" s="212">
        <f t="shared" si="24"/>
        <v>0</v>
      </c>
      <c r="AP66" s="212">
        <f t="shared" si="24"/>
        <v>1530000000</v>
      </c>
      <c r="AQ66" s="274"/>
      <c r="AR66" s="274"/>
      <c r="AS66" s="274"/>
      <c r="AT66" s="274"/>
      <c r="AU66" s="275"/>
    </row>
    <row r="67" spans="1:47" s="48" customFormat="1" ht="20.25" x14ac:dyDescent="0.25">
      <c r="A67" s="277"/>
      <c r="B67" s="265"/>
      <c r="C67" s="153"/>
      <c r="D67" s="265"/>
      <c r="E67" s="153"/>
      <c r="F67" s="153"/>
      <c r="G67" s="265"/>
      <c r="H67" s="153"/>
      <c r="I67" s="265"/>
      <c r="J67" s="278"/>
      <c r="K67" s="278"/>
      <c r="L67" s="278"/>
      <c r="M67" s="279"/>
      <c r="N67" s="265"/>
      <c r="O67" s="454"/>
      <c r="P67" s="280"/>
      <c r="Q67" s="280"/>
      <c r="R67" s="280"/>
      <c r="S67" s="280"/>
      <c r="T67" s="280"/>
      <c r="U67" s="280"/>
      <c r="V67" s="280"/>
      <c r="W67" s="280"/>
      <c r="X67" s="280"/>
      <c r="Y67" s="280"/>
      <c r="Z67" s="280"/>
      <c r="AA67" s="280"/>
      <c r="AB67" s="280"/>
      <c r="AC67" s="280"/>
      <c r="AD67" s="281"/>
      <c r="AE67" s="281"/>
      <c r="AF67" s="281"/>
      <c r="AG67" s="281"/>
      <c r="AH67" s="281"/>
      <c r="AI67" s="281"/>
      <c r="AJ67" s="280"/>
      <c r="AK67" s="280"/>
      <c r="AL67" s="282"/>
      <c r="AM67" s="280"/>
      <c r="AN67" s="280"/>
      <c r="AO67" s="280"/>
      <c r="AP67" s="283"/>
    </row>
    <row r="68" spans="1:47" s="196" customFormat="1" ht="20.25" x14ac:dyDescent="0.25">
      <c r="A68" s="284" t="s">
        <v>107</v>
      </c>
      <c r="B68" s="285"/>
      <c r="C68" s="286"/>
      <c r="D68" s="285"/>
      <c r="E68" s="285"/>
      <c r="F68" s="285"/>
      <c r="G68" s="285"/>
      <c r="H68" s="286"/>
      <c r="I68" s="285"/>
      <c r="J68" s="285"/>
      <c r="K68" s="285"/>
      <c r="L68" s="285"/>
      <c r="M68" s="287"/>
      <c r="N68" s="285"/>
      <c r="O68" s="167"/>
      <c r="P68" s="285"/>
      <c r="Q68" s="285"/>
      <c r="R68" s="285"/>
      <c r="S68" s="285"/>
      <c r="T68" s="285"/>
      <c r="U68" s="285"/>
      <c r="V68" s="285"/>
      <c r="W68" s="285"/>
      <c r="X68" s="285"/>
      <c r="Y68" s="285"/>
      <c r="Z68" s="285"/>
      <c r="AA68" s="285"/>
      <c r="AB68" s="285"/>
      <c r="AC68" s="285"/>
      <c r="AD68" s="285"/>
      <c r="AE68" s="285"/>
      <c r="AF68" s="285"/>
      <c r="AG68" s="285"/>
      <c r="AH68" s="285"/>
      <c r="AI68" s="285"/>
      <c r="AJ68" s="285"/>
      <c r="AK68" s="285"/>
      <c r="AL68" s="288"/>
      <c r="AM68" s="289"/>
      <c r="AN68" s="285"/>
      <c r="AO68" s="285"/>
      <c r="AP68" s="290" t="s">
        <v>0</v>
      </c>
    </row>
    <row r="69" spans="1:47" s="196" customFormat="1" x14ac:dyDescent="0.25">
      <c r="A69" s="173">
        <v>5</v>
      </c>
      <c r="B69" s="174" t="s">
        <v>32</v>
      </c>
      <c r="C69" s="175"/>
      <c r="D69" s="174"/>
      <c r="E69" s="174"/>
      <c r="F69" s="174"/>
      <c r="G69" s="174"/>
      <c r="H69" s="175"/>
      <c r="I69" s="174"/>
      <c r="J69" s="174"/>
      <c r="K69" s="174"/>
      <c r="L69" s="174"/>
      <c r="M69" s="176"/>
      <c r="N69" s="174"/>
      <c r="O69" s="174"/>
      <c r="P69" s="174"/>
      <c r="Q69" s="174"/>
      <c r="R69" s="174"/>
      <c r="S69" s="174"/>
      <c r="T69" s="174"/>
      <c r="U69" s="174"/>
      <c r="V69" s="174"/>
      <c r="W69" s="174"/>
      <c r="X69" s="174"/>
      <c r="Y69" s="174"/>
      <c r="Z69" s="174"/>
      <c r="AA69" s="174"/>
      <c r="AB69" s="174"/>
      <c r="AC69" s="174"/>
      <c r="AD69" s="174"/>
      <c r="AE69" s="174"/>
      <c r="AF69" s="174"/>
      <c r="AG69" s="174"/>
      <c r="AH69" s="174"/>
      <c r="AI69" s="174"/>
      <c r="AJ69" s="174"/>
      <c r="AK69" s="174"/>
      <c r="AL69" s="177"/>
      <c r="AM69" s="174"/>
      <c r="AN69" s="174"/>
      <c r="AO69" s="174"/>
      <c r="AP69" s="174"/>
    </row>
    <row r="70" spans="1:47" s="196" customFormat="1" x14ac:dyDescent="0.25">
      <c r="A70" s="222"/>
      <c r="B70" s="291">
        <v>28</v>
      </c>
      <c r="C70" s="181" t="s">
        <v>33</v>
      </c>
      <c r="D70" s="182"/>
      <c r="E70" s="182"/>
      <c r="F70" s="182"/>
      <c r="G70" s="182"/>
      <c r="H70" s="183"/>
      <c r="I70" s="182"/>
      <c r="J70" s="182"/>
      <c r="K70" s="182"/>
      <c r="L70" s="182"/>
      <c r="M70" s="184"/>
      <c r="N70" s="182"/>
      <c r="O70" s="182"/>
      <c r="P70" s="182"/>
      <c r="Q70" s="182"/>
      <c r="R70" s="182"/>
      <c r="S70" s="182"/>
      <c r="T70" s="182"/>
      <c r="U70" s="182"/>
      <c r="V70" s="182"/>
      <c r="W70" s="182"/>
      <c r="X70" s="182"/>
      <c r="Y70" s="182"/>
      <c r="Z70" s="182"/>
      <c r="AA70" s="182"/>
      <c r="AB70" s="182"/>
      <c r="AC70" s="182"/>
      <c r="AD70" s="182"/>
      <c r="AE70" s="182"/>
      <c r="AF70" s="182"/>
      <c r="AG70" s="182"/>
      <c r="AH70" s="182"/>
      <c r="AI70" s="182"/>
      <c r="AJ70" s="182"/>
      <c r="AK70" s="182"/>
      <c r="AL70" s="185"/>
      <c r="AM70" s="182"/>
      <c r="AN70" s="182"/>
      <c r="AO70" s="182"/>
      <c r="AP70" s="182"/>
    </row>
    <row r="71" spans="1:47" s="196" customFormat="1" x14ac:dyDescent="0.25">
      <c r="A71" s="35"/>
      <c r="B71" s="222"/>
      <c r="C71" s="292"/>
      <c r="D71" s="224"/>
      <c r="E71" s="224"/>
      <c r="F71" s="225"/>
      <c r="G71" s="226">
        <v>88</v>
      </c>
      <c r="H71" s="326" t="s">
        <v>108</v>
      </c>
      <c r="I71" s="227"/>
      <c r="J71" s="227"/>
      <c r="K71" s="227"/>
      <c r="L71" s="227"/>
      <c r="M71" s="228"/>
      <c r="N71" s="227"/>
      <c r="O71" s="227"/>
      <c r="P71" s="227"/>
      <c r="Q71" s="227"/>
      <c r="R71" s="227"/>
      <c r="S71" s="227"/>
      <c r="T71" s="227"/>
      <c r="U71" s="227"/>
      <c r="V71" s="227"/>
      <c r="W71" s="227"/>
      <c r="X71" s="227"/>
      <c r="Y71" s="227"/>
      <c r="Z71" s="227"/>
      <c r="AA71" s="227"/>
      <c r="AB71" s="227"/>
      <c r="AC71" s="227"/>
      <c r="AD71" s="227"/>
      <c r="AE71" s="227"/>
      <c r="AF71" s="227"/>
      <c r="AG71" s="227"/>
      <c r="AH71" s="227"/>
      <c r="AI71" s="227"/>
      <c r="AJ71" s="227"/>
      <c r="AK71" s="227"/>
      <c r="AL71" s="229"/>
      <c r="AM71" s="293"/>
      <c r="AN71" s="227"/>
      <c r="AO71" s="227"/>
      <c r="AP71" s="227"/>
    </row>
    <row r="72" spans="1:47" s="28" customFormat="1" ht="60.75" customHeight="1" x14ac:dyDescent="0.25">
      <c r="A72" s="35"/>
      <c r="B72" s="35"/>
      <c r="C72" s="864">
        <v>38</v>
      </c>
      <c r="D72" s="893" t="s">
        <v>45</v>
      </c>
      <c r="E72" s="876">
        <v>0</v>
      </c>
      <c r="F72" s="876">
        <v>2</v>
      </c>
      <c r="G72" s="23"/>
      <c r="H72" s="135">
        <v>275</v>
      </c>
      <c r="I72" s="138" t="s">
        <v>109</v>
      </c>
      <c r="J72" s="43" t="s">
        <v>36</v>
      </c>
      <c r="K72" s="43">
        <v>4</v>
      </c>
      <c r="L72" s="1016" t="s">
        <v>37</v>
      </c>
      <c r="M72" s="907" t="s">
        <v>110</v>
      </c>
      <c r="N72" s="893" t="s">
        <v>111</v>
      </c>
      <c r="O72" s="135" t="s">
        <v>44</v>
      </c>
      <c r="P72" s="44"/>
      <c r="Q72" s="44"/>
      <c r="R72" s="44"/>
      <c r="S72" s="44"/>
      <c r="T72" s="45">
        <v>0</v>
      </c>
      <c r="U72" s="45">
        <v>0</v>
      </c>
      <c r="V72" s="44"/>
      <c r="W72" s="44"/>
      <c r="X72" s="44"/>
      <c r="Y72" s="44"/>
      <c r="Z72" s="44"/>
      <c r="AA72" s="44"/>
      <c r="AB72" s="44"/>
      <c r="AC72" s="44"/>
      <c r="AD72" s="44"/>
      <c r="AE72" s="44"/>
      <c r="AF72" s="44"/>
      <c r="AG72" s="44"/>
      <c r="AH72" s="44"/>
      <c r="AI72" s="44"/>
      <c r="AJ72" s="44"/>
      <c r="AK72" s="44"/>
      <c r="AL72" s="113">
        <f>621000000+600000000</f>
        <v>1221000000</v>
      </c>
      <c r="AM72" s="14"/>
      <c r="AN72" s="46"/>
      <c r="AO72" s="44"/>
      <c r="AP72" s="26">
        <f>P72+Q72+R72+S72+T72+U72+V72+W72+X72+Y72+Z72+AA72+AB72+AC72+AD72+AE72+AF72+AG72+AH72+AI72+AJ72+AK72+AL72+AM72+AN72+AO72</f>
        <v>1221000000</v>
      </c>
    </row>
    <row r="73" spans="1:47" s="28" customFormat="1" ht="62.25" customHeight="1" x14ac:dyDescent="0.25">
      <c r="A73" s="35"/>
      <c r="B73" s="35"/>
      <c r="C73" s="865"/>
      <c r="D73" s="894"/>
      <c r="E73" s="877"/>
      <c r="F73" s="877"/>
      <c r="G73" s="29"/>
      <c r="H73" s="135">
        <v>276</v>
      </c>
      <c r="I73" s="151" t="s">
        <v>112</v>
      </c>
      <c r="J73" s="24">
        <v>1</v>
      </c>
      <c r="K73" s="24">
        <v>1</v>
      </c>
      <c r="L73" s="1016"/>
      <c r="M73" s="908"/>
      <c r="N73" s="894"/>
      <c r="O73" s="152" t="s">
        <v>44</v>
      </c>
      <c r="P73" s="44"/>
      <c r="Q73" s="44"/>
      <c r="R73" s="44"/>
      <c r="S73" s="44"/>
      <c r="T73" s="11">
        <f>41200000-41200000</f>
        <v>0</v>
      </c>
      <c r="U73" s="44"/>
      <c r="V73" s="44"/>
      <c r="W73" s="44"/>
      <c r="X73" s="44"/>
      <c r="Y73" s="44"/>
      <c r="Z73" s="44"/>
      <c r="AA73" s="44"/>
      <c r="AB73" s="44"/>
      <c r="AC73" s="44"/>
      <c r="AD73" s="44"/>
      <c r="AE73" s="44"/>
      <c r="AF73" s="44"/>
      <c r="AG73" s="44"/>
      <c r="AH73" s="44"/>
      <c r="AI73" s="44"/>
      <c r="AJ73" s="44"/>
      <c r="AK73" s="44"/>
      <c r="AL73" s="113">
        <f>3600000+146600000+110000000</f>
        <v>260200000</v>
      </c>
      <c r="AM73" s="14"/>
      <c r="AN73" s="44"/>
      <c r="AO73" s="44"/>
      <c r="AP73" s="26">
        <f>P73+Q73+R73+S73+T73+U73+V73+W73+X73+Y73+Z73+AA73+AB73+AC73+AD73+AE73+AF73+AG73+AH73+AI73+AJ73+AK73+AL73+AM73+AN73+AO73</f>
        <v>260200000</v>
      </c>
    </row>
    <row r="74" spans="1:47" s="48" customFormat="1" ht="63" customHeight="1" x14ac:dyDescent="0.25">
      <c r="A74" s="35"/>
      <c r="B74" s="35"/>
      <c r="C74" s="866"/>
      <c r="D74" s="895"/>
      <c r="E74" s="887"/>
      <c r="F74" s="887"/>
      <c r="G74" s="29"/>
      <c r="H74" s="135">
        <v>277</v>
      </c>
      <c r="I74" s="151" t="s">
        <v>113</v>
      </c>
      <c r="J74" s="24">
        <v>1</v>
      </c>
      <c r="K74" s="24">
        <v>1</v>
      </c>
      <c r="L74" s="1017"/>
      <c r="M74" s="909"/>
      <c r="N74" s="895"/>
      <c r="O74" s="152" t="s">
        <v>44</v>
      </c>
      <c r="P74" s="44"/>
      <c r="Q74" s="44"/>
      <c r="R74" s="44"/>
      <c r="S74" s="44"/>
      <c r="T74" s="45">
        <f>41200000+35332521</f>
        <v>76532521</v>
      </c>
      <c r="U74" s="44"/>
      <c r="V74" s="44"/>
      <c r="W74" s="44"/>
      <c r="X74" s="44"/>
      <c r="Y74" s="44"/>
      <c r="Z74" s="44"/>
      <c r="AA74" s="44"/>
      <c r="AB74" s="44"/>
      <c r="AC74" s="44"/>
      <c r="AD74" s="44"/>
      <c r="AE74" s="44"/>
      <c r="AF74" s="44"/>
      <c r="AG74" s="44"/>
      <c r="AH74" s="44"/>
      <c r="AI74" s="44"/>
      <c r="AJ74" s="44"/>
      <c r="AK74" s="47"/>
      <c r="AL74" s="113">
        <v>0</v>
      </c>
      <c r="AM74" s="14"/>
      <c r="AN74" s="26"/>
      <c r="AO74" s="11">
        <f>200000000+5733586</f>
        <v>205733586</v>
      </c>
      <c r="AP74" s="26">
        <f>P74+Q74+R74+S74+T74+U74+V74+W74+X74+Y74+Z74+AA74+AB74+AC74+AD74+AE74+AF74+AG74+AH74+AI74+AJ74+AK74+AL74+AM74+AN74+AO74</f>
        <v>282266107</v>
      </c>
    </row>
    <row r="75" spans="1:47" s="28" customFormat="1" ht="54" customHeight="1" x14ac:dyDescent="0.25">
      <c r="A75" s="35"/>
      <c r="B75" s="35"/>
      <c r="C75" s="864">
        <v>38</v>
      </c>
      <c r="D75" s="893" t="s">
        <v>45</v>
      </c>
      <c r="E75" s="876">
        <v>0</v>
      </c>
      <c r="F75" s="876">
        <v>2</v>
      </c>
      <c r="G75" s="29"/>
      <c r="H75" s="135">
        <v>278</v>
      </c>
      <c r="I75" s="151" t="s">
        <v>114</v>
      </c>
      <c r="J75" s="24" t="s">
        <v>36</v>
      </c>
      <c r="K75" s="24">
        <v>1</v>
      </c>
      <c r="L75" s="1015" t="s">
        <v>37</v>
      </c>
      <c r="M75" s="907" t="s">
        <v>115</v>
      </c>
      <c r="N75" s="893" t="s">
        <v>116</v>
      </c>
      <c r="O75" s="152" t="s">
        <v>44</v>
      </c>
      <c r="P75" s="26">
        <v>0</v>
      </c>
      <c r="Q75" s="26">
        <v>0</v>
      </c>
      <c r="R75" s="26">
        <v>0</v>
      </c>
      <c r="S75" s="26">
        <v>0</v>
      </c>
      <c r="T75" s="26">
        <v>0</v>
      </c>
      <c r="U75" s="26">
        <v>0</v>
      </c>
      <c r="V75" s="26">
        <v>0</v>
      </c>
      <c r="W75" s="26"/>
      <c r="X75" s="26"/>
      <c r="Y75" s="26"/>
      <c r="Z75" s="26">
        <v>0</v>
      </c>
      <c r="AA75" s="26"/>
      <c r="AB75" s="26">
        <v>0</v>
      </c>
      <c r="AC75" s="26">
        <v>0</v>
      </c>
      <c r="AD75" s="26"/>
      <c r="AE75" s="26"/>
      <c r="AF75" s="26"/>
      <c r="AG75" s="26"/>
      <c r="AH75" s="26"/>
      <c r="AI75" s="26"/>
      <c r="AJ75" s="26">
        <v>0</v>
      </c>
      <c r="AK75" s="26">
        <v>0</v>
      </c>
      <c r="AL75" s="113">
        <f>5700000+14300000+20000000</f>
        <v>40000000</v>
      </c>
      <c r="AM75" s="14"/>
      <c r="AN75" s="26">
        <v>0</v>
      </c>
      <c r="AO75" s="27">
        <v>0</v>
      </c>
      <c r="AP75" s="26">
        <f>P75+Q75+R75+S75+T75+U75+V75+W75+X75+Y75+Z75+AA75+AB75+AC75+AD75+AE75+AF75+AG75+AH75+AI75+AJ75+AK75+AL75+AM75+AN75+AO75</f>
        <v>40000000</v>
      </c>
    </row>
    <row r="76" spans="1:47" s="28" customFormat="1" ht="66.75" customHeight="1" x14ac:dyDescent="0.25">
      <c r="A76" s="35"/>
      <c r="B76" s="35"/>
      <c r="C76" s="866"/>
      <c r="D76" s="895"/>
      <c r="E76" s="887"/>
      <c r="F76" s="887"/>
      <c r="G76" s="31"/>
      <c r="H76" s="135">
        <v>279</v>
      </c>
      <c r="I76" s="151" t="s">
        <v>117</v>
      </c>
      <c r="J76" s="24" t="s">
        <v>36</v>
      </c>
      <c r="K76" s="24">
        <v>1</v>
      </c>
      <c r="L76" s="1017"/>
      <c r="M76" s="909"/>
      <c r="N76" s="895"/>
      <c r="O76" s="152" t="s">
        <v>44</v>
      </c>
      <c r="P76" s="26">
        <v>0</v>
      </c>
      <c r="Q76" s="26">
        <v>0</v>
      </c>
      <c r="R76" s="26">
        <v>0</v>
      </c>
      <c r="S76" s="26">
        <v>0</v>
      </c>
      <c r="T76" s="26">
        <v>0</v>
      </c>
      <c r="U76" s="26"/>
      <c r="V76" s="26">
        <v>0</v>
      </c>
      <c r="W76" s="26"/>
      <c r="X76" s="26"/>
      <c r="Y76" s="26"/>
      <c r="Z76" s="26">
        <v>0</v>
      </c>
      <c r="AA76" s="26"/>
      <c r="AB76" s="26">
        <v>0</v>
      </c>
      <c r="AC76" s="26">
        <v>0</v>
      </c>
      <c r="AD76" s="26"/>
      <c r="AE76" s="26"/>
      <c r="AF76" s="26"/>
      <c r="AG76" s="26"/>
      <c r="AH76" s="26"/>
      <c r="AI76" s="26"/>
      <c r="AJ76" s="26">
        <v>0</v>
      </c>
      <c r="AK76" s="26">
        <v>0</v>
      </c>
      <c r="AL76" s="113">
        <f>23100000+65700000+180000000+65388531</f>
        <v>334188531</v>
      </c>
      <c r="AM76" s="14"/>
      <c r="AN76" s="26"/>
      <c r="AO76" s="27">
        <v>0</v>
      </c>
      <c r="AP76" s="26">
        <f>P76+Q76+R76+S76+T76+U76+V76+W76+X76+Y76+Z76+AA76+AB76+AC76+AD76+AE76+AF76+AG76+AH76+AI76+AJ76+AK76+AL76+AM76+AN76+AO76</f>
        <v>334188531</v>
      </c>
    </row>
    <row r="77" spans="1:47" s="28" customFormat="1" ht="15" x14ac:dyDescent="0.25">
      <c r="A77" s="35"/>
      <c r="B77" s="273"/>
      <c r="C77" s="848"/>
      <c r="D77" s="224"/>
      <c r="E77" s="224"/>
      <c r="F77" s="225"/>
      <c r="G77" s="191"/>
      <c r="H77" s="192"/>
      <c r="I77" s="191"/>
      <c r="J77" s="193"/>
      <c r="K77" s="193"/>
      <c r="L77" s="193"/>
      <c r="M77" s="194"/>
      <c r="N77" s="191"/>
      <c r="O77" s="192"/>
      <c r="P77" s="195">
        <f>SUM(P72:P76)</f>
        <v>0</v>
      </c>
      <c r="Q77" s="195">
        <f>SUM(Q72:Q76)</f>
        <v>0</v>
      </c>
      <c r="R77" s="195">
        <f>SUM(R72:R76)</f>
        <v>0</v>
      </c>
      <c r="S77" s="195">
        <f>SUM(S72:S76)</f>
        <v>0</v>
      </c>
      <c r="T77" s="195">
        <f>SUM(T72:T76)</f>
        <v>76532521</v>
      </c>
      <c r="U77" s="195">
        <f>SUM(U72:U76)</f>
        <v>0</v>
      </c>
      <c r="V77" s="195">
        <f>SUM(V72:V76)</f>
        <v>0</v>
      </c>
      <c r="W77" s="195">
        <f>SUM(W72:W76)</f>
        <v>0</v>
      </c>
      <c r="X77" s="195">
        <f>SUM(X72:X76)</f>
        <v>0</v>
      </c>
      <c r="Y77" s="195">
        <f>SUM(Y72:Y76)</f>
        <v>0</v>
      </c>
      <c r="Z77" s="195">
        <f>SUM(Z72:Z76)</f>
        <v>0</v>
      </c>
      <c r="AA77" s="195"/>
      <c r="AB77" s="195">
        <f>SUM(AB72:AB76)</f>
        <v>0</v>
      </c>
      <c r="AC77" s="195">
        <f>SUM(AC72:AC76)</f>
        <v>0</v>
      </c>
      <c r="AD77" s="195">
        <f>SUM(AD72:AD76)</f>
        <v>0</v>
      </c>
      <c r="AE77" s="195">
        <f>SUM(AE72:AE76)</f>
        <v>0</v>
      </c>
      <c r="AF77" s="195"/>
      <c r="AG77" s="195">
        <f>SUM(AG72:AG76)</f>
        <v>0</v>
      </c>
      <c r="AH77" s="195">
        <f>SUM(AH72:AH76)</f>
        <v>0</v>
      </c>
      <c r="AI77" s="195">
        <f>SUM(AI72:AI76)</f>
        <v>0</v>
      </c>
      <c r="AJ77" s="195">
        <f>SUM(AJ72:AJ76)</f>
        <v>0</v>
      </c>
      <c r="AK77" s="195">
        <f>SUM(AK72:AK76)</f>
        <v>0</v>
      </c>
      <c r="AL77" s="295">
        <f>SUM(AL72:AL76)</f>
        <v>1855388531</v>
      </c>
      <c r="AM77" s="296"/>
      <c r="AN77" s="195">
        <f>SUM(AN72:AN76)</f>
        <v>0</v>
      </c>
      <c r="AO77" s="195">
        <f>SUM(AO72:AO76)</f>
        <v>205733586</v>
      </c>
      <c r="AP77" s="195">
        <f>P77+Q77+R77+S77+T77+U77+V77+W77+X77+Y77+Z77+AA77+AB77+AC77+AD77+AE77+AF77+AG77+AH77+AI77+AJ77+AK77+AL77+AM77+AN77+AO77</f>
        <v>2137654638</v>
      </c>
    </row>
    <row r="78" spans="1:47" s="28" customFormat="1" ht="22.5" customHeight="1" x14ac:dyDescent="0.25">
      <c r="A78" s="273"/>
      <c r="B78" s="260"/>
      <c r="C78" s="199"/>
      <c r="D78" s="198"/>
      <c r="E78" s="199"/>
      <c r="F78" s="199"/>
      <c r="G78" s="198"/>
      <c r="H78" s="199"/>
      <c r="I78" s="198"/>
      <c r="J78" s="200"/>
      <c r="K78" s="200"/>
      <c r="L78" s="200"/>
      <c r="M78" s="201"/>
      <c r="N78" s="198"/>
      <c r="O78" s="199"/>
      <c r="P78" s="202">
        <f>P77</f>
        <v>0</v>
      </c>
      <c r="Q78" s="202">
        <f>Q77</f>
        <v>0</v>
      </c>
      <c r="R78" s="202">
        <f>R77</f>
        <v>0</v>
      </c>
      <c r="S78" s="202">
        <f>S77</f>
        <v>0</v>
      </c>
      <c r="T78" s="202">
        <f t="shared" ref="T78:U80" si="25">T77</f>
        <v>76532521</v>
      </c>
      <c r="U78" s="202">
        <f t="shared" si="25"/>
        <v>0</v>
      </c>
      <c r="V78" s="202">
        <f>V77</f>
        <v>0</v>
      </c>
      <c r="W78" s="202">
        <f>W77</f>
        <v>0</v>
      </c>
      <c r="X78" s="202">
        <f>X77</f>
        <v>0</v>
      </c>
      <c r="Y78" s="202">
        <f>Y77</f>
        <v>0</v>
      </c>
      <c r="Z78" s="202">
        <f>Z77</f>
        <v>0</v>
      </c>
      <c r="AA78" s="202"/>
      <c r="AB78" s="202">
        <f>AB77</f>
        <v>0</v>
      </c>
      <c r="AC78" s="202">
        <f>AC77</f>
        <v>0</v>
      </c>
      <c r="AD78" s="202">
        <f>AD77</f>
        <v>0</v>
      </c>
      <c r="AE78" s="202">
        <f>AE77</f>
        <v>0</v>
      </c>
      <c r="AF78" s="202"/>
      <c r="AG78" s="202">
        <f>AG77</f>
        <v>0</v>
      </c>
      <c r="AH78" s="202">
        <f>AH77</f>
        <v>0</v>
      </c>
      <c r="AI78" s="202">
        <f>AI77</f>
        <v>0</v>
      </c>
      <c r="AJ78" s="202">
        <f>AJ77</f>
        <v>0</v>
      </c>
      <c r="AK78" s="202">
        <f>AK77</f>
        <v>0</v>
      </c>
      <c r="AL78" s="297">
        <f t="shared" ref="AL78:AL80" si="26">AL77</f>
        <v>1855388531</v>
      </c>
      <c r="AM78" s="298"/>
      <c r="AN78" s="202">
        <f>AN77</f>
        <v>0</v>
      </c>
      <c r="AO78" s="202">
        <f>AO77</f>
        <v>205733586</v>
      </c>
      <c r="AP78" s="202">
        <f>P78+Q78+R78+S78+T78+U78+V78+W78+X78+Y78+Z78+AA78+AB78+AC78+AD78+AE78+AF78+AG78+AH78+AI78+AJ78+AK78+AL78+AM78+AN78+AO78</f>
        <v>2137654638</v>
      </c>
    </row>
    <row r="79" spans="1:47" s="28" customFormat="1" ht="22.5" customHeight="1" x14ac:dyDescent="0.25">
      <c r="A79" s="203"/>
      <c r="B79" s="203"/>
      <c r="C79" s="204"/>
      <c r="D79" s="203"/>
      <c r="E79" s="204"/>
      <c r="F79" s="204"/>
      <c r="G79" s="203"/>
      <c r="H79" s="204"/>
      <c r="I79" s="203"/>
      <c r="J79" s="205"/>
      <c r="K79" s="205"/>
      <c r="L79" s="205"/>
      <c r="M79" s="206"/>
      <c r="N79" s="203"/>
      <c r="O79" s="204"/>
      <c r="P79" s="207">
        <f>P78</f>
        <v>0</v>
      </c>
      <c r="Q79" s="207">
        <f>Q78</f>
        <v>0</v>
      </c>
      <c r="R79" s="207">
        <f>R78</f>
        <v>0</v>
      </c>
      <c r="S79" s="207">
        <f>S78</f>
        <v>0</v>
      </c>
      <c r="T79" s="207">
        <f t="shared" si="25"/>
        <v>76532521</v>
      </c>
      <c r="U79" s="207">
        <f t="shared" si="25"/>
        <v>0</v>
      </c>
      <c r="V79" s="207">
        <f>V78</f>
        <v>0</v>
      </c>
      <c r="W79" s="207">
        <f>W78</f>
        <v>0</v>
      </c>
      <c r="X79" s="207">
        <f>X78</f>
        <v>0</v>
      </c>
      <c r="Y79" s="207">
        <f>Y78</f>
        <v>0</v>
      </c>
      <c r="Z79" s="207">
        <f>Z78</f>
        <v>0</v>
      </c>
      <c r="AA79" s="207"/>
      <c r="AB79" s="207">
        <f>AB78</f>
        <v>0</v>
      </c>
      <c r="AC79" s="207">
        <f>AC78</f>
        <v>0</v>
      </c>
      <c r="AD79" s="207">
        <f>AD78</f>
        <v>0</v>
      </c>
      <c r="AE79" s="207">
        <f>AE78</f>
        <v>0</v>
      </c>
      <c r="AF79" s="207"/>
      <c r="AG79" s="207">
        <f>AG78</f>
        <v>0</v>
      </c>
      <c r="AH79" s="207">
        <f>AH78</f>
        <v>0</v>
      </c>
      <c r="AI79" s="207">
        <f>AI78</f>
        <v>0</v>
      </c>
      <c r="AJ79" s="207">
        <f>AJ78</f>
        <v>0</v>
      </c>
      <c r="AK79" s="207">
        <f>AK78</f>
        <v>0</v>
      </c>
      <c r="AL79" s="299">
        <f t="shared" si="26"/>
        <v>1855388531</v>
      </c>
      <c r="AM79" s="300"/>
      <c r="AN79" s="207">
        <f>AN78</f>
        <v>0</v>
      </c>
      <c r="AO79" s="207">
        <f>AO78</f>
        <v>205733586</v>
      </c>
      <c r="AP79" s="207">
        <f>P79+Q79+R79+S79+T79+U79+V79+W79+X79+Y79+Z79+AA79+AB79+AC79+AD79+AE79+AF79+AG79+AH79+AI79+AJ79+AK79+AL79+AM79+AN79+AO79</f>
        <v>2137654638</v>
      </c>
    </row>
    <row r="80" spans="1:47" s="28" customFormat="1" ht="22.5" customHeight="1" x14ac:dyDescent="0.25">
      <c r="A80" s="208"/>
      <c r="B80" s="208"/>
      <c r="C80" s="209"/>
      <c r="D80" s="208"/>
      <c r="E80" s="209"/>
      <c r="F80" s="209"/>
      <c r="G80" s="208"/>
      <c r="H80" s="209"/>
      <c r="I80" s="208"/>
      <c r="J80" s="210"/>
      <c r="K80" s="210"/>
      <c r="L80" s="210"/>
      <c r="M80" s="211"/>
      <c r="N80" s="208"/>
      <c r="O80" s="209"/>
      <c r="P80" s="212">
        <f>P79</f>
        <v>0</v>
      </c>
      <c r="Q80" s="212">
        <f>Q79</f>
        <v>0</v>
      </c>
      <c r="R80" s="212">
        <f>R79</f>
        <v>0</v>
      </c>
      <c r="S80" s="212">
        <f>S79</f>
        <v>0</v>
      </c>
      <c r="T80" s="212">
        <f t="shared" si="25"/>
        <v>76532521</v>
      </c>
      <c r="U80" s="212">
        <f t="shared" si="25"/>
        <v>0</v>
      </c>
      <c r="V80" s="212">
        <f>V79</f>
        <v>0</v>
      </c>
      <c r="W80" s="212">
        <f>W79</f>
        <v>0</v>
      </c>
      <c r="X80" s="212">
        <f>X79</f>
        <v>0</v>
      </c>
      <c r="Y80" s="212">
        <f>Y79</f>
        <v>0</v>
      </c>
      <c r="Z80" s="212">
        <f>Z79</f>
        <v>0</v>
      </c>
      <c r="AA80" s="212"/>
      <c r="AB80" s="212">
        <f>AB79</f>
        <v>0</v>
      </c>
      <c r="AC80" s="212">
        <f>AC79</f>
        <v>0</v>
      </c>
      <c r="AD80" s="212">
        <f>AD79</f>
        <v>0</v>
      </c>
      <c r="AE80" s="212">
        <f>AE79</f>
        <v>0</v>
      </c>
      <c r="AF80" s="212"/>
      <c r="AG80" s="212">
        <f>AG79</f>
        <v>0</v>
      </c>
      <c r="AH80" s="212">
        <f>AH79</f>
        <v>0</v>
      </c>
      <c r="AI80" s="212">
        <f>AI79</f>
        <v>0</v>
      </c>
      <c r="AJ80" s="212">
        <f>AJ79</f>
        <v>0</v>
      </c>
      <c r="AK80" s="212">
        <f>AK79</f>
        <v>0</v>
      </c>
      <c r="AL80" s="301">
        <f t="shared" si="26"/>
        <v>1855388531</v>
      </c>
      <c r="AM80" s="212"/>
      <c r="AN80" s="212">
        <f>AN79</f>
        <v>0</v>
      </c>
      <c r="AO80" s="212">
        <f>AO79</f>
        <v>205733586</v>
      </c>
      <c r="AP80" s="212">
        <f>P80+Q80+R80+S80+T80+U80+V80+W80+X80+Y80+Z80+AA80+AB80+AC80+AD80+AE80+AF80+AG80+AH80+AI80+AJ80+AK80+AL80+AM80+AN80+AO80</f>
        <v>2137654638</v>
      </c>
    </row>
    <row r="81" spans="1:42" s="28" customFormat="1" ht="15" x14ac:dyDescent="0.25">
      <c r="A81" s="213"/>
      <c r="B81" s="214"/>
      <c r="C81" s="454"/>
      <c r="D81" s="214"/>
      <c r="E81" s="454"/>
      <c r="F81" s="454"/>
      <c r="G81" s="214"/>
      <c r="H81" s="454"/>
      <c r="I81" s="214"/>
      <c r="J81" s="215"/>
      <c r="K81" s="215"/>
      <c r="L81" s="215"/>
      <c r="M81" s="216"/>
      <c r="N81" s="214"/>
      <c r="O81" s="454"/>
      <c r="P81" s="217"/>
      <c r="Q81" s="217"/>
      <c r="R81" s="217"/>
      <c r="S81" s="217"/>
      <c r="T81" s="217"/>
      <c r="U81" s="217"/>
      <c r="V81" s="217"/>
      <c r="W81" s="217"/>
      <c r="X81" s="217"/>
      <c r="Y81" s="217"/>
      <c r="Z81" s="217"/>
      <c r="AA81" s="217"/>
      <c r="AB81" s="217"/>
      <c r="AC81" s="217"/>
      <c r="AD81" s="218"/>
      <c r="AE81" s="218"/>
      <c r="AF81" s="218"/>
      <c r="AG81" s="218"/>
      <c r="AH81" s="218"/>
      <c r="AI81" s="218"/>
      <c r="AJ81" s="217"/>
      <c r="AK81" s="217"/>
      <c r="AL81" s="219"/>
      <c r="AM81" s="220"/>
      <c r="AN81" s="217"/>
      <c r="AO81" s="217"/>
      <c r="AP81" s="221"/>
    </row>
    <row r="82" spans="1:42" s="28" customFormat="1" ht="20.25" x14ac:dyDescent="0.25">
      <c r="A82" s="165" t="s">
        <v>118</v>
      </c>
      <c r="B82" s="166"/>
      <c r="C82" s="167"/>
      <c r="D82" s="166"/>
      <c r="E82" s="166"/>
      <c r="F82" s="166"/>
      <c r="G82" s="166"/>
      <c r="H82" s="167"/>
      <c r="I82" s="166"/>
      <c r="J82" s="166"/>
      <c r="K82" s="166"/>
      <c r="L82" s="166"/>
      <c r="M82" s="168"/>
      <c r="N82" s="166"/>
      <c r="O82" s="167"/>
      <c r="P82" s="166"/>
      <c r="Q82" s="166"/>
      <c r="R82" s="166"/>
      <c r="S82" s="166"/>
      <c r="T82" s="166"/>
      <c r="U82" s="166"/>
      <c r="V82" s="166"/>
      <c r="W82" s="166"/>
      <c r="X82" s="166"/>
      <c r="Y82" s="166"/>
      <c r="Z82" s="166"/>
      <c r="AA82" s="166"/>
      <c r="AB82" s="166"/>
      <c r="AC82" s="166"/>
      <c r="AD82" s="166"/>
      <c r="AE82" s="166"/>
      <c r="AF82" s="166"/>
      <c r="AG82" s="166"/>
      <c r="AH82" s="166"/>
      <c r="AI82" s="166"/>
      <c r="AJ82" s="166"/>
      <c r="AK82" s="166"/>
      <c r="AL82" s="169"/>
      <c r="AM82" s="170"/>
      <c r="AN82" s="166"/>
      <c r="AO82" s="166"/>
      <c r="AP82" s="172" t="s">
        <v>0</v>
      </c>
    </row>
    <row r="83" spans="1:42" s="28" customFormat="1" ht="23.25" customHeight="1" x14ac:dyDescent="0.25">
      <c r="A83" s="173">
        <v>2</v>
      </c>
      <c r="B83" s="174" t="s">
        <v>119</v>
      </c>
      <c r="C83" s="175"/>
      <c r="D83" s="174"/>
      <c r="E83" s="174"/>
      <c r="F83" s="174"/>
      <c r="G83" s="174"/>
      <c r="H83" s="175"/>
      <c r="I83" s="174"/>
      <c r="J83" s="174"/>
      <c r="K83" s="174"/>
      <c r="L83" s="174"/>
      <c r="M83" s="176"/>
      <c r="N83" s="174"/>
      <c r="O83" s="174"/>
      <c r="P83" s="174"/>
      <c r="Q83" s="174"/>
      <c r="R83" s="174"/>
      <c r="S83" s="174"/>
      <c r="T83" s="174"/>
      <c r="U83" s="174"/>
      <c r="V83" s="174"/>
      <c r="W83" s="174"/>
      <c r="X83" s="174"/>
      <c r="Y83" s="174"/>
      <c r="Z83" s="174"/>
      <c r="AA83" s="174"/>
      <c r="AB83" s="174"/>
      <c r="AC83" s="174"/>
      <c r="AD83" s="174"/>
      <c r="AE83" s="174"/>
      <c r="AF83" s="174"/>
      <c r="AG83" s="174"/>
      <c r="AH83" s="174"/>
      <c r="AI83" s="174"/>
      <c r="AJ83" s="174"/>
      <c r="AK83" s="174"/>
      <c r="AL83" s="177"/>
      <c r="AM83" s="174"/>
      <c r="AN83" s="174"/>
      <c r="AO83" s="174"/>
      <c r="AP83" s="178"/>
    </row>
    <row r="84" spans="1:42" s="28" customFormat="1" ht="23.25" customHeight="1" x14ac:dyDescent="0.25">
      <c r="A84" s="179"/>
      <c r="B84" s="302">
        <v>4</v>
      </c>
      <c r="C84" s="181" t="s">
        <v>120</v>
      </c>
      <c r="D84" s="182"/>
      <c r="E84" s="182"/>
      <c r="F84" s="182"/>
      <c r="G84" s="182"/>
      <c r="H84" s="183"/>
      <c r="I84" s="182"/>
      <c r="J84" s="182"/>
      <c r="K84" s="182"/>
      <c r="L84" s="182"/>
      <c r="M84" s="184"/>
      <c r="N84" s="182"/>
      <c r="O84" s="182"/>
      <c r="P84" s="182"/>
      <c r="Q84" s="182"/>
      <c r="R84" s="182"/>
      <c r="S84" s="182"/>
      <c r="T84" s="182"/>
      <c r="U84" s="182"/>
      <c r="V84" s="182"/>
      <c r="W84" s="182"/>
      <c r="X84" s="182"/>
      <c r="Y84" s="182"/>
      <c r="Z84" s="182"/>
      <c r="AA84" s="182"/>
      <c r="AB84" s="182"/>
      <c r="AC84" s="182"/>
      <c r="AD84" s="182"/>
      <c r="AE84" s="182"/>
      <c r="AF84" s="182"/>
      <c r="AG84" s="182"/>
      <c r="AH84" s="182"/>
      <c r="AI84" s="182"/>
      <c r="AJ84" s="182"/>
      <c r="AK84" s="182"/>
      <c r="AL84" s="185"/>
      <c r="AM84" s="182"/>
      <c r="AN84" s="182"/>
      <c r="AO84" s="182"/>
      <c r="AP84" s="186"/>
    </row>
    <row r="85" spans="1:42" s="28" customFormat="1" x14ac:dyDescent="0.25">
      <c r="A85" s="22"/>
      <c r="B85" s="223"/>
      <c r="C85" s="848"/>
      <c r="D85" s="224"/>
      <c r="E85" s="224"/>
      <c r="F85" s="225"/>
      <c r="G85" s="226">
        <v>14</v>
      </c>
      <c r="H85" s="227" t="s">
        <v>121</v>
      </c>
      <c r="I85" s="227"/>
      <c r="J85" s="227"/>
      <c r="K85" s="227"/>
      <c r="L85" s="227"/>
      <c r="M85" s="228"/>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227"/>
      <c r="AL85" s="229"/>
      <c r="AM85" s="227"/>
      <c r="AN85" s="227"/>
      <c r="AO85" s="227"/>
      <c r="AP85" s="230"/>
    </row>
    <row r="86" spans="1:42" s="28" customFormat="1" ht="78" customHeight="1" x14ac:dyDescent="0.25">
      <c r="A86" s="22"/>
      <c r="B86" s="20"/>
      <c r="C86" s="876">
        <v>9</v>
      </c>
      <c r="D86" s="893" t="s">
        <v>122</v>
      </c>
      <c r="E86" s="876">
        <v>59</v>
      </c>
      <c r="F86" s="876">
        <v>87</v>
      </c>
      <c r="G86" s="29"/>
      <c r="H86" s="827">
        <v>54</v>
      </c>
      <c r="I86" s="151" t="s">
        <v>123</v>
      </c>
      <c r="J86" s="12">
        <v>129.85</v>
      </c>
      <c r="K86" s="12">
        <v>130</v>
      </c>
      <c r="L86" s="993" t="s">
        <v>124</v>
      </c>
      <c r="M86" s="907" t="s">
        <v>125</v>
      </c>
      <c r="N86" s="893" t="s">
        <v>126</v>
      </c>
      <c r="O86" s="152" t="s">
        <v>44</v>
      </c>
      <c r="P86" s="26"/>
      <c r="Q86" s="26"/>
      <c r="R86" s="26"/>
      <c r="S86" s="26"/>
      <c r="T86" s="26"/>
      <c r="U86" s="11">
        <f>231688727+84415766+43300000</f>
        <v>359404493</v>
      </c>
      <c r="V86" s="26"/>
      <c r="W86" s="26"/>
      <c r="X86" s="26"/>
      <c r="Y86" s="26"/>
      <c r="Z86" s="26"/>
      <c r="AA86" s="26"/>
      <c r="AB86" s="26"/>
      <c r="AC86" s="26"/>
      <c r="AD86" s="26"/>
      <c r="AE86" s="26"/>
      <c r="AF86" s="26"/>
      <c r="AG86" s="26"/>
      <c r="AH86" s="26"/>
      <c r="AI86" s="26"/>
      <c r="AJ86" s="26"/>
      <c r="AK86" s="26"/>
      <c r="AL86" s="113">
        <f>73825000+206700000</f>
        <v>280525000</v>
      </c>
      <c r="AM86" s="39"/>
      <c r="AN86" s="26"/>
      <c r="AO86" s="27"/>
      <c r="AP86" s="26">
        <f>P86+Q86+R86+S86+T86+U86+V86+W86+X86+Y86+Z86+AA86+AB86+AC86+AD86+AE86+AF86+AG86+AH86+AI86+AJ86+AK86+AL86+AM86+AN86+AO86</f>
        <v>639929493</v>
      </c>
    </row>
    <row r="87" spans="1:42" s="28" customFormat="1" ht="61.5" customHeight="1" x14ac:dyDescent="0.25">
      <c r="A87" s="22"/>
      <c r="B87" s="20"/>
      <c r="C87" s="877"/>
      <c r="D87" s="894"/>
      <c r="E87" s="877"/>
      <c r="F87" s="877"/>
      <c r="G87" s="29"/>
      <c r="H87" s="152">
        <v>55</v>
      </c>
      <c r="I87" s="151" t="s">
        <v>127</v>
      </c>
      <c r="J87" s="12">
        <v>12</v>
      </c>
      <c r="K87" s="12">
        <v>12</v>
      </c>
      <c r="L87" s="994"/>
      <c r="M87" s="908"/>
      <c r="N87" s="894"/>
      <c r="O87" s="152" t="s">
        <v>44</v>
      </c>
      <c r="P87" s="26"/>
      <c r="Q87" s="26"/>
      <c r="R87" s="26"/>
      <c r="S87" s="26"/>
      <c r="T87" s="26"/>
      <c r="U87" s="11">
        <f>261000000</f>
        <v>261000000</v>
      </c>
      <c r="V87" s="26"/>
      <c r="W87" s="26"/>
      <c r="X87" s="26"/>
      <c r="Y87" s="26"/>
      <c r="Z87" s="26"/>
      <c r="AA87" s="26"/>
      <c r="AB87" s="26"/>
      <c r="AC87" s="26"/>
      <c r="AD87" s="26"/>
      <c r="AE87" s="26"/>
      <c r="AF87" s="26"/>
      <c r="AG87" s="26"/>
      <c r="AH87" s="26"/>
      <c r="AI87" s="26"/>
      <c r="AJ87" s="26"/>
      <c r="AK87" s="26"/>
      <c r="AL87" s="113">
        <v>169475000</v>
      </c>
      <c r="AM87" s="39"/>
      <c r="AN87" s="26"/>
      <c r="AO87" s="27"/>
      <c r="AP87" s="26">
        <f>P87+Q87+R87+S87+T87+U87+V87+W87+X87+Y87+Z87+AA87+AB87+AC87+AD87+AE87+AF87+AG87+AH87+AI87+AJ87+AK87+AL87+AM87+AN87+AO87</f>
        <v>430475000</v>
      </c>
    </row>
    <row r="88" spans="1:42" s="28" customFormat="1" ht="99.75" x14ac:dyDescent="0.25">
      <c r="A88" s="22"/>
      <c r="B88" s="20"/>
      <c r="C88" s="877"/>
      <c r="D88" s="894"/>
      <c r="E88" s="877"/>
      <c r="F88" s="877"/>
      <c r="G88" s="31"/>
      <c r="H88" s="152">
        <v>56</v>
      </c>
      <c r="I88" s="151" t="s">
        <v>128</v>
      </c>
      <c r="J88" s="12">
        <v>9</v>
      </c>
      <c r="K88" s="12">
        <v>3</v>
      </c>
      <c r="L88" s="995"/>
      <c r="M88" s="909"/>
      <c r="N88" s="895"/>
      <c r="O88" s="152" t="s">
        <v>40</v>
      </c>
      <c r="P88" s="26">
        <v>0</v>
      </c>
      <c r="Q88" s="26">
        <v>0</v>
      </c>
      <c r="R88" s="26">
        <v>0</v>
      </c>
      <c r="S88" s="26">
        <v>0</v>
      </c>
      <c r="T88" s="26">
        <v>0</v>
      </c>
      <c r="U88" s="11">
        <f>129300000-43300000</f>
        <v>86000000</v>
      </c>
      <c r="V88" s="26">
        <v>0</v>
      </c>
      <c r="W88" s="26"/>
      <c r="X88" s="26"/>
      <c r="Y88" s="26"/>
      <c r="Z88" s="26">
        <v>0</v>
      </c>
      <c r="AA88" s="26"/>
      <c r="AB88" s="26">
        <v>0</v>
      </c>
      <c r="AC88" s="26">
        <v>0</v>
      </c>
      <c r="AD88" s="26"/>
      <c r="AE88" s="26"/>
      <c r="AF88" s="26"/>
      <c r="AG88" s="26"/>
      <c r="AH88" s="26"/>
      <c r="AI88" s="26"/>
      <c r="AJ88" s="26">
        <v>0</v>
      </c>
      <c r="AK88" s="26">
        <v>0</v>
      </c>
      <c r="AL88" s="113">
        <f>206700000-206700000</f>
        <v>0</v>
      </c>
      <c r="AM88" s="39"/>
      <c r="AN88" s="26">
        <v>0</v>
      </c>
      <c r="AO88" s="27">
        <v>0</v>
      </c>
      <c r="AP88" s="26">
        <f>P88+Q88+R88+S88+T88+U88+V88+W88+X88+Y88+Z88+AA88+AB88+AC88+AD88+AE88+AF88+AG88+AH88+AI88+AJ88+AK88+AL88+AM88+AN88+AO88</f>
        <v>86000000</v>
      </c>
    </row>
    <row r="89" spans="1:42" s="28" customFormat="1" ht="15" x14ac:dyDescent="0.25">
      <c r="A89" s="22"/>
      <c r="B89" s="20"/>
      <c r="C89" s="849"/>
      <c r="D89" s="850"/>
      <c r="E89" s="851"/>
      <c r="F89" s="852"/>
      <c r="G89" s="492"/>
      <c r="H89" s="192"/>
      <c r="I89" s="191"/>
      <c r="J89" s="303"/>
      <c r="K89" s="303"/>
      <c r="L89" s="303"/>
      <c r="M89" s="194"/>
      <c r="N89" s="191"/>
      <c r="O89" s="192"/>
      <c r="P89" s="195">
        <f t="shared" ref="P89:AN89" si="27">SUM(P86:P88)</f>
        <v>0</v>
      </c>
      <c r="Q89" s="195">
        <f t="shared" si="27"/>
        <v>0</v>
      </c>
      <c r="R89" s="195">
        <f t="shared" si="27"/>
        <v>0</v>
      </c>
      <c r="S89" s="195">
        <f t="shared" si="27"/>
        <v>0</v>
      </c>
      <c r="T89" s="195">
        <f t="shared" si="27"/>
        <v>0</v>
      </c>
      <c r="U89" s="195">
        <f t="shared" si="27"/>
        <v>706404493</v>
      </c>
      <c r="V89" s="195">
        <f t="shared" si="27"/>
        <v>0</v>
      </c>
      <c r="W89" s="195">
        <f t="shared" si="27"/>
        <v>0</v>
      </c>
      <c r="X89" s="195">
        <f t="shared" si="27"/>
        <v>0</v>
      </c>
      <c r="Y89" s="195">
        <f t="shared" si="27"/>
        <v>0</v>
      </c>
      <c r="Z89" s="195">
        <f t="shared" si="27"/>
        <v>0</v>
      </c>
      <c r="AA89" s="195">
        <f t="shared" si="27"/>
        <v>0</v>
      </c>
      <c r="AB89" s="195">
        <f t="shared" si="27"/>
        <v>0</v>
      </c>
      <c r="AC89" s="195">
        <f t="shared" si="27"/>
        <v>0</v>
      </c>
      <c r="AD89" s="195">
        <f t="shared" si="27"/>
        <v>0</v>
      </c>
      <c r="AE89" s="195">
        <f t="shared" si="27"/>
        <v>0</v>
      </c>
      <c r="AF89" s="195">
        <f t="shared" si="27"/>
        <v>0</v>
      </c>
      <c r="AG89" s="195">
        <f t="shared" si="27"/>
        <v>0</v>
      </c>
      <c r="AH89" s="195">
        <f t="shared" si="27"/>
        <v>0</v>
      </c>
      <c r="AI89" s="195">
        <f t="shared" si="27"/>
        <v>0</v>
      </c>
      <c r="AJ89" s="195">
        <f t="shared" si="27"/>
        <v>0</v>
      </c>
      <c r="AK89" s="195">
        <f t="shared" si="27"/>
        <v>0</v>
      </c>
      <c r="AL89" s="195">
        <f t="shared" si="27"/>
        <v>450000000</v>
      </c>
      <c r="AM89" s="195">
        <f t="shared" si="27"/>
        <v>0</v>
      </c>
      <c r="AN89" s="195">
        <f t="shared" si="27"/>
        <v>0</v>
      </c>
      <c r="AO89" s="195">
        <f t="shared" ref="AO89:AP89" si="28">SUM(AO86:AO88)</f>
        <v>0</v>
      </c>
      <c r="AP89" s="195">
        <f t="shared" si="28"/>
        <v>1156404493</v>
      </c>
    </row>
    <row r="90" spans="1:42" s="28" customFormat="1" ht="15" x14ac:dyDescent="0.25">
      <c r="A90" s="22"/>
      <c r="B90" s="20"/>
      <c r="C90" s="305"/>
      <c r="D90" s="214"/>
      <c r="E90" s="830"/>
      <c r="F90" s="830"/>
      <c r="G90" s="214"/>
      <c r="H90" s="830"/>
      <c r="I90" s="214"/>
      <c r="J90" s="314"/>
      <c r="K90" s="314"/>
      <c r="L90" s="314"/>
      <c r="M90" s="216"/>
      <c r="N90" s="214"/>
      <c r="O90" s="830"/>
      <c r="P90" s="217"/>
      <c r="Q90" s="217"/>
      <c r="R90" s="217"/>
      <c r="S90" s="217"/>
      <c r="T90" s="217"/>
      <c r="U90" s="217"/>
      <c r="V90" s="217"/>
      <c r="W90" s="217"/>
      <c r="X90" s="217"/>
      <c r="Y90" s="217"/>
      <c r="Z90" s="217"/>
      <c r="AA90" s="217"/>
      <c r="AB90" s="217"/>
      <c r="AC90" s="217"/>
      <c r="AD90" s="218"/>
      <c r="AE90" s="218"/>
      <c r="AF90" s="218"/>
      <c r="AG90" s="218"/>
      <c r="AH90" s="218"/>
      <c r="AI90" s="218"/>
      <c r="AJ90" s="217"/>
      <c r="AK90" s="217"/>
      <c r="AL90" s="219"/>
      <c r="AM90" s="220"/>
      <c r="AN90" s="217"/>
      <c r="AO90" s="217"/>
      <c r="AP90" s="217"/>
    </row>
    <row r="91" spans="1:42" s="28" customFormat="1" x14ac:dyDescent="0.25">
      <c r="A91" s="22"/>
      <c r="B91" s="20"/>
      <c r="C91" s="853"/>
      <c r="D91" s="854"/>
      <c r="E91" s="854"/>
      <c r="F91" s="105"/>
      <c r="G91" s="308">
        <v>15</v>
      </c>
      <c r="H91" s="829" t="s">
        <v>129</v>
      </c>
      <c r="I91" s="227"/>
      <c r="J91" s="227"/>
      <c r="K91" s="227"/>
      <c r="L91" s="227"/>
      <c r="M91" s="228"/>
      <c r="N91" s="227"/>
      <c r="O91" s="227"/>
      <c r="P91" s="227"/>
      <c r="Q91" s="227"/>
      <c r="R91" s="227"/>
      <c r="S91" s="227"/>
      <c r="T91" s="227"/>
      <c r="U91" s="227"/>
      <c r="V91" s="227"/>
      <c r="W91" s="227"/>
      <c r="X91" s="227"/>
      <c r="Y91" s="227"/>
      <c r="Z91" s="227"/>
      <c r="AA91" s="227"/>
      <c r="AB91" s="227"/>
      <c r="AC91" s="227"/>
      <c r="AD91" s="227"/>
      <c r="AE91" s="227"/>
      <c r="AF91" s="227"/>
      <c r="AG91" s="227"/>
      <c r="AH91" s="227"/>
      <c r="AI91" s="227"/>
      <c r="AJ91" s="227"/>
      <c r="AK91" s="227"/>
      <c r="AL91" s="229"/>
      <c r="AM91" s="227"/>
      <c r="AN91" s="227"/>
      <c r="AO91" s="227"/>
      <c r="AP91" s="227"/>
    </row>
    <row r="92" spans="1:42" s="28" customFormat="1" ht="69.75" customHeight="1" x14ac:dyDescent="0.25">
      <c r="A92" s="22"/>
      <c r="B92" s="20"/>
      <c r="C92" s="876">
        <v>7</v>
      </c>
      <c r="D92" s="893" t="s">
        <v>130</v>
      </c>
      <c r="E92" s="971">
        <v>0.317</v>
      </c>
      <c r="F92" s="1022">
        <v>0.27</v>
      </c>
      <c r="G92" s="29"/>
      <c r="H92" s="831">
        <v>57</v>
      </c>
      <c r="I92" s="151" t="s">
        <v>131</v>
      </c>
      <c r="J92" s="12">
        <v>103</v>
      </c>
      <c r="K92" s="21">
        <v>12</v>
      </c>
      <c r="L92" s="993" t="s">
        <v>132</v>
      </c>
      <c r="M92" s="907" t="s">
        <v>133</v>
      </c>
      <c r="N92" s="893" t="s">
        <v>134</v>
      </c>
      <c r="O92" s="152" t="s">
        <v>40</v>
      </c>
      <c r="P92" s="26"/>
      <c r="Q92" s="26"/>
      <c r="R92" s="131">
        <f>4489900000+2081927185</f>
        <v>6571827185</v>
      </c>
      <c r="S92" s="26"/>
      <c r="T92" s="26"/>
      <c r="U92" s="26"/>
      <c r="V92" s="26"/>
      <c r="W92" s="26"/>
      <c r="X92" s="26"/>
      <c r="Y92" s="26"/>
      <c r="Z92" s="26"/>
      <c r="AA92" s="26"/>
      <c r="AB92" s="26"/>
      <c r="AC92" s="26"/>
      <c r="AD92" s="26"/>
      <c r="AE92" s="26"/>
      <c r="AF92" s="26"/>
      <c r="AG92" s="26"/>
      <c r="AH92" s="26"/>
      <c r="AI92" s="26"/>
      <c r="AJ92" s="26"/>
      <c r="AK92" s="26"/>
      <c r="AL92" s="113"/>
      <c r="AM92" s="39"/>
      <c r="AN92" s="26">
        <v>0</v>
      </c>
      <c r="AO92" s="49"/>
      <c r="AP92" s="26">
        <f>P92+Q92+R92+S92+T92+U92+V92+W92+X92+Y92+Z92+AA92+AB92+AC92+AD92+AE92+AF92+AG92+AH92+AI92+AJ92+AK92+AL92+AM92+AN92+AO92</f>
        <v>6571827185</v>
      </c>
    </row>
    <row r="93" spans="1:42" s="28" customFormat="1" ht="91.5" customHeight="1" x14ac:dyDescent="0.25">
      <c r="A93" s="22"/>
      <c r="B93" s="20"/>
      <c r="C93" s="877"/>
      <c r="D93" s="894"/>
      <c r="E93" s="1021"/>
      <c r="F93" s="937"/>
      <c r="G93" s="29"/>
      <c r="H93" s="831">
        <v>58</v>
      </c>
      <c r="I93" s="151" t="s">
        <v>135</v>
      </c>
      <c r="J93" s="12">
        <v>6</v>
      </c>
      <c r="K93" s="21">
        <v>1</v>
      </c>
      <c r="L93" s="994"/>
      <c r="M93" s="908"/>
      <c r="N93" s="894"/>
      <c r="O93" s="152" t="s">
        <v>40</v>
      </c>
      <c r="P93" s="26">
        <v>0</v>
      </c>
      <c r="Q93" s="26">
        <v>0</v>
      </c>
      <c r="R93" s="11"/>
      <c r="S93" s="26">
        <v>0</v>
      </c>
      <c r="T93" s="26">
        <v>0</v>
      </c>
      <c r="U93" s="26">
        <v>0</v>
      </c>
      <c r="V93" s="26">
        <v>0</v>
      </c>
      <c r="W93" s="26"/>
      <c r="X93" s="26"/>
      <c r="Y93" s="26"/>
      <c r="Z93" s="26">
        <v>0</v>
      </c>
      <c r="AA93" s="26"/>
      <c r="AB93" s="26">
        <v>0</v>
      </c>
      <c r="AC93" s="26">
        <v>0</v>
      </c>
      <c r="AD93" s="26"/>
      <c r="AE93" s="26"/>
      <c r="AF93" s="26"/>
      <c r="AG93" s="26"/>
      <c r="AH93" s="26"/>
      <c r="AI93" s="26"/>
      <c r="AJ93" s="26">
        <v>0</v>
      </c>
      <c r="AK93" s="26">
        <v>0</v>
      </c>
      <c r="AL93" s="113">
        <v>50000000</v>
      </c>
      <c r="AM93" s="39"/>
      <c r="AN93" s="26">
        <v>0</v>
      </c>
      <c r="AO93" s="27">
        <v>0</v>
      </c>
      <c r="AP93" s="26">
        <f>P93+Q93+R93+S93+T93+U93+V93+W93+X93+Y93+Z93+AA93+AB93+AC93+AD93+AE93+AF93+AG93+AH93+AI93+AJ93+AK93+AL93+AM93+AN93+AO93</f>
        <v>50000000</v>
      </c>
    </row>
    <row r="94" spans="1:42" s="28" customFormat="1" ht="108.75" customHeight="1" x14ac:dyDescent="0.25">
      <c r="A94" s="22"/>
      <c r="B94" s="20"/>
      <c r="C94" s="877"/>
      <c r="D94" s="894"/>
      <c r="E94" s="1021"/>
      <c r="F94" s="937"/>
      <c r="G94" s="29"/>
      <c r="H94" s="831">
        <v>59</v>
      </c>
      <c r="I94" s="151" t="s">
        <v>136</v>
      </c>
      <c r="J94" s="12">
        <v>82</v>
      </c>
      <c r="K94" s="21">
        <v>12</v>
      </c>
      <c r="L94" s="994"/>
      <c r="M94" s="908"/>
      <c r="N94" s="894"/>
      <c r="O94" s="152" t="s">
        <v>40</v>
      </c>
      <c r="P94" s="26">
        <v>0</v>
      </c>
      <c r="Q94" s="26">
        <v>0</v>
      </c>
      <c r="R94" s="11">
        <f>1000000000+1108433783-103333783+523000000</f>
        <v>2528100000</v>
      </c>
      <c r="S94" s="26">
        <v>0</v>
      </c>
      <c r="T94" s="26">
        <v>0</v>
      </c>
      <c r="U94" s="26">
        <v>0</v>
      </c>
      <c r="V94" s="26">
        <v>0</v>
      </c>
      <c r="W94" s="26"/>
      <c r="X94" s="26"/>
      <c r="Y94" s="26"/>
      <c r="Z94" s="26">
        <v>0</v>
      </c>
      <c r="AA94" s="26"/>
      <c r="AB94" s="26">
        <v>0</v>
      </c>
      <c r="AC94" s="26">
        <v>0</v>
      </c>
      <c r="AD94" s="26"/>
      <c r="AE94" s="26"/>
      <c r="AF94" s="26"/>
      <c r="AG94" s="26"/>
      <c r="AH94" s="26"/>
      <c r="AI94" s="26"/>
      <c r="AJ94" s="26">
        <v>0</v>
      </c>
      <c r="AK94" s="26">
        <v>0</v>
      </c>
      <c r="AL94" s="113">
        <v>0</v>
      </c>
      <c r="AM94" s="39"/>
      <c r="AN94" s="26">
        <v>0</v>
      </c>
      <c r="AO94" s="27">
        <v>0</v>
      </c>
      <c r="AP94" s="26">
        <f>P94+Q94+R94+S94+T94+U94+V94+W94+X94+Y94+Z94+AA94+AB94+AC94+AD94+AE94+AF94+AG94+AH94+AI94+AJ94+AK94+AL94+AM94+AN94+AO94</f>
        <v>2528100000</v>
      </c>
    </row>
    <row r="95" spans="1:42" s="28" customFormat="1" ht="117.75" customHeight="1" x14ac:dyDescent="0.25">
      <c r="A95" s="22"/>
      <c r="B95" s="20"/>
      <c r="C95" s="877"/>
      <c r="D95" s="894"/>
      <c r="E95" s="1021"/>
      <c r="F95" s="937"/>
      <c r="G95" s="29"/>
      <c r="H95" s="831">
        <v>60</v>
      </c>
      <c r="I95" s="814" t="s">
        <v>926</v>
      </c>
      <c r="J95" s="12">
        <v>9</v>
      </c>
      <c r="K95" s="21">
        <v>12</v>
      </c>
      <c r="L95" s="994"/>
      <c r="M95" s="908"/>
      <c r="N95" s="894"/>
      <c r="O95" s="152" t="s">
        <v>40</v>
      </c>
      <c r="P95" s="26">
        <v>0</v>
      </c>
      <c r="Q95" s="26">
        <v>0</v>
      </c>
      <c r="R95" s="11"/>
      <c r="S95" s="26">
        <v>0</v>
      </c>
      <c r="T95" s="26">
        <v>0</v>
      </c>
      <c r="U95" s="26">
        <v>0</v>
      </c>
      <c r="V95" s="26">
        <v>0</v>
      </c>
      <c r="W95" s="26"/>
      <c r="X95" s="26"/>
      <c r="Y95" s="26"/>
      <c r="Z95" s="26">
        <v>0</v>
      </c>
      <c r="AA95" s="26"/>
      <c r="AB95" s="26">
        <v>0</v>
      </c>
      <c r="AC95" s="26">
        <v>0</v>
      </c>
      <c r="AD95" s="26"/>
      <c r="AE95" s="26"/>
      <c r="AF95" s="26"/>
      <c r="AG95" s="26"/>
      <c r="AH95" s="26"/>
      <c r="AI95" s="26"/>
      <c r="AJ95" s="26">
        <v>0</v>
      </c>
      <c r="AK95" s="26">
        <v>0</v>
      </c>
      <c r="AL95" s="113">
        <v>50000000</v>
      </c>
      <c r="AM95" s="39"/>
      <c r="AN95" s="26">
        <v>0</v>
      </c>
      <c r="AO95" s="27">
        <v>0</v>
      </c>
      <c r="AP95" s="26">
        <f>P95+Q95+R95+S95+T95+U95+V95+W95+X95+Y95+Z95+AA95+AB95+AC95+AD95+AE95+AF95+AG95+AH95+AI95+AJ95+AK95+AL95+AM95+AN95+AO95</f>
        <v>50000000</v>
      </c>
    </row>
    <row r="96" spans="1:42" s="28" customFormat="1" ht="104.25" customHeight="1" x14ac:dyDescent="0.25">
      <c r="A96" s="22"/>
      <c r="B96" s="20"/>
      <c r="C96" s="877"/>
      <c r="D96" s="894"/>
      <c r="E96" s="1021"/>
      <c r="F96" s="937"/>
      <c r="G96" s="29"/>
      <c r="H96" s="815">
        <v>61</v>
      </c>
      <c r="I96" s="151" t="s">
        <v>137</v>
      </c>
      <c r="J96" s="12">
        <v>2</v>
      </c>
      <c r="K96" s="21">
        <v>2</v>
      </c>
      <c r="L96" s="994"/>
      <c r="M96" s="908"/>
      <c r="N96" s="894"/>
      <c r="O96" s="152" t="s">
        <v>40</v>
      </c>
      <c r="P96" s="26">
        <v>0</v>
      </c>
      <c r="Q96" s="26">
        <v>0</v>
      </c>
      <c r="R96" s="132">
        <v>0</v>
      </c>
      <c r="S96" s="26">
        <v>0</v>
      </c>
      <c r="T96" s="26">
        <v>0</v>
      </c>
      <c r="U96" s="26">
        <v>0</v>
      </c>
      <c r="V96" s="26">
        <v>0</v>
      </c>
      <c r="W96" s="26"/>
      <c r="X96" s="26"/>
      <c r="Y96" s="26"/>
      <c r="Z96" s="26">
        <v>0</v>
      </c>
      <c r="AA96" s="26"/>
      <c r="AB96" s="26">
        <v>0</v>
      </c>
      <c r="AC96" s="26">
        <v>0</v>
      </c>
      <c r="AD96" s="26"/>
      <c r="AE96" s="26"/>
      <c r="AF96" s="26"/>
      <c r="AG96" s="26"/>
      <c r="AH96" s="26"/>
      <c r="AI96" s="26"/>
      <c r="AJ96" s="26">
        <v>0</v>
      </c>
      <c r="AK96" s="26">
        <v>0</v>
      </c>
      <c r="AL96" s="113">
        <f>50000000+94300000+70000000</f>
        <v>214300000</v>
      </c>
      <c r="AM96" s="39"/>
      <c r="AN96" s="26">
        <v>0</v>
      </c>
      <c r="AO96" s="27">
        <v>128000000</v>
      </c>
      <c r="AP96" s="26">
        <f>P96+Q96+R96+S96+T96+U96+V96+W96+X96+Y96+Z96+AA96+AB96+AC96+AD96+AE96+AF96+AG96+AH96+AI96+AJ96+AK96+AL96+AM96+AN96+AO96</f>
        <v>342300000</v>
      </c>
    </row>
    <row r="97" spans="1:42" s="28" customFormat="1" ht="84" customHeight="1" x14ac:dyDescent="0.25">
      <c r="A97" s="22"/>
      <c r="B97" s="20"/>
      <c r="C97" s="877"/>
      <c r="D97" s="894"/>
      <c r="E97" s="1021"/>
      <c r="F97" s="937"/>
      <c r="G97" s="29"/>
      <c r="H97" s="815">
        <v>62</v>
      </c>
      <c r="I97" s="151" t="s">
        <v>138</v>
      </c>
      <c r="J97" s="12">
        <v>1</v>
      </c>
      <c r="K97" s="21">
        <v>2</v>
      </c>
      <c r="L97" s="994"/>
      <c r="M97" s="908"/>
      <c r="N97" s="894"/>
      <c r="O97" s="152" t="s">
        <v>44</v>
      </c>
      <c r="P97" s="26">
        <v>0</v>
      </c>
      <c r="Q97" s="26">
        <v>0</v>
      </c>
      <c r="R97" s="11"/>
      <c r="S97" s="26">
        <v>0</v>
      </c>
      <c r="T97" s="26">
        <v>0</v>
      </c>
      <c r="U97" s="26">
        <v>0</v>
      </c>
      <c r="V97" s="26">
        <v>0</v>
      </c>
      <c r="W97" s="26"/>
      <c r="X97" s="26"/>
      <c r="Y97" s="26"/>
      <c r="Z97" s="26">
        <v>0</v>
      </c>
      <c r="AA97" s="26"/>
      <c r="AB97" s="26">
        <v>0</v>
      </c>
      <c r="AC97" s="26">
        <v>0</v>
      </c>
      <c r="AD97" s="26"/>
      <c r="AE97" s="26"/>
      <c r="AF97" s="26"/>
      <c r="AG97" s="26"/>
      <c r="AH97" s="26"/>
      <c r="AI97" s="26"/>
      <c r="AJ97" s="26">
        <v>0</v>
      </c>
      <c r="AK97" s="26">
        <v>0</v>
      </c>
      <c r="AL97" s="113">
        <f>70000000+144000000</f>
        <v>214000000</v>
      </c>
      <c r="AM97" s="39"/>
      <c r="AN97" s="26">
        <v>0</v>
      </c>
      <c r="AO97" s="27">
        <v>0</v>
      </c>
      <c r="AP97" s="26">
        <f>P97+Q97+R97+S97+T97+U97+V97+W97+X97+Y97+Z97+AA97+AB97+AC97+AD97+AE97+AF97+AG97+AH97+AI97+AJ97+AK97+AL97+AM97+AN97+AO97</f>
        <v>214000000</v>
      </c>
    </row>
    <row r="98" spans="1:42" s="28" customFormat="1" ht="72.75" customHeight="1" x14ac:dyDescent="0.25">
      <c r="A98" s="22"/>
      <c r="B98" s="20"/>
      <c r="C98" s="877"/>
      <c r="D98" s="894"/>
      <c r="E98" s="1021"/>
      <c r="F98" s="937"/>
      <c r="G98" s="29"/>
      <c r="H98" s="827">
        <v>63</v>
      </c>
      <c r="I98" s="151" t="s">
        <v>139</v>
      </c>
      <c r="J98" s="12" t="s">
        <v>36</v>
      </c>
      <c r="K98" s="21">
        <v>250</v>
      </c>
      <c r="L98" s="994"/>
      <c r="M98" s="908"/>
      <c r="N98" s="894"/>
      <c r="O98" s="152" t="s">
        <v>40</v>
      </c>
      <c r="P98" s="26"/>
      <c r="Q98" s="26"/>
      <c r="R98" s="14"/>
      <c r="S98" s="26"/>
      <c r="T98" s="26"/>
      <c r="U98" s="26"/>
      <c r="V98" s="26"/>
      <c r="W98" s="26"/>
      <c r="X98" s="26"/>
      <c r="Y98" s="26"/>
      <c r="Z98" s="26"/>
      <c r="AA98" s="26"/>
      <c r="AB98" s="26"/>
      <c r="AC98" s="26"/>
      <c r="AD98" s="26"/>
      <c r="AE98" s="26"/>
      <c r="AF98" s="26"/>
      <c r="AG98" s="26"/>
      <c r="AH98" s="26"/>
      <c r="AI98" s="26"/>
      <c r="AJ98" s="26"/>
      <c r="AK98" s="26"/>
      <c r="AL98" s="115">
        <v>400000000</v>
      </c>
      <c r="AM98" s="51"/>
      <c r="AN98" s="26"/>
      <c r="AO98" s="27"/>
      <c r="AP98" s="26">
        <f>P98+Q98+R98+S98+T98+U98+V98+W98+X98+Y98+Z98+AA98+AB98+AC98+AD98+AE98+AF98+AG98+AH98+AI98+AJ98+AK98+AL98+AM98+AN98+AO98</f>
        <v>400000000</v>
      </c>
    </row>
    <row r="99" spans="1:42" s="28" customFormat="1" ht="83.25" customHeight="1" x14ac:dyDescent="0.25">
      <c r="A99" s="22"/>
      <c r="B99" s="20"/>
      <c r="C99" s="887"/>
      <c r="D99" s="895"/>
      <c r="E99" s="972"/>
      <c r="F99" s="938"/>
      <c r="G99" s="31"/>
      <c r="H99" s="815">
        <v>64</v>
      </c>
      <c r="I99" s="151" t="s">
        <v>140</v>
      </c>
      <c r="J99" s="12">
        <v>0</v>
      </c>
      <c r="K99" s="21">
        <v>1</v>
      </c>
      <c r="L99" s="995"/>
      <c r="M99" s="909"/>
      <c r="N99" s="895"/>
      <c r="O99" s="152" t="s">
        <v>141</v>
      </c>
      <c r="P99" s="26">
        <v>0</v>
      </c>
      <c r="Q99" s="26">
        <v>0</v>
      </c>
      <c r="R99" s="50">
        <v>0</v>
      </c>
      <c r="S99" s="26">
        <v>0</v>
      </c>
      <c r="T99" s="26">
        <v>0</v>
      </c>
      <c r="U99" s="26">
        <v>0</v>
      </c>
      <c r="V99" s="26">
        <v>0</v>
      </c>
      <c r="W99" s="26"/>
      <c r="X99" s="26"/>
      <c r="Y99" s="26"/>
      <c r="Z99" s="26">
        <v>0</v>
      </c>
      <c r="AA99" s="26"/>
      <c r="AB99" s="26">
        <v>0</v>
      </c>
      <c r="AC99" s="26">
        <v>0</v>
      </c>
      <c r="AD99" s="26"/>
      <c r="AE99" s="26"/>
      <c r="AF99" s="26"/>
      <c r="AG99" s="26"/>
      <c r="AH99" s="26"/>
      <c r="AI99" s="26"/>
      <c r="AJ99" s="26">
        <v>0</v>
      </c>
      <c r="AK99" s="26">
        <v>0</v>
      </c>
      <c r="AL99" s="115">
        <v>30000000</v>
      </c>
      <c r="AM99" s="11"/>
      <c r="AN99" s="26">
        <v>0</v>
      </c>
      <c r="AO99" s="27">
        <v>0</v>
      </c>
      <c r="AP99" s="26">
        <f>P99+Q99+R99+S99+T99+U99+V99+W99+X99+Y99+Z99+AA99+AB99+AC99+AD99+AE99+AF99+AG99+AH99+AI99+AJ99+AK99+AL99+AM99+AN99+AO99</f>
        <v>30000000</v>
      </c>
    </row>
    <row r="100" spans="1:42" s="196" customFormat="1" ht="15" x14ac:dyDescent="0.25">
      <c r="A100" s="22"/>
      <c r="B100" s="189"/>
      <c r="C100" s="152"/>
      <c r="D100" s="151"/>
      <c r="E100" s="152"/>
      <c r="F100" s="152"/>
      <c r="G100" s="191"/>
      <c r="H100" s="192"/>
      <c r="I100" s="309"/>
      <c r="J100" s="303"/>
      <c r="K100" s="303"/>
      <c r="L100" s="310"/>
      <c r="M100" s="194"/>
      <c r="N100" s="309"/>
      <c r="O100" s="192"/>
      <c r="P100" s="195">
        <f>SUM(P92:P99)</f>
        <v>0</v>
      </c>
      <c r="Q100" s="195">
        <f t="shared" ref="Q100:AK100" si="29">SUM(Q92:Q99)</f>
        <v>0</v>
      </c>
      <c r="R100" s="195">
        <f t="shared" si="29"/>
        <v>9099927185</v>
      </c>
      <c r="S100" s="195">
        <f t="shared" si="29"/>
        <v>0</v>
      </c>
      <c r="T100" s="195">
        <f t="shared" si="29"/>
        <v>0</v>
      </c>
      <c r="U100" s="195">
        <f t="shared" si="29"/>
        <v>0</v>
      </c>
      <c r="V100" s="195">
        <f t="shared" si="29"/>
        <v>0</v>
      </c>
      <c r="W100" s="195">
        <f t="shared" si="29"/>
        <v>0</v>
      </c>
      <c r="X100" s="195">
        <f t="shared" si="29"/>
        <v>0</v>
      </c>
      <c r="Y100" s="195">
        <f t="shared" si="29"/>
        <v>0</v>
      </c>
      <c r="Z100" s="195">
        <f t="shared" si="29"/>
        <v>0</v>
      </c>
      <c r="AA100" s="195">
        <f t="shared" si="29"/>
        <v>0</v>
      </c>
      <c r="AB100" s="195">
        <f t="shared" si="29"/>
        <v>0</v>
      </c>
      <c r="AC100" s="195">
        <f t="shared" si="29"/>
        <v>0</v>
      </c>
      <c r="AD100" s="195">
        <f t="shared" si="29"/>
        <v>0</v>
      </c>
      <c r="AE100" s="195">
        <f t="shared" si="29"/>
        <v>0</v>
      </c>
      <c r="AF100" s="195">
        <f t="shared" si="29"/>
        <v>0</v>
      </c>
      <c r="AG100" s="195">
        <f t="shared" si="29"/>
        <v>0</v>
      </c>
      <c r="AH100" s="195">
        <f t="shared" si="29"/>
        <v>0</v>
      </c>
      <c r="AI100" s="195">
        <f t="shared" si="29"/>
        <v>0</v>
      </c>
      <c r="AJ100" s="195">
        <f t="shared" si="29"/>
        <v>0</v>
      </c>
      <c r="AK100" s="195">
        <f t="shared" si="29"/>
        <v>0</v>
      </c>
      <c r="AL100" s="195">
        <f t="shared" ref="AL100:AP100" si="30">SUM(AL92:AL99)</f>
        <v>958300000</v>
      </c>
      <c r="AM100" s="195">
        <f t="shared" si="30"/>
        <v>0</v>
      </c>
      <c r="AN100" s="195">
        <f t="shared" si="30"/>
        <v>0</v>
      </c>
      <c r="AO100" s="195">
        <f t="shared" si="30"/>
        <v>128000000</v>
      </c>
      <c r="AP100" s="195">
        <f t="shared" si="30"/>
        <v>10186227185</v>
      </c>
    </row>
    <row r="101" spans="1:42" s="196" customFormat="1" ht="15" x14ac:dyDescent="0.25">
      <c r="A101" s="197"/>
      <c r="B101" s="198"/>
      <c r="C101" s="199"/>
      <c r="D101" s="198"/>
      <c r="E101" s="199"/>
      <c r="F101" s="199"/>
      <c r="G101" s="198"/>
      <c r="H101" s="199"/>
      <c r="I101" s="198"/>
      <c r="J101" s="311"/>
      <c r="K101" s="311"/>
      <c r="L101" s="311"/>
      <c r="M101" s="201"/>
      <c r="N101" s="198"/>
      <c r="O101" s="199"/>
      <c r="P101" s="202">
        <f t="shared" ref="P101:AK101" si="31">P100+P89</f>
        <v>0</v>
      </c>
      <c r="Q101" s="202">
        <f t="shared" si="31"/>
        <v>0</v>
      </c>
      <c r="R101" s="202">
        <f t="shared" si="31"/>
        <v>9099927185</v>
      </c>
      <c r="S101" s="202">
        <f t="shared" si="31"/>
        <v>0</v>
      </c>
      <c r="T101" s="202">
        <f t="shared" si="31"/>
        <v>0</v>
      </c>
      <c r="U101" s="202">
        <f t="shared" si="31"/>
        <v>706404493</v>
      </c>
      <c r="V101" s="202">
        <f t="shared" si="31"/>
        <v>0</v>
      </c>
      <c r="W101" s="202">
        <f t="shared" si="31"/>
        <v>0</v>
      </c>
      <c r="X101" s="202">
        <f t="shared" si="31"/>
        <v>0</v>
      </c>
      <c r="Y101" s="202">
        <f t="shared" si="31"/>
        <v>0</v>
      </c>
      <c r="Z101" s="202">
        <f t="shared" si="31"/>
        <v>0</v>
      </c>
      <c r="AA101" s="202">
        <f t="shared" si="31"/>
        <v>0</v>
      </c>
      <c r="AB101" s="202">
        <f t="shared" si="31"/>
        <v>0</v>
      </c>
      <c r="AC101" s="202">
        <f t="shared" si="31"/>
        <v>0</v>
      </c>
      <c r="AD101" s="202">
        <f t="shared" si="31"/>
        <v>0</v>
      </c>
      <c r="AE101" s="202">
        <f t="shared" si="31"/>
        <v>0</v>
      </c>
      <c r="AF101" s="202">
        <f t="shared" si="31"/>
        <v>0</v>
      </c>
      <c r="AG101" s="202">
        <f t="shared" si="31"/>
        <v>0</v>
      </c>
      <c r="AH101" s="202">
        <f t="shared" si="31"/>
        <v>0</v>
      </c>
      <c r="AI101" s="202">
        <f t="shared" si="31"/>
        <v>0</v>
      </c>
      <c r="AJ101" s="202">
        <f t="shared" si="31"/>
        <v>0</v>
      </c>
      <c r="AK101" s="202">
        <f t="shared" si="31"/>
        <v>0</v>
      </c>
      <c r="AL101" s="202">
        <f t="shared" ref="AL101:AP101" si="32">AL100+AL89</f>
        <v>1408300000</v>
      </c>
      <c r="AM101" s="202">
        <f t="shared" si="32"/>
        <v>0</v>
      </c>
      <c r="AN101" s="202">
        <f t="shared" si="32"/>
        <v>0</v>
      </c>
      <c r="AO101" s="202">
        <f t="shared" si="32"/>
        <v>128000000</v>
      </c>
      <c r="AP101" s="202">
        <f t="shared" si="32"/>
        <v>11342631678</v>
      </c>
    </row>
    <row r="102" spans="1:42" s="196" customFormat="1" ht="15" x14ac:dyDescent="0.25">
      <c r="A102" s="312"/>
      <c r="B102" s="203"/>
      <c r="C102" s="204"/>
      <c r="D102" s="203"/>
      <c r="E102" s="204"/>
      <c r="F102" s="204"/>
      <c r="G102" s="203"/>
      <c r="H102" s="204"/>
      <c r="I102" s="203"/>
      <c r="J102" s="313"/>
      <c r="K102" s="313"/>
      <c r="L102" s="313"/>
      <c r="M102" s="206"/>
      <c r="N102" s="203"/>
      <c r="O102" s="204"/>
      <c r="P102" s="207">
        <f t="shared" ref="P102:AK102" si="33">P101</f>
        <v>0</v>
      </c>
      <c r="Q102" s="207">
        <f t="shared" si="33"/>
        <v>0</v>
      </c>
      <c r="R102" s="207">
        <f t="shared" si="33"/>
        <v>9099927185</v>
      </c>
      <c r="S102" s="207">
        <f t="shared" si="33"/>
        <v>0</v>
      </c>
      <c r="T102" s="207">
        <f t="shared" si="33"/>
        <v>0</v>
      </c>
      <c r="U102" s="207">
        <f t="shared" si="33"/>
        <v>706404493</v>
      </c>
      <c r="V102" s="207">
        <f t="shared" si="33"/>
        <v>0</v>
      </c>
      <c r="W102" s="207">
        <f t="shared" si="33"/>
        <v>0</v>
      </c>
      <c r="X102" s="207">
        <f t="shared" si="33"/>
        <v>0</v>
      </c>
      <c r="Y102" s="207">
        <f t="shared" si="33"/>
        <v>0</v>
      </c>
      <c r="Z102" s="207">
        <f t="shared" si="33"/>
        <v>0</v>
      </c>
      <c r="AA102" s="207">
        <f t="shared" si="33"/>
        <v>0</v>
      </c>
      <c r="AB102" s="207">
        <f t="shared" si="33"/>
        <v>0</v>
      </c>
      <c r="AC102" s="207">
        <f t="shared" si="33"/>
        <v>0</v>
      </c>
      <c r="AD102" s="207">
        <f t="shared" si="33"/>
        <v>0</v>
      </c>
      <c r="AE102" s="207">
        <f t="shared" si="33"/>
        <v>0</v>
      </c>
      <c r="AF102" s="207">
        <f t="shared" si="33"/>
        <v>0</v>
      </c>
      <c r="AG102" s="207">
        <f t="shared" si="33"/>
        <v>0</v>
      </c>
      <c r="AH102" s="207">
        <f t="shared" si="33"/>
        <v>0</v>
      </c>
      <c r="AI102" s="207">
        <f t="shared" si="33"/>
        <v>0</v>
      </c>
      <c r="AJ102" s="207">
        <f t="shared" si="33"/>
        <v>0</v>
      </c>
      <c r="AK102" s="207">
        <f t="shared" si="33"/>
        <v>0</v>
      </c>
      <c r="AL102" s="207">
        <f t="shared" ref="AL102:AP102" si="34">AL101</f>
        <v>1408300000</v>
      </c>
      <c r="AM102" s="207">
        <f t="shared" si="34"/>
        <v>0</v>
      </c>
      <c r="AN102" s="207">
        <f t="shared" si="34"/>
        <v>0</v>
      </c>
      <c r="AO102" s="207">
        <f t="shared" si="34"/>
        <v>128000000</v>
      </c>
      <c r="AP102" s="207">
        <f t="shared" si="34"/>
        <v>11342631678</v>
      </c>
    </row>
    <row r="103" spans="1:42" s="28" customFormat="1" ht="15" x14ac:dyDescent="0.25">
      <c r="A103" s="214"/>
      <c r="B103" s="214"/>
      <c r="C103" s="454"/>
      <c r="D103" s="214"/>
      <c r="E103" s="454"/>
      <c r="F103" s="454"/>
      <c r="G103" s="214"/>
      <c r="H103" s="454"/>
      <c r="I103" s="214"/>
      <c r="J103" s="314"/>
      <c r="K103" s="314"/>
      <c r="L103" s="314"/>
      <c r="M103" s="216"/>
      <c r="N103" s="214"/>
      <c r="O103" s="454"/>
      <c r="P103" s="217"/>
      <c r="Q103" s="217"/>
      <c r="R103" s="217"/>
      <c r="S103" s="217"/>
      <c r="T103" s="217"/>
      <c r="U103" s="217"/>
      <c r="V103" s="217"/>
      <c r="W103" s="217"/>
      <c r="X103" s="217"/>
      <c r="Y103" s="217"/>
      <c r="Z103" s="217"/>
      <c r="AA103" s="217"/>
      <c r="AB103" s="217"/>
      <c r="AC103" s="217"/>
      <c r="AD103" s="315"/>
      <c r="AE103" s="315"/>
      <c r="AF103" s="315"/>
      <c r="AG103" s="315"/>
      <c r="AH103" s="315"/>
      <c r="AI103" s="315"/>
      <c r="AJ103" s="108"/>
      <c r="AK103" s="217"/>
      <c r="AL103" s="219"/>
      <c r="AM103" s="220"/>
      <c r="AN103" s="217"/>
      <c r="AO103" s="217"/>
      <c r="AP103" s="217"/>
    </row>
    <row r="104" spans="1:42" s="28" customFormat="1" x14ac:dyDescent="0.25">
      <c r="A104" s="173">
        <v>1</v>
      </c>
      <c r="B104" s="174" t="s">
        <v>142</v>
      </c>
      <c r="C104" s="175"/>
      <c r="D104" s="174"/>
      <c r="E104" s="174"/>
      <c r="F104" s="174"/>
      <c r="G104" s="174"/>
      <c r="H104" s="175"/>
      <c r="I104" s="174"/>
      <c r="J104" s="174"/>
      <c r="K104" s="174"/>
      <c r="L104" s="174"/>
      <c r="M104" s="176"/>
      <c r="N104" s="174"/>
      <c r="O104" s="174"/>
      <c r="P104" s="174"/>
      <c r="Q104" s="174"/>
      <c r="R104" s="174"/>
      <c r="S104" s="174"/>
      <c r="T104" s="174"/>
      <c r="U104" s="174"/>
      <c r="V104" s="174"/>
      <c r="W104" s="174"/>
      <c r="X104" s="174"/>
      <c r="Y104" s="174"/>
      <c r="Z104" s="174"/>
      <c r="AA104" s="174"/>
      <c r="AB104" s="174"/>
      <c r="AC104" s="174"/>
      <c r="AD104" s="174"/>
      <c r="AE104" s="174"/>
      <c r="AF104" s="174"/>
      <c r="AG104" s="174"/>
      <c r="AH104" s="174"/>
      <c r="AI104" s="174"/>
      <c r="AJ104" s="174"/>
      <c r="AK104" s="174"/>
      <c r="AL104" s="177"/>
      <c r="AM104" s="174"/>
      <c r="AN104" s="174"/>
      <c r="AO104" s="174"/>
      <c r="AP104" s="178"/>
    </row>
    <row r="105" spans="1:42" s="28" customFormat="1" x14ac:dyDescent="0.25">
      <c r="A105" s="223"/>
      <c r="B105" s="316">
        <v>1</v>
      </c>
      <c r="C105" s="181" t="s">
        <v>143</v>
      </c>
      <c r="D105" s="182"/>
      <c r="E105" s="182"/>
      <c r="F105" s="182"/>
      <c r="G105" s="182"/>
      <c r="H105" s="183"/>
      <c r="I105" s="182"/>
      <c r="J105" s="182"/>
      <c r="K105" s="182"/>
      <c r="L105" s="182"/>
      <c r="M105" s="184"/>
      <c r="N105" s="182"/>
      <c r="O105" s="182"/>
      <c r="P105" s="182"/>
      <c r="Q105" s="182"/>
      <c r="R105" s="182"/>
      <c r="S105" s="182"/>
      <c r="T105" s="182"/>
      <c r="U105" s="182"/>
      <c r="V105" s="182"/>
      <c r="W105" s="182"/>
      <c r="X105" s="182"/>
      <c r="Y105" s="182"/>
      <c r="Z105" s="182"/>
      <c r="AA105" s="182"/>
      <c r="AB105" s="182"/>
      <c r="AC105" s="182"/>
      <c r="AD105" s="182"/>
      <c r="AE105" s="182"/>
      <c r="AF105" s="182"/>
      <c r="AG105" s="182"/>
      <c r="AH105" s="182"/>
      <c r="AI105" s="182"/>
      <c r="AJ105" s="182"/>
      <c r="AK105" s="182"/>
      <c r="AL105" s="185"/>
      <c r="AM105" s="182"/>
      <c r="AN105" s="182"/>
      <c r="AO105" s="182"/>
      <c r="AP105" s="186"/>
    </row>
    <row r="106" spans="1:42" s="28" customFormat="1" ht="15" x14ac:dyDescent="0.25">
      <c r="A106" s="20"/>
      <c r="B106" s="223"/>
      <c r="C106" s="292"/>
      <c r="D106" s="224"/>
      <c r="E106" s="224"/>
      <c r="F106" s="225"/>
      <c r="G106" s="226">
        <v>2</v>
      </c>
      <c r="H106" s="904" t="s">
        <v>144</v>
      </c>
      <c r="I106" s="904"/>
      <c r="J106" s="904"/>
      <c r="K106" s="904"/>
      <c r="L106" s="904"/>
      <c r="M106" s="904"/>
      <c r="N106" s="904"/>
      <c r="O106" s="227"/>
      <c r="P106" s="227"/>
      <c r="Q106" s="227"/>
      <c r="R106" s="318"/>
      <c r="S106" s="318"/>
      <c r="T106" s="227"/>
      <c r="U106" s="227"/>
      <c r="V106" s="227"/>
      <c r="W106" s="227"/>
      <c r="X106" s="227"/>
      <c r="Y106" s="227"/>
      <c r="Z106" s="227"/>
      <c r="AA106" s="227"/>
      <c r="AB106" s="227"/>
      <c r="AC106" s="227"/>
      <c r="AD106" s="227"/>
      <c r="AE106" s="227"/>
      <c r="AF106" s="227"/>
      <c r="AG106" s="227"/>
      <c r="AH106" s="227"/>
      <c r="AI106" s="227"/>
      <c r="AJ106" s="227"/>
      <c r="AK106" s="227"/>
      <c r="AL106" s="229"/>
      <c r="AM106" s="227"/>
      <c r="AN106" s="227"/>
      <c r="AO106" s="227"/>
      <c r="AP106" s="230"/>
    </row>
    <row r="107" spans="1:42" s="28" customFormat="1" ht="100.5" customHeight="1" x14ac:dyDescent="0.25">
      <c r="A107" s="20"/>
      <c r="B107" s="20"/>
      <c r="C107" s="150">
        <v>3</v>
      </c>
      <c r="D107" s="151" t="s">
        <v>145</v>
      </c>
      <c r="E107" s="152" t="s">
        <v>146</v>
      </c>
      <c r="F107" s="152" t="s">
        <v>147</v>
      </c>
      <c r="G107" s="23"/>
      <c r="H107" s="826">
        <v>9</v>
      </c>
      <c r="I107" s="151" t="s">
        <v>148</v>
      </c>
      <c r="J107" s="12">
        <v>35</v>
      </c>
      <c r="K107" s="12">
        <v>5</v>
      </c>
      <c r="L107" s="52" t="s">
        <v>149</v>
      </c>
      <c r="M107" s="30" t="s">
        <v>150</v>
      </c>
      <c r="N107" s="151" t="s">
        <v>151</v>
      </c>
      <c r="O107" s="152" t="s">
        <v>40</v>
      </c>
      <c r="P107" s="26">
        <v>0</v>
      </c>
      <c r="Q107" s="26">
        <v>0</v>
      </c>
      <c r="R107" s="33">
        <f>106758463+610000000</f>
        <v>716758463</v>
      </c>
      <c r="S107" s="26">
        <v>0</v>
      </c>
      <c r="T107" s="26">
        <v>0</v>
      </c>
      <c r="U107" s="26">
        <v>0</v>
      </c>
      <c r="V107" s="26">
        <v>0</v>
      </c>
      <c r="W107" s="26"/>
      <c r="X107" s="26"/>
      <c r="Y107" s="26"/>
      <c r="Z107" s="26">
        <v>0</v>
      </c>
      <c r="AA107" s="26"/>
      <c r="AB107" s="26">
        <v>0</v>
      </c>
      <c r="AC107" s="26">
        <v>0</v>
      </c>
      <c r="AD107" s="26"/>
      <c r="AE107" s="26"/>
      <c r="AF107" s="26"/>
      <c r="AG107" s="26"/>
      <c r="AH107" s="26"/>
      <c r="AI107" s="26"/>
      <c r="AJ107" s="26">
        <v>0</v>
      </c>
      <c r="AK107" s="33">
        <v>110991608</v>
      </c>
      <c r="AL107" s="114"/>
      <c r="AM107" s="33"/>
      <c r="AN107" s="26">
        <v>0</v>
      </c>
      <c r="AO107" s="27">
        <v>0</v>
      </c>
      <c r="AP107" s="26">
        <f>P107+Q107+R107+S107+T107+U107+V107+W107+X107+Y107+Z107+AA107+AB107+AC107+AD107+AE107+AF107+AG107+AH107+AI107+AJ107+AK107+AL107+AM107+AN107+AO107</f>
        <v>827750071</v>
      </c>
    </row>
    <row r="108" spans="1:42" s="28" customFormat="1" ht="108.75" customHeight="1" x14ac:dyDescent="0.25">
      <c r="A108" s="20"/>
      <c r="B108" s="20"/>
      <c r="C108" s="150">
        <v>3</v>
      </c>
      <c r="D108" s="151" t="s">
        <v>145</v>
      </c>
      <c r="E108" s="152" t="s">
        <v>146</v>
      </c>
      <c r="F108" s="152" t="s">
        <v>147</v>
      </c>
      <c r="G108" s="29"/>
      <c r="H108" s="831">
        <v>9</v>
      </c>
      <c r="I108" s="151" t="s">
        <v>148</v>
      </c>
      <c r="J108" s="12">
        <v>35</v>
      </c>
      <c r="K108" s="12">
        <v>5</v>
      </c>
      <c r="L108" s="52" t="s">
        <v>149</v>
      </c>
      <c r="M108" s="30" t="s">
        <v>152</v>
      </c>
      <c r="N108" s="151" t="s">
        <v>153</v>
      </c>
      <c r="O108" s="152" t="s">
        <v>40</v>
      </c>
      <c r="P108" s="26"/>
      <c r="Q108" s="26"/>
      <c r="R108" s="26">
        <f>200000000-106758463</f>
        <v>93241537</v>
      </c>
      <c r="S108" s="26"/>
      <c r="T108" s="26"/>
      <c r="U108" s="26"/>
      <c r="V108" s="26"/>
      <c r="W108" s="26"/>
      <c r="X108" s="26"/>
      <c r="Y108" s="26"/>
      <c r="Z108" s="26"/>
      <c r="AA108" s="26"/>
      <c r="AB108" s="26"/>
      <c r="AC108" s="26"/>
      <c r="AD108" s="26"/>
      <c r="AE108" s="26"/>
      <c r="AF108" s="26"/>
      <c r="AG108" s="26"/>
      <c r="AH108" s="26"/>
      <c r="AI108" s="26"/>
      <c r="AJ108" s="26">
        <v>0</v>
      </c>
      <c r="AK108" s="53">
        <f>535600000-57958463-25000000-25000000+106758463</f>
        <v>534400000</v>
      </c>
      <c r="AL108" s="115"/>
      <c r="AM108" s="11"/>
      <c r="AN108" s="26"/>
      <c r="AO108" s="27"/>
      <c r="AP108" s="26">
        <f>P108+Q108+R108+S108+T108+U108+V108+W108+X108+Y108+Z108+AA108+AB108+AC108+AD108+AE108+AF108+AG108+AH108+AI108+AJ108+AK108+AL108+AM108+AN108+AO108</f>
        <v>627641537</v>
      </c>
    </row>
    <row r="109" spans="1:42" s="28" customFormat="1" ht="119.25" customHeight="1" x14ac:dyDescent="0.25">
      <c r="A109" s="20"/>
      <c r="B109" s="20"/>
      <c r="C109" s="150">
        <v>3</v>
      </c>
      <c r="D109" s="151" t="s">
        <v>145</v>
      </c>
      <c r="E109" s="152" t="s">
        <v>146</v>
      </c>
      <c r="F109" s="152" t="s">
        <v>147</v>
      </c>
      <c r="G109" s="29"/>
      <c r="H109" s="152">
        <v>10</v>
      </c>
      <c r="I109" s="151" t="s">
        <v>154</v>
      </c>
      <c r="J109" s="54">
        <v>1</v>
      </c>
      <c r="K109" s="54">
        <v>5</v>
      </c>
      <c r="L109" s="52" t="s">
        <v>149</v>
      </c>
      <c r="M109" s="30" t="s">
        <v>155</v>
      </c>
      <c r="N109" s="151" t="s">
        <v>156</v>
      </c>
      <c r="O109" s="152" t="s">
        <v>40</v>
      </c>
      <c r="P109" s="26">
        <v>0</v>
      </c>
      <c r="Q109" s="26">
        <v>0</v>
      </c>
      <c r="R109" s="26">
        <v>0</v>
      </c>
      <c r="S109" s="26">
        <v>0</v>
      </c>
      <c r="T109" s="26">
        <v>0</v>
      </c>
      <c r="U109" s="26">
        <v>0</v>
      </c>
      <c r="V109" s="26">
        <v>0</v>
      </c>
      <c r="W109" s="26"/>
      <c r="X109" s="26"/>
      <c r="Y109" s="26"/>
      <c r="Z109" s="26">
        <v>0</v>
      </c>
      <c r="AA109" s="26"/>
      <c r="AB109" s="26">
        <v>0</v>
      </c>
      <c r="AC109" s="26">
        <v>0</v>
      </c>
      <c r="AD109" s="26"/>
      <c r="AE109" s="26"/>
      <c r="AF109" s="26"/>
      <c r="AG109" s="26"/>
      <c r="AH109" s="26"/>
      <c r="AI109" s="26"/>
      <c r="AJ109" s="26">
        <v>0</v>
      </c>
      <c r="AK109" s="53">
        <f>49300000+417417.74</f>
        <v>49717417.740000002</v>
      </c>
      <c r="AL109" s="113">
        <v>0</v>
      </c>
      <c r="AM109" s="39"/>
      <c r="AN109" s="26">
        <v>0</v>
      </c>
      <c r="AO109" s="27">
        <v>0</v>
      </c>
      <c r="AP109" s="26">
        <f>P109+Q109+R109+S109+T109+U109+V109+W109+X109+Y109+Z109+AA109+AB109+AC109+AD109+AE109+AF109+AG109+AH109+AI109+AJ109+AK109+AL109+AM109+AN109+AO109</f>
        <v>49717417.740000002</v>
      </c>
    </row>
    <row r="110" spans="1:42" s="48" customFormat="1" ht="81" customHeight="1" x14ac:dyDescent="0.25">
      <c r="A110" s="20"/>
      <c r="B110" s="20"/>
      <c r="C110" s="150">
        <v>3</v>
      </c>
      <c r="D110" s="151" t="s">
        <v>145</v>
      </c>
      <c r="E110" s="152" t="s">
        <v>146</v>
      </c>
      <c r="F110" s="152" t="s">
        <v>147</v>
      </c>
      <c r="G110" s="29"/>
      <c r="H110" s="152">
        <v>11</v>
      </c>
      <c r="I110" s="151" t="s">
        <v>157</v>
      </c>
      <c r="J110" s="12">
        <v>1</v>
      </c>
      <c r="K110" s="12">
        <v>1</v>
      </c>
      <c r="L110" s="52" t="s">
        <v>149</v>
      </c>
      <c r="M110" s="30" t="s">
        <v>158</v>
      </c>
      <c r="N110" s="55" t="s">
        <v>159</v>
      </c>
      <c r="O110" s="152" t="s">
        <v>44</v>
      </c>
      <c r="P110" s="26">
        <v>0</v>
      </c>
      <c r="Q110" s="26">
        <v>0</v>
      </c>
      <c r="R110" s="26">
        <v>0</v>
      </c>
      <c r="S110" s="26">
        <v>0</v>
      </c>
      <c r="T110" s="26">
        <v>0</v>
      </c>
      <c r="U110" s="26">
        <v>0</v>
      </c>
      <c r="V110" s="26">
        <v>0</v>
      </c>
      <c r="W110" s="26"/>
      <c r="X110" s="26"/>
      <c r="Y110" s="26"/>
      <c r="Z110" s="26">
        <v>0</v>
      </c>
      <c r="AA110" s="26"/>
      <c r="AB110" s="26">
        <v>0</v>
      </c>
      <c r="AC110" s="26">
        <v>0</v>
      </c>
      <c r="AD110" s="26"/>
      <c r="AE110" s="26"/>
      <c r="AF110" s="26"/>
      <c r="AG110" s="26"/>
      <c r="AH110" s="26"/>
      <c r="AI110" s="26"/>
      <c r="AJ110" s="26">
        <v>0</v>
      </c>
      <c r="AK110" s="53">
        <v>324800000</v>
      </c>
      <c r="AL110" s="113">
        <v>0</v>
      </c>
      <c r="AM110" s="39"/>
      <c r="AN110" s="26">
        <v>0</v>
      </c>
      <c r="AO110" s="27">
        <v>0</v>
      </c>
      <c r="AP110" s="26">
        <f>P110+Q110+R110+S110+T110+U110+V110+W110+X110+Y110+Z110+AA110+AB110+AC110+AD110+AE110+AF110+AG110+AH110+AI110+AJ110+AK110+AL110+AM110+AN110+AO110</f>
        <v>324800000</v>
      </c>
    </row>
    <row r="111" spans="1:42" s="28" customFormat="1" ht="114" customHeight="1" x14ac:dyDescent="0.25">
      <c r="A111" s="20"/>
      <c r="B111" s="20"/>
      <c r="C111" s="150">
        <v>3</v>
      </c>
      <c r="D111" s="151" t="s">
        <v>145</v>
      </c>
      <c r="E111" s="152" t="s">
        <v>146</v>
      </c>
      <c r="F111" s="152" t="s">
        <v>147</v>
      </c>
      <c r="G111" s="29"/>
      <c r="H111" s="152">
        <v>12</v>
      </c>
      <c r="I111" s="151" t="s">
        <v>160</v>
      </c>
      <c r="J111" s="12">
        <v>1</v>
      </c>
      <c r="K111" s="12">
        <v>3</v>
      </c>
      <c r="L111" s="52" t="s">
        <v>149</v>
      </c>
      <c r="M111" s="30" t="s">
        <v>161</v>
      </c>
      <c r="N111" s="55" t="s">
        <v>162</v>
      </c>
      <c r="O111" s="152" t="s">
        <v>44</v>
      </c>
      <c r="P111" s="26">
        <v>0</v>
      </c>
      <c r="Q111" s="26">
        <v>0</v>
      </c>
      <c r="R111" s="26">
        <v>0</v>
      </c>
      <c r="S111" s="26">
        <v>0</v>
      </c>
      <c r="T111" s="26">
        <v>0</v>
      </c>
      <c r="U111" s="26">
        <v>0</v>
      </c>
      <c r="V111" s="26">
        <v>0</v>
      </c>
      <c r="W111" s="26"/>
      <c r="X111" s="26"/>
      <c r="Y111" s="26"/>
      <c r="Z111" s="26">
        <v>0</v>
      </c>
      <c r="AA111" s="26"/>
      <c r="AB111" s="26">
        <v>0</v>
      </c>
      <c r="AC111" s="26">
        <v>0</v>
      </c>
      <c r="AD111" s="26"/>
      <c r="AE111" s="26"/>
      <c r="AF111" s="26"/>
      <c r="AG111" s="26"/>
      <c r="AH111" s="26"/>
      <c r="AI111" s="26"/>
      <c r="AJ111" s="26">
        <v>0</v>
      </c>
      <c r="AK111" s="53">
        <v>1032300000</v>
      </c>
      <c r="AL111" s="113">
        <v>0</v>
      </c>
      <c r="AM111" s="39"/>
      <c r="AN111" s="26">
        <v>0</v>
      </c>
      <c r="AO111" s="27">
        <v>0</v>
      </c>
      <c r="AP111" s="26">
        <f>P111+Q111+R111+S111+T111+U111+V111+W111+X111+Y111+Z111+AA111+AB111+AC111+AD111+AE111+AF111+AG111+AH111+AI111+AJ111+AK111+AL111+AM111+AN111+AO111</f>
        <v>1032300000</v>
      </c>
    </row>
    <row r="112" spans="1:42" s="28" customFormat="1" ht="104.25" customHeight="1" x14ac:dyDescent="0.25">
      <c r="A112" s="20"/>
      <c r="B112" s="20"/>
      <c r="C112" s="150">
        <v>3</v>
      </c>
      <c r="D112" s="151" t="s">
        <v>145</v>
      </c>
      <c r="E112" s="152" t="s">
        <v>146</v>
      </c>
      <c r="F112" s="152" t="s">
        <v>147</v>
      </c>
      <c r="G112" s="31"/>
      <c r="H112" s="152">
        <v>13</v>
      </c>
      <c r="I112" s="151" t="s">
        <v>163</v>
      </c>
      <c r="J112" s="12">
        <v>0</v>
      </c>
      <c r="K112" s="12">
        <v>2</v>
      </c>
      <c r="L112" s="52" t="s">
        <v>149</v>
      </c>
      <c r="M112" s="30" t="s">
        <v>164</v>
      </c>
      <c r="N112" s="55" t="s">
        <v>165</v>
      </c>
      <c r="O112" s="152" t="s">
        <v>44</v>
      </c>
      <c r="P112" s="26">
        <v>0</v>
      </c>
      <c r="Q112" s="26">
        <v>0</v>
      </c>
      <c r="R112" s="26">
        <v>0</v>
      </c>
      <c r="S112" s="26">
        <v>0</v>
      </c>
      <c r="T112" s="26">
        <v>0</v>
      </c>
      <c r="U112" s="26">
        <v>0</v>
      </c>
      <c r="V112" s="26">
        <v>0</v>
      </c>
      <c r="W112" s="26"/>
      <c r="X112" s="26"/>
      <c r="Y112" s="26"/>
      <c r="Z112" s="26">
        <v>0</v>
      </c>
      <c r="AA112" s="26"/>
      <c r="AB112" s="26">
        <v>0</v>
      </c>
      <c r="AC112" s="26">
        <v>0</v>
      </c>
      <c r="AD112" s="26"/>
      <c r="AE112" s="26"/>
      <c r="AF112" s="26"/>
      <c r="AG112" s="26"/>
      <c r="AH112" s="26"/>
      <c r="AI112" s="26"/>
      <c r="AJ112" s="26">
        <v>0</v>
      </c>
      <c r="AK112" s="53">
        <v>265000000</v>
      </c>
      <c r="AL112" s="113">
        <v>0</v>
      </c>
      <c r="AM112" s="39"/>
      <c r="AN112" s="26">
        <v>0</v>
      </c>
      <c r="AO112" s="27">
        <v>0</v>
      </c>
      <c r="AP112" s="26">
        <f>P112+Q112+R112+S112+T112+U112+V112+W112+X112+Y112+Z112+AA112+AB112+AC112+AD112+AE112+AF112+AG112+AH112+AI112+AJ112+AK112+AL112+AM112+AN112+AO112</f>
        <v>265000000</v>
      </c>
    </row>
    <row r="113" spans="1:42" s="28" customFormat="1" ht="15" x14ac:dyDescent="0.25">
      <c r="A113" s="20"/>
      <c r="B113" s="189"/>
      <c r="C113" s="848"/>
      <c r="D113" s="224"/>
      <c r="E113" s="224"/>
      <c r="F113" s="225"/>
      <c r="G113" s="319"/>
      <c r="H113" s="320"/>
      <c r="I113" s="319"/>
      <c r="J113" s="321"/>
      <c r="K113" s="321"/>
      <c r="L113" s="321"/>
      <c r="M113" s="322"/>
      <c r="N113" s="323"/>
      <c r="O113" s="320"/>
      <c r="P113" s="324">
        <f t="shared" ref="P113:AK113" si="35">SUM(P107:P112)</f>
        <v>0</v>
      </c>
      <c r="Q113" s="324">
        <f t="shared" si="35"/>
        <v>0</v>
      </c>
      <c r="R113" s="324">
        <f t="shared" si="35"/>
        <v>810000000</v>
      </c>
      <c r="S113" s="324">
        <f t="shared" si="35"/>
        <v>0</v>
      </c>
      <c r="T113" s="324">
        <f t="shared" si="35"/>
        <v>0</v>
      </c>
      <c r="U113" s="324">
        <f t="shared" si="35"/>
        <v>0</v>
      </c>
      <c r="V113" s="324">
        <f t="shared" si="35"/>
        <v>0</v>
      </c>
      <c r="W113" s="324">
        <f t="shared" si="35"/>
        <v>0</v>
      </c>
      <c r="X113" s="324">
        <f t="shared" si="35"/>
        <v>0</v>
      </c>
      <c r="Y113" s="324">
        <f t="shared" si="35"/>
        <v>0</v>
      </c>
      <c r="Z113" s="324">
        <f t="shared" si="35"/>
        <v>0</v>
      </c>
      <c r="AA113" s="324">
        <f t="shared" si="35"/>
        <v>0</v>
      </c>
      <c r="AB113" s="324">
        <f t="shared" si="35"/>
        <v>0</v>
      </c>
      <c r="AC113" s="324">
        <f t="shared" si="35"/>
        <v>0</v>
      </c>
      <c r="AD113" s="324">
        <f t="shared" si="35"/>
        <v>0</v>
      </c>
      <c r="AE113" s="324">
        <f t="shared" si="35"/>
        <v>0</v>
      </c>
      <c r="AF113" s="324">
        <f t="shared" si="35"/>
        <v>0</v>
      </c>
      <c r="AG113" s="324">
        <f t="shared" si="35"/>
        <v>0</v>
      </c>
      <c r="AH113" s="324">
        <f t="shared" si="35"/>
        <v>0</v>
      </c>
      <c r="AI113" s="324">
        <f t="shared" si="35"/>
        <v>0</v>
      </c>
      <c r="AJ113" s="324">
        <f t="shared" si="35"/>
        <v>0</v>
      </c>
      <c r="AK113" s="324">
        <f t="shared" si="35"/>
        <v>2317209025.7399998</v>
      </c>
      <c r="AL113" s="324">
        <f t="shared" ref="AL113:AP113" si="36">SUM(AL107:AL112)</f>
        <v>0</v>
      </c>
      <c r="AM113" s="324">
        <f t="shared" si="36"/>
        <v>0</v>
      </c>
      <c r="AN113" s="324">
        <f t="shared" si="36"/>
        <v>0</v>
      </c>
      <c r="AO113" s="324">
        <f t="shared" si="36"/>
        <v>0</v>
      </c>
      <c r="AP113" s="324">
        <f t="shared" si="36"/>
        <v>3127209025.7399998</v>
      </c>
    </row>
    <row r="114" spans="1:42" s="196" customFormat="1" ht="24.75" customHeight="1" x14ac:dyDescent="0.25">
      <c r="A114" s="189"/>
      <c r="B114" s="198"/>
      <c r="C114" s="262"/>
      <c r="D114" s="198"/>
      <c r="E114" s="199"/>
      <c r="F114" s="199"/>
      <c r="G114" s="198"/>
      <c r="H114" s="199"/>
      <c r="I114" s="198"/>
      <c r="J114" s="311"/>
      <c r="K114" s="311"/>
      <c r="L114" s="311"/>
      <c r="M114" s="201"/>
      <c r="N114" s="198"/>
      <c r="O114" s="199"/>
      <c r="P114" s="202">
        <f t="shared" ref="P114:AK115" si="37">P113</f>
        <v>0</v>
      </c>
      <c r="Q114" s="202">
        <f t="shared" si="37"/>
        <v>0</v>
      </c>
      <c r="R114" s="202">
        <f t="shared" si="37"/>
        <v>810000000</v>
      </c>
      <c r="S114" s="202">
        <f t="shared" si="37"/>
        <v>0</v>
      </c>
      <c r="T114" s="202">
        <f t="shared" si="37"/>
        <v>0</v>
      </c>
      <c r="U114" s="202">
        <f t="shared" si="37"/>
        <v>0</v>
      </c>
      <c r="V114" s="202">
        <f t="shared" si="37"/>
        <v>0</v>
      </c>
      <c r="W114" s="202">
        <f t="shared" si="37"/>
        <v>0</v>
      </c>
      <c r="X114" s="202">
        <f t="shared" si="37"/>
        <v>0</v>
      </c>
      <c r="Y114" s="202">
        <f t="shared" si="37"/>
        <v>0</v>
      </c>
      <c r="Z114" s="202">
        <f t="shared" si="37"/>
        <v>0</v>
      </c>
      <c r="AA114" s="202">
        <f t="shared" si="37"/>
        <v>0</v>
      </c>
      <c r="AB114" s="202">
        <f t="shared" si="37"/>
        <v>0</v>
      </c>
      <c r="AC114" s="202">
        <f t="shared" si="37"/>
        <v>0</v>
      </c>
      <c r="AD114" s="202">
        <f t="shared" si="37"/>
        <v>0</v>
      </c>
      <c r="AE114" s="202">
        <f t="shared" si="37"/>
        <v>0</v>
      </c>
      <c r="AF114" s="202">
        <f t="shared" si="37"/>
        <v>0</v>
      </c>
      <c r="AG114" s="202">
        <f t="shared" si="37"/>
        <v>0</v>
      </c>
      <c r="AH114" s="202">
        <f t="shared" si="37"/>
        <v>0</v>
      </c>
      <c r="AI114" s="202">
        <f t="shared" si="37"/>
        <v>0</v>
      </c>
      <c r="AJ114" s="202">
        <f t="shared" si="37"/>
        <v>0</v>
      </c>
      <c r="AK114" s="202">
        <f t="shared" si="37"/>
        <v>2317209025.7399998</v>
      </c>
      <c r="AL114" s="202">
        <f t="shared" ref="AL114:AP115" si="38">AL113</f>
        <v>0</v>
      </c>
      <c r="AM114" s="202">
        <f t="shared" si="38"/>
        <v>0</v>
      </c>
      <c r="AN114" s="202">
        <f t="shared" si="38"/>
        <v>0</v>
      </c>
      <c r="AO114" s="202">
        <f t="shared" si="38"/>
        <v>0</v>
      </c>
      <c r="AP114" s="202">
        <f t="shared" si="38"/>
        <v>3127209025.7399998</v>
      </c>
    </row>
    <row r="115" spans="1:42" s="196" customFormat="1" ht="24.75" customHeight="1" x14ac:dyDescent="0.25">
      <c r="A115" s="203"/>
      <c r="B115" s="203"/>
      <c r="C115" s="204"/>
      <c r="D115" s="203"/>
      <c r="E115" s="204"/>
      <c r="F115" s="204"/>
      <c r="G115" s="203"/>
      <c r="H115" s="204"/>
      <c r="I115" s="203"/>
      <c r="J115" s="313"/>
      <c r="K115" s="313"/>
      <c r="L115" s="313"/>
      <c r="M115" s="206"/>
      <c r="N115" s="203"/>
      <c r="O115" s="204"/>
      <c r="P115" s="207">
        <f t="shared" si="37"/>
        <v>0</v>
      </c>
      <c r="Q115" s="207">
        <f t="shared" si="37"/>
        <v>0</v>
      </c>
      <c r="R115" s="207">
        <f t="shared" si="37"/>
        <v>810000000</v>
      </c>
      <c r="S115" s="207">
        <f t="shared" si="37"/>
        <v>0</v>
      </c>
      <c r="T115" s="207">
        <f t="shared" si="37"/>
        <v>0</v>
      </c>
      <c r="U115" s="207">
        <f t="shared" si="37"/>
        <v>0</v>
      </c>
      <c r="V115" s="207">
        <f t="shared" si="37"/>
        <v>0</v>
      </c>
      <c r="W115" s="207">
        <f t="shared" si="37"/>
        <v>0</v>
      </c>
      <c r="X115" s="207">
        <f t="shared" si="37"/>
        <v>0</v>
      </c>
      <c r="Y115" s="207">
        <f t="shared" si="37"/>
        <v>0</v>
      </c>
      <c r="Z115" s="207">
        <f t="shared" si="37"/>
        <v>0</v>
      </c>
      <c r="AA115" s="207">
        <f t="shared" si="37"/>
        <v>0</v>
      </c>
      <c r="AB115" s="207">
        <f t="shared" si="37"/>
        <v>0</v>
      </c>
      <c r="AC115" s="207">
        <f t="shared" si="37"/>
        <v>0</v>
      </c>
      <c r="AD115" s="207">
        <f t="shared" si="37"/>
        <v>0</v>
      </c>
      <c r="AE115" s="207">
        <f t="shared" si="37"/>
        <v>0</v>
      </c>
      <c r="AF115" s="207">
        <f t="shared" si="37"/>
        <v>0</v>
      </c>
      <c r="AG115" s="207">
        <f t="shared" si="37"/>
        <v>0</v>
      </c>
      <c r="AH115" s="207">
        <f t="shared" si="37"/>
        <v>0</v>
      </c>
      <c r="AI115" s="207">
        <f t="shared" si="37"/>
        <v>0</v>
      </c>
      <c r="AJ115" s="207">
        <f t="shared" si="37"/>
        <v>0</v>
      </c>
      <c r="AK115" s="207">
        <f t="shared" si="37"/>
        <v>2317209025.7399998</v>
      </c>
      <c r="AL115" s="207">
        <f t="shared" si="38"/>
        <v>0</v>
      </c>
      <c r="AM115" s="207">
        <f t="shared" si="38"/>
        <v>0</v>
      </c>
      <c r="AN115" s="207">
        <f t="shared" si="38"/>
        <v>0</v>
      </c>
      <c r="AO115" s="207">
        <f t="shared" si="38"/>
        <v>0</v>
      </c>
      <c r="AP115" s="207">
        <f t="shared" si="38"/>
        <v>3127209025.7399998</v>
      </c>
    </row>
    <row r="116" spans="1:42" s="196" customFormat="1" ht="24.75" customHeight="1" x14ac:dyDescent="0.25">
      <c r="A116" s="208"/>
      <c r="B116" s="208"/>
      <c r="C116" s="209"/>
      <c r="D116" s="208"/>
      <c r="E116" s="209"/>
      <c r="F116" s="209"/>
      <c r="G116" s="208"/>
      <c r="H116" s="209"/>
      <c r="I116" s="208"/>
      <c r="J116" s="325"/>
      <c r="K116" s="325"/>
      <c r="L116" s="325"/>
      <c r="M116" s="211"/>
      <c r="N116" s="208"/>
      <c r="O116" s="209"/>
      <c r="P116" s="212">
        <f t="shared" ref="P116:AK116" si="39">P115+P102</f>
        <v>0</v>
      </c>
      <c r="Q116" s="212">
        <f t="shared" si="39"/>
        <v>0</v>
      </c>
      <c r="R116" s="212">
        <f t="shared" si="39"/>
        <v>9909927185</v>
      </c>
      <c r="S116" s="212">
        <f t="shared" si="39"/>
        <v>0</v>
      </c>
      <c r="T116" s="212">
        <f t="shared" si="39"/>
        <v>0</v>
      </c>
      <c r="U116" s="212">
        <f t="shared" si="39"/>
        <v>706404493</v>
      </c>
      <c r="V116" s="212">
        <f t="shared" si="39"/>
        <v>0</v>
      </c>
      <c r="W116" s="212">
        <f t="shared" si="39"/>
        <v>0</v>
      </c>
      <c r="X116" s="212">
        <f t="shared" si="39"/>
        <v>0</v>
      </c>
      <c r="Y116" s="212">
        <f t="shared" si="39"/>
        <v>0</v>
      </c>
      <c r="Z116" s="212">
        <f t="shared" si="39"/>
        <v>0</v>
      </c>
      <c r="AA116" s="212">
        <f t="shared" si="39"/>
        <v>0</v>
      </c>
      <c r="AB116" s="212">
        <f t="shared" si="39"/>
        <v>0</v>
      </c>
      <c r="AC116" s="212">
        <f t="shared" si="39"/>
        <v>0</v>
      </c>
      <c r="AD116" s="212">
        <f t="shared" si="39"/>
        <v>0</v>
      </c>
      <c r="AE116" s="212">
        <f t="shared" si="39"/>
        <v>0</v>
      </c>
      <c r="AF116" s="212">
        <f t="shared" si="39"/>
        <v>0</v>
      </c>
      <c r="AG116" s="212">
        <f t="shared" si="39"/>
        <v>0</v>
      </c>
      <c r="AH116" s="212">
        <f t="shared" si="39"/>
        <v>0</v>
      </c>
      <c r="AI116" s="212">
        <f t="shared" si="39"/>
        <v>0</v>
      </c>
      <c r="AJ116" s="212">
        <f t="shared" si="39"/>
        <v>0</v>
      </c>
      <c r="AK116" s="212">
        <f t="shared" si="39"/>
        <v>2317209025.7399998</v>
      </c>
      <c r="AL116" s="212">
        <f t="shared" ref="AL116:AP116" si="40">AL115+AL102</f>
        <v>1408300000</v>
      </c>
      <c r="AM116" s="212">
        <f t="shared" si="40"/>
        <v>0</v>
      </c>
      <c r="AN116" s="212">
        <f t="shared" si="40"/>
        <v>0</v>
      </c>
      <c r="AO116" s="212">
        <f t="shared" si="40"/>
        <v>128000000</v>
      </c>
      <c r="AP116" s="212">
        <f t="shared" si="40"/>
        <v>14469840703.74</v>
      </c>
    </row>
    <row r="117" spans="1:42" s="28" customFormat="1" ht="15" x14ac:dyDescent="0.25">
      <c r="A117" s="213"/>
      <c r="B117" s="214"/>
      <c r="C117" s="454"/>
      <c r="D117" s="265"/>
      <c r="E117" s="454"/>
      <c r="F117" s="454"/>
      <c r="G117" s="214"/>
      <c r="H117" s="454"/>
      <c r="I117" s="214"/>
      <c r="J117" s="314"/>
      <c r="K117" s="314"/>
      <c r="L117" s="314"/>
      <c r="M117" s="216"/>
      <c r="N117" s="214"/>
      <c r="O117" s="454"/>
      <c r="P117" s="217"/>
      <c r="Q117" s="217"/>
      <c r="R117" s="217"/>
      <c r="S117" s="217"/>
      <c r="T117" s="217"/>
      <c r="U117" s="217"/>
      <c r="V117" s="217"/>
      <c r="W117" s="217"/>
      <c r="X117" s="217"/>
      <c r="Y117" s="217"/>
      <c r="Z117" s="217"/>
      <c r="AA117" s="217"/>
      <c r="AB117" s="217"/>
      <c r="AC117" s="217"/>
      <c r="AD117" s="218"/>
      <c r="AE117" s="218"/>
      <c r="AF117" s="218"/>
      <c r="AG117" s="218"/>
      <c r="AH117" s="218"/>
      <c r="AI117" s="218"/>
      <c r="AJ117" s="217"/>
      <c r="AK117" s="217"/>
      <c r="AL117" s="219"/>
      <c r="AM117" s="217"/>
      <c r="AN117" s="217"/>
      <c r="AO117" s="217"/>
      <c r="AP117" s="764"/>
    </row>
    <row r="118" spans="1:42" s="196" customFormat="1" ht="19.5" customHeight="1" x14ac:dyDescent="0.25">
      <c r="A118" s="165" t="s">
        <v>166</v>
      </c>
      <c r="B118" s="166"/>
      <c r="C118" s="167"/>
      <c r="D118" s="285"/>
      <c r="E118" s="166"/>
      <c r="F118" s="166"/>
      <c r="G118" s="166"/>
      <c r="H118" s="167"/>
      <c r="I118" s="166"/>
      <c r="J118" s="166"/>
      <c r="K118" s="166"/>
      <c r="L118" s="166"/>
      <c r="M118" s="168"/>
      <c r="N118" s="166"/>
      <c r="O118" s="167"/>
      <c r="P118" s="166"/>
      <c r="Q118" s="166"/>
      <c r="R118" s="166"/>
      <c r="S118" s="166"/>
      <c r="T118" s="166"/>
      <c r="U118" s="166"/>
      <c r="V118" s="166"/>
      <c r="W118" s="166"/>
      <c r="X118" s="166"/>
      <c r="Y118" s="166"/>
      <c r="Z118" s="166"/>
      <c r="AA118" s="166"/>
      <c r="AB118" s="166"/>
      <c r="AC118" s="166"/>
      <c r="AD118" s="166"/>
      <c r="AE118" s="166"/>
      <c r="AF118" s="166"/>
      <c r="AG118" s="166"/>
      <c r="AH118" s="166"/>
      <c r="AI118" s="166"/>
      <c r="AJ118" s="166"/>
      <c r="AK118" s="166"/>
      <c r="AL118" s="169"/>
      <c r="AM118" s="170"/>
      <c r="AN118" s="166"/>
      <c r="AO118" s="166"/>
      <c r="AP118" s="171" t="s">
        <v>0</v>
      </c>
    </row>
    <row r="119" spans="1:42" s="196" customFormat="1" ht="19.5" customHeight="1" x14ac:dyDescent="0.25">
      <c r="A119" s="173">
        <v>4</v>
      </c>
      <c r="B119" s="174" t="s">
        <v>167</v>
      </c>
      <c r="C119" s="175"/>
      <c r="D119" s="174"/>
      <c r="E119" s="174"/>
      <c r="F119" s="174"/>
      <c r="G119" s="174"/>
      <c r="H119" s="175"/>
      <c r="I119" s="174"/>
      <c r="J119" s="174"/>
      <c r="K119" s="174"/>
      <c r="L119" s="174"/>
      <c r="M119" s="176"/>
      <c r="N119" s="174"/>
      <c r="O119" s="174"/>
      <c r="P119" s="174"/>
      <c r="Q119" s="174"/>
      <c r="R119" s="174"/>
      <c r="S119" s="174"/>
      <c r="T119" s="174"/>
      <c r="U119" s="174"/>
      <c r="V119" s="174"/>
      <c r="W119" s="174"/>
      <c r="X119" s="174"/>
      <c r="Y119" s="174"/>
      <c r="Z119" s="174"/>
      <c r="AA119" s="174"/>
      <c r="AB119" s="174"/>
      <c r="AC119" s="174"/>
      <c r="AD119" s="174"/>
      <c r="AE119" s="174"/>
      <c r="AF119" s="174"/>
      <c r="AG119" s="174"/>
      <c r="AH119" s="174"/>
      <c r="AI119" s="174"/>
      <c r="AJ119" s="174"/>
      <c r="AK119" s="174"/>
      <c r="AL119" s="177"/>
      <c r="AM119" s="174"/>
      <c r="AN119" s="174"/>
      <c r="AO119" s="174"/>
      <c r="AP119" s="174"/>
    </row>
    <row r="120" spans="1:42" s="196" customFormat="1" ht="19.5" customHeight="1" x14ac:dyDescent="0.25">
      <c r="A120" s="223"/>
      <c r="B120" s="316">
        <v>23</v>
      </c>
      <c r="C120" s="181" t="s">
        <v>168</v>
      </c>
      <c r="D120" s="182"/>
      <c r="E120" s="182"/>
      <c r="F120" s="182"/>
      <c r="G120" s="182"/>
      <c r="H120" s="183"/>
      <c r="I120" s="182"/>
      <c r="J120" s="182"/>
      <c r="K120" s="182"/>
      <c r="L120" s="182"/>
      <c r="M120" s="184"/>
      <c r="N120" s="182"/>
      <c r="O120" s="182"/>
      <c r="P120" s="182"/>
      <c r="Q120" s="182"/>
      <c r="R120" s="182"/>
      <c r="S120" s="182"/>
      <c r="T120" s="182"/>
      <c r="U120" s="182"/>
      <c r="V120" s="182"/>
      <c r="W120" s="182"/>
      <c r="X120" s="182"/>
      <c r="Y120" s="182"/>
      <c r="Z120" s="182"/>
      <c r="AA120" s="182"/>
      <c r="AB120" s="182"/>
      <c r="AC120" s="182"/>
      <c r="AD120" s="182"/>
      <c r="AE120" s="182"/>
      <c r="AF120" s="182"/>
      <c r="AG120" s="182"/>
      <c r="AH120" s="182"/>
      <c r="AI120" s="182"/>
      <c r="AJ120" s="182"/>
      <c r="AK120" s="182"/>
      <c r="AL120" s="185"/>
      <c r="AM120" s="182"/>
      <c r="AN120" s="182"/>
      <c r="AO120" s="182"/>
      <c r="AP120" s="182"/>
    </row>
    <row r="121" spans="1:42" s="196" customFormat="1" ht="16.5" thickBot="1" x14ac:dyDescent="0.3">
      <c r="A121" s="20"/>
      <c r="B121" s="223"/>
      <c r="C121" s="292"/>
      <c r="D121" s="224"/>
      <c r="E121" s="224"/>
      <c r="F121" s="225"/>
      <c r="G121" s="226">
        <v>75</v>
      </c>
      <c r="H121" s="227" t="s">
        <v>169</v>
      </c>
      <c r="I121" s="227"/>
      <c r="J121" s="227"/>
      <c r="K121" s="227"/>
      <c r="L121" s="227"/>
      <c r="M121" s="228"/>
      <c r="N121" s="227"/>
      <c r="O121" s="227"/>
      <c r="P121" s="227"/>
      <c r="Q121" s="227"/>
      <c r="R121" s="227"/>
      <c r="S121" s="227"/>
      <c r="T121" s="227"/>
      <c r="U121" s="227"/>
      <c r="V121" s="227"/>
      <c r="W121" s="227"/>
      <c r="X121" s="227"/>
      <c r="Y121" s="227"/>
      <c r="Z121" s="227"/>
      <c r="AA121" s="227"/>
      <c r="AB121" s="227"/>
      <c r="AC121" s="227"/>
      <c r="AD121" s="227"/>
      <c r="AE121" s="227"/>
      <c r="AF121" s="227"/>
      <c r="AG121" s="227"/>
      <c r="AH121" s="227"/>
      <c r="AI121" s="227"/>
      <c r="AJ121" s="227"/>
      <c r="AK121" s="227"/>
      <c r="AL121" s="229"/>
      <c r="AM121" s="227"/>
      <c r="AN121" s="227"/>
      <c r="AO121" s="227"/>
      <c r="AP121" s="227"/>
    </row>
    <row r="122" spans="1:42" s="28" customFormat="1" ht="71.25" x14ac:dyDescent="0.25">
      <c r="A122" s="20"/>
      <c r="B122" s="20"/>
      <c r="C122" s="1000">
        <v>10</v>
      </c>
      <c r="D122" s="1005" t="s">
        <v>170</v>
      </c>
      <c r="E122" s="1020" t="s">
        <v>171</v>
      </c>
      <c r="F122" s="1020" t="s">
        <v>172</v>
      </c>
      <c r="G122" s="23"/>
      <c r="H122" s="152">
        <v>214</v>
      </c>
      <c r="I122" s="151" t="s">
        <v>173</v>
      </c>
      <c r="J122" s="24" t="s">
        <v>36</v>
      </c>
      <c r="K122" s="57">
        <v>2</v>
      </c>
      <c r="L122" s="1015" t="s">
        <v>174</v>
      </c>
      <c r="M122" s="907" t="s">
        <v>175</v>
      </c>
      <c r="N122" s="893" t="s">
        <v>176</v>
      </c>
      <c r="O122" s="58" t="s">
        <v>40</v>
      </c>
      <c r="P122" s="26">
        <v>0</v>
      </c>
      <c r="Q122" s="26">
        <v>0</v>
      </c>
      <c r="R122" s="26">
        <v>0</v>
      </c>
      <c r="S122" s="59">
        <v>49300000</v>
      </c>
      <c r="T122" s="26">
        <v>0</v>
      </c>
      <c r="U122" s="26">
        <v>0</v>
      </c>
      <c r="V122" s="26">
        <v>0</v>
      </c>
      <c r="W122" s="26"/>
      <c r="X122" s="26"/>
      <c r="Y122" s="26"/>
      <c r="Z122" s="26">
        <v>0</v>
      </c>
      <c r="AA122" s="26"/>
      <c r="AB122" s="26">
        <v>0</v>
      </c>
      <c r="AC122" s="26">
        <v>0</v>
      </c>
      <c r="AD122" s="26"/>
      <c r="AE122" s="26"/>
      <c r="AF122" s="26"/>
      <c r="AG122" s="26"/>
      <c r="AH122" s="26"/>
      <c r="AI122" s="26"/>
      <c r="AJ122" s="26">
        <v>0</v>
      </c>
      <c r="AK122" s="26">
        <v>0</v>
      </c>
      <c r="AL122" s="113">
        <v>30000000</v>
      </c>
      <c r="AM122" s="39"/>
      <c r="AN122" s="26">
        <v>0</v>
      </c>
      <c r="AO122" s="60">
        <v>0</v>
      </c>
      <c r="AP122" s="26">
        <f>P122+Q122+R122+S122+T122+U122+V122+W122+X122+Y122+Z122+AA122+AB122+AC122+AD122+AE122+AF122+AG122+AH122+AI122+AJ122+AK122+AL122+AM122+AN122+AO122</f>
        <v>79300000</v>
      </c>
    </row>
    <row r="123" spans="1:42" s="28" customFormat="1" ht="76.5" customHeight="1" x14ac:dyDescent="0.25">
      <c r="A123" s="20"/>
      <c r="B123" s="20"/>
      <c r="C123" s="864"/>
      <c r="D123" s="1005"/>
      <c r="E123" s="876"/>
      <c r="F123" s="876"/>
      <c r="G123" s="29"/>
      <c r="H123" s="152">
        <v>215</v>
      </c>
      <c r="I123" s="151" t="s">
        <v>177</v>
      </c>
      <c r="J123" s="24">
        <v>10</v>
      </c>
      <c r="K123" s="57">
        <v>3</v>
      </c>
      <c r="L123" s="1016"/>
      <c r="M123" s="908"/>
      <c r="N123" s="894"/>
      <c r="O123" s="61" t="s">
        <v>141</v>
      </c>
      <c r="P123" s="26">
        <v>0</v>
      </c>
      <c r="Q123" s="26">
        <v>0</v>
      </c>
      <c r="R123" s="26">
        <v>0</v>
      </c>
      <c r="S123" s="56">
        <f>5100000+100000000</f>
        <v>105100000</v>
      </c>
      <c r="T123" s="26">
        <v>0</v>
      </c>
      <c r="U123" s="26">
        <v>0</v>
      </c>
      <c r="V123" s="26">
        <v>0</v>
      </c>
      <c r="W123" s="26"/>
      <c r="X123" s="26"/>
      <c r="Y123" s="26"/>
      <c r="Z123" s="26">
        <v>0</v>
      </c>
      <c r="AA123" s="26"/>
      <c r="AB123" s="26">
        <v>0</v>
      </c>
      <c r="AC123" s="26">
        <v>0</v>
      </c>
      <c r="AD123" s="26"/>
      <c r="AE123" s="26"/>
      <c r="AF123" s="26"/>
      <c r="AG123" s="26"/>
      <c r="AH123" s="26"/>
      <c r="AI123" s="26"/>
      <c r="AJ123" s="26">
        <v>0</v>
      </c>
      <c r="AK123" s="26">
        <v>0</v>
      </c>
      <c r="AL123" s="113"/>
      <c r="AM123" s="39"/>
      <c r="AN123" s="26">
        <v>0</v>
      </c>
      <c r="AO123" s="26">
        <v>0</v>
      </c>
      <c r="AP123" s="26">
        <f>P123+Q123+R123+S123+T123+U123+V123+W123+X123+Y123+Z123+AA123+AB123+AC123+AD123+AE123+AF123+AG123+AH123+AI123+AJ123+AK123+AL123+AM123+AN123+AO123</f>
        <v>105100000</v>
      </c>
    </row>
    <row r="124" spans="1:42" s="28" customFormat="1" ht="89.25" customHeight="1" x14ac:dyDescent="0.25">
      <c r="A124" s="20"/>
      <c r="B124" s="20"/>
      <c r="C124" s="864"/>
      <c r="D124" s="1005"/>
      <c r="E124" s="876"/>
      <c r="F124" s="876"/>
      <c r="G124" s="29"/>
      <c r="H124" s="152">
        <v>216</v>
      </c>
      <c r="I124" s="151" t="s">
        <v>178</v>
      </c>
      <c r="J124" s="62" t="s">
        <v>179</v>
      </c>
      <c r="K124" s="63">
        <v>2</v>
      </c>
      <c r="L124" s="1016"/>
      <c r="M124" s="908"/>
      <c r="N124" s="894"/>
      <c r="O124" s="61" t="s">
        <v>40</v>
      </c>
      <c r="P124" s="26">
        <v>0</v>
      </c>
      <c r="Q124" s="26">
        <v>0</v>
      </c>
      <c r="R124" s="26">
        <v>0</v>
      </c>
      <c r="S124" s="56">
        <f>767600000+2000000000</f>
        <v>2767600000</v>
      </c>
      <c r="T124" s="26">
        <v>0</v>
      </c>
      <c r="U124" s="26">
        <v>0</v>
      </c>
      <c r="V124" s="26">
        <v>0</v>
      </c>
      <c r="W124" s="26"/>
      <c r="X124" s="26"/>
      <c r="Y124" s="26"/>
      <c r="Z124" s="26">
        <v>0</v>
      </c>
      <c r="AA124" s="26"/>
      <c r="AB124" s="26">
        <v>0</v>
      </c>
      <c r="AC124" s="26">
        <v>0</v>
      </c>
      <c r="AD124" s="26"/>
      <c r="AE124" s="26"/>
      <c r="AF124" s="26"/>
      <c r="AG124" s="26"/>
      <c r="AH124" s="26"/>
      <c r="AI124" s="26"/>
      <c r="AJ124" s="26">
        <v>0</v>
      </c>
      <c r="AK124" s="26">
        <v>0</v>
      </c>
      <c r="AL124" s="113">
        <v>50000000</v>
      </c>
      <c r="AM124" s="39"/>
      <c r="AN124" s="26">
        <v>0</v>
      </c>
      <c r="AO124" s="27">
        <v>0</v>
      </c>
      <c r="AP124" s="26">
        <f>P124+Q124+R124+S124+T124+U124+V124+W124+X124+Y124+Z124+AA124+AB124+AC124+AD124+AE124+AF124+AG124+AH124+AI124+AJ124+AK124+AL124+AM124+AN124+AO124</f>
        <v>2817600000</v>
      </c>
    </row>
    <row r="125" spans="1:42" s="28" customFormat="1" ht="90" customHeight="1" x14ac:dyDescent="0.25">
      <c r="A125" s="20"/>
      <c r="B125" s="20"/>
      <c r="C125" s="865">
        <v>12</v>
      </c>
      <c r="D125" s="1005" t="s">
        <v>180</v>
      </c>
      <c r="E125" s="877">
        <v>3166</v>
      </c>
      <c r="F125" s="877">
        <v>2500</v>
      </c>
      <c r="G125" s="29"/>
      <c r="H125" s="152">
        <v>217</v>
      </c>
      <c r="I125" s="151" t="s">
        <v>181</v>
      </c>
      <c r="J125" s="62" t="s">
        <v>179</v>
      </c>
      <c r="K125" s="63" t="s">
        <v>182</v>
      </c>
      <c r="L125" s="1016"/>
      <c r="M125" s="908"/>
      <c r="N125" s="894"/>
      <c r="O125" s="58" t="s">
        <v>44</v>
      </c>
      <c r="P125" s="26">
        <v>0</v>
      </c>
      <c r="Q125" s="26">
        <v>0</v>
      </c>
      <c r="R125" s="26">
        <v>0</v>
      </c>
      <c r="S125" s="56">
        <f>460500000+5333631612</f>
        <v>5794131612</v>
      </c>
      <c r="T125" s="26">
        <v>0</v>
      </c>
      <c r="U125" s="26">
        <v>0</v>
      </c>
      <c r="V125" s="26">
        <v>0</v>
      </c>
      <c r="W125" s="26"/>
      <c r="X125" s="26"/>
      <c r="Y125" s="26"/>
      <c r="Z125" s="26">
        <v>0</v>
      </c>
      <c r="AA125" s="26"/>
      <c r="AB125" s="26">
        <v>0</v>
      </c>
      <c r="AC125" s="26">
        <v>0</v>
      </c>
      <c r="AD125" s="26"/>
      <c r="AE125" s="26"/>
      <c r="AF125" s="26"/>
      <c r="AG125" s="26"/>
      <c r="AH125" s="26"/>
      <c r="AI125" s="26"/>
      <c r="AJ125" s="26">
        <v>0</v>
      </c>
      <c r="AK125" s="26">
        <v>0</v>
      </c>
      <c r="AL125" s="113">
        <v>0</v>
      </c>
      <c r="AM125" s="39"/>
      <c r="AN125" s="26">
        <v>0</v>
      </c>
      <c r="AO125" s="27">
        <v>0</v>
      </c>
      <c r="AP125" s="26">
        <f>P125+Q125+R125+S125+T125+U125+V125+W125+X125+Y125+Z125+AA125+AB125+AC125+AD125+AE125+AF125+AG125+AH125+AI125+AJ125+AK125+AL125+AM125+AN125+AO125</f>
        <v>5794131612</v>
      </c>
    </row>
    <row r="126" spans="1:42" s="28" customFormat="1" ht="39.75" customHeight="1" x14ac:dyDescent="0.25">
      <c r="A126" s="20"/>
      <c r="B126" s="20"/>
      <c r="C126" s="866"/>
      <c r="D126" s="1005"/>
      <c r="E126" s="887"/>
      <c r="F126" s="887"/>
      <c r="G126" s="31"/>
      <c r="H126" s="152">
        <v>218</v>
      </c>
      <c r="I126" s="151" t="s">
        <v>183</v>
      </c>
      <c r="J126" s="24">
        <v>3</v>
      </c>
      <c r="K126" s="24">
        <v>3</v>
      </c>
      <c r="L126" s="1017"/>
      <c r="M126" s="909"/>
      <c r="N126" s="895"/>
      <c r="O126" s="58" t="s">
        <v>44</v>
      </c>
      <c r="P126" s="26">
        <v>0</v>
      </c>
      <c r="Q126" s="26">
        <v>0</v>
      </c>
      <c r="R126" s="26">
        <v>0</v>
      </c>
      <c r="S126" s="56">
        <f>230500000+25000000</f>
        <v>255500000</v>
      </c>
      <c r="T126" s="26">
        <v>0</v>
      </c>
      <c r="U126" s="26">
        <v>0</v>
      </c>
      <c r="V126" s="26">
        <v>0</v>
      </c>
      <c r="W126" s="26"/>
      <c r="X126" s="26"/>
      <c r="Y126" s="26"/>
      <c r="Z126" s="26">
        <v>0</v>
      </c>
      <c r="AA126" s="26"/>
      <c r="AB126" s="26">
        <v>0</v>
      </c>
      <c r="AC126" s="26">
        <v>0</v>
      </c>
      <c r="AD126" s="26"/>
      <c r="AE126" s="26"/>
      <c r="AF126" s="26"/>
      <c r="AG126" s="26"/>
      <c r="AH126" s="26"/>
      <c r="AI126" s="26"/>
      <c r="AJ126" s="26">
        <v>0</v>
      </c>
      <c r="AK126" s="26">
        <v>0</v>
      </c>
      <c r="AL126" s="113">
        <v>0</v>
      </c>
      <c r="AM126" s="39"/>
      <c r="AN126" s="26">
        <v>0</v>
      </c>
      <c r="AO126" s="27">
        <v>0</v>
      </c>
      <c r="AP126" s="26">
        <f>P126+Q126+R126+S126+T126+U126+V126+W126+X126+Y126+Z126+AA126+AB126+AC126+AD126+AE126+AF126+AG126+AH126+AI126+AJ126+AK126+AL126+AM126+AN126+AO126</f>
        <v>255500000</v>
      </c>
    </row>
    <row r="127" spans="1:42" s="196" customFormat="1" ht="15" x14ac:dyDescent="0.25">
      <c r="A127" s="20"/>
      <c r="B127" s="20"/>
      <c r="C127" s="848"/>
      <c r="D127" s="224"/>
      <c r="E127" s="224"/>
      <c r="F127" s="225"/>
      <c r="G127" s="191"/>
      <c r="H127" s="192"/>
      <c r="I127" s="191"/>
      <c r="J127" s="193"/>
      <c r="K127" s="193"/>
      <c r="L127" s="193"/>
      <c r="M127" s="194"/>
      <c r="N127" s="191"/>
      <c r="O127" s="192"/>
      <c r="P127" s="195">
        <f t="shared" ref="P127:AN127" si="41">SUM(P122:P126)</f>
        <v>0</v>
      </c>
      <c r="Q127" s="195">
        <f t="shared" si="41"/>
        <v>0</v>
      </c>
      <c r="R127" s="195">
        <f t="shared" si="41"/>
        <v>0</v>
      </c>
      <c r="S127" s="195">
        <f t="shared" si="41"/>
        <v>8971631612</v>
      </c>
      <c r="T127" s="195">
        <f t="shared" si="41"/>
        <v>0</v>
      </c>
      <c r="U127" s="195">
        <f t="shared" si="41"/>
        <v>0</v>
      </c>
      <c r="V127" s="195">
        <f t="shared" si="41"/>
        <v>0</v>
      </c>
      <c r="W127" s="195">
        <f t="shared" si="41"/>
        <v>0</v>
      </c>
      <c r="X127" s="195">
        <f t="shared" si="41"/>
        <v>0</v>
      </c>
      <c r="Y127" s="195">
        <f t="shared" si="41"/>
        <v>0</v>
      </c>
      <c r="Z127" s="195">
        <f t="shared" si="41"/>
        <v>0</v>
      </c>
      <c r="AA127" s="195">
        <f t="shared" si="41"/>
        <v>0</v>
      </c>
      <c r="AB127" s="195">
        <f t="shared" si="41"/>
        <v>0</v>
      </c>
      <c r="AC127" s="195">
        <f t="shared" si="41"/>
        <v>0</v>
      </c>
      <c r="AD127" s="195">
        <f t="shared" si="41"/>
        <v>0</v>
      </c>
      <c r="AE127" s="195">
        <f t="shared" si="41"/>
        <v>0</v>
      </c>
      <c r="AF127" s="195">
        <f t="shared" si="41"/>
        <v>0</v>
      </c>
      <c r="AG127" s="195">
        <f t="shared" si="41"/>
        <v>0</v>
      </c>
      <c r="AH127" s="195">
        <f t="shared" si="41"/>
        <v>0</v>
      </c>
      <c r="AI127" s="195">
        <f t="shared" si="41"/>
        <v>0</v>
      </c>
      <c r="AJ127" s="195">
        <f t="shared" si="41"/>
        <v>0</v>
      </c>
      <c r="AK127" s="195">
        <f t="shared" si="41"/>
        <v>0</v>
      </c>
      <c r="AL127" s="195">
        <f t="shared" si="41"/>
        <v>80000000</v>
      </c>
      <c r="AM127" s="195">
        <f t="shared" si="41"/>
        <v>0</v>
      </c>
      <c r="AN127" s="195">
        <f t="shared" si="41"/>
        <v>0</v>
      </c>
      <c r="AO127" s="195">
        <f t="shared" ref="AO127:AP127" si="42">SUM(AO122:AO126)</f>
        <v>0</v>
      </c>
      <c r="AP127" s="195">
        <f t="shared" si="42"/>
        <v>9051631612</v>
      </c>
    </row>
    <row r="128" spans="1:42" s="28" customFormat="1" ht="15" x14ac:dyDescent="0.25">
      <c r="A128" s="20"/>
      <c r="B128" s="20"/>
      <c r="C128" s="150"/>
      <c r="D128" s="138"/>
      <c r="E128" s="152"/>
      <c r="F128" s="152"/>
      <c r="G128" s="151"/>
      <c r="H128" s="305"/>
      <c r="I128" s="214"/>
      <c r="J128" s="215"/>
      <c r="K128" s="215"/>
      <c r="L128" s="278"/>
      <c r="M128" s="279"/>
      <c r="N128" s="265"/>
      <c r="O128" s="454"/>
      <c r="P128" s="217"/>
      <c r="Q128" s="217"/>
      <c r="R128" s="217"/>
      <c r="S128" s="217"/>
      <c r="T128" s="217"/>
      <c r="U128" s="217"/>
      <c r="V128" s="217"/>
      <c r="W128" s="217"/>
      <c r="X128" s="217"/>
      <c r="Y128" s="217"/>
      <c r="Z128" s="217"/>
      <c r="AA128" s="217"/>
      <c r="AB128" s="217"/>
      <c r="AC128" s="217"/>
      <c r="AD128" s="218"/>
      <c r="AE128" s="218"/>
      <c r="AF128" s="218"/>
      <c r="AG128" s="218"/>
      <c r="AH128" s="218"/>
      <c r="AI128" s="218"/>
      <c r="AJ128" s="217"/>
      <c r="AK128" s="217"/>
      <c r="AL128" s="219"/>
      <c r="AM128" s="220"/>
      <c r="AN128" s="217"/>
      <c r="AO128" s="217"/>
      <c r="AP128" s="238"/>
    </row>
    <row r="129" spans="1:42" s="196" customFormat="1" thickBot="1" x14ac:dyDescent="0.3">
      <c r="A129" s="20"/>
      <c r="B129" s="20"/>
      <c r="C129" s="848"/>
      <c r="D129" s="224"/>
      <c r="E129" s="224"/>
      <c r="F129" s="225"/>
      <c r="G129" s="308">
        <v>76</v>
      </c>
      <c r="H129" s="763" t="s">
        <v>184</v>
      </c>
      <c r="I129" s="336"/>
      <c r="J129" s="336"/>
      <c r="K129" s="336"/>
      <c r="L129" s="336"/>
      <c r="M129" s="336"/>
      <c r="N129" s="336"/>
      <c r="O129" s="227"/>
      <c r="P129" s="227"/>
      <c r="Q129" s="227"/>
      <c r="R129" s="227"/>
      <c r="S129" s="227"/>
      <c r="T129" s="227"/>
      <c r="U129" s="227"/>
      <c r="V129" s="227"/>
      <c r="W129" s="227"/>
      <c r="X129" s="227"/>
      <c r="Y129" s="227"/>
      <c r="Z129" s="227"/>
      <c r="AA129" s="227"/>
      <c r="AB129" s="227"/>
      <c r="AC129" s="227"/>
      <c r="AD129" s="227"/>
      <c r="AE129" s="227"/>
      <c r="AF129" s="227"/>
      <c r="AG129" s="227"/>
      <c r="AH129" s="227"/>
      <c r="AI129" s="227"/>
      <c r="AJ129" s="227"/>
      <c r="AK129" s="227"/>
      <c r="AL129" s="229"/>
      <c r="AM129" s="227"/>
      <c r="AN129" s="227"/>
      <c r="AO129" s="227"/>
      <c r="AP129" s="230"/>
    </row>
    <row r="130" spans="1:42" s="28" customFormat="1" ht="95.25" customHeight="1" x14ac:dyDescent="0.25">
      <c r="A130" s="20"/>
      <c r="B130" s="20"/>
      <c r="C130" s="1018">
        <v>10</v>
      </c>
      <c r="D130" s="1005" t="s">
        <v>170</v>
      </c>
      <c r="E130" s="1020" t="s">
        <v>171</v>
      </c>
      <c r="F130" s="1020" t="s">
        <v>172</v>
      </c>
      <c r="G130" s="23"/>
      <c r="H130" s="152">
        <v>219</v>
      </c>
      <c r="I130" s="151" t="s">
        <v>185</v>
      </c>
      <c r="J130" s="24" t="s">
        <v>36</v>
      </c>
      <c r="K130" s="64">
        <v>11</v>
      </c>
      <c r="L130" s="1015" t="s">
        <v>186</v>
      </c>
      <c r="M130" s="907" t="s">
        <v>187</v>
      </c>
      <c r="N130" s="893" t="s">
        <v>188</v>
      </c>
      <c r="O130" s="152" t="s">
        <v>40</v>
      </c>
      <c r="P130" s="26">
        <v>0</v>
      </c>
      <c r="Q130" s="26">
        <v>0</v>
      </c>
      <c r="R130" s="26">
        <v>0</v>
      </c>
      <c r="S130" s="14">
        <v>111600000</v>
      </c>
      <c r="T130" s="26">
        <v>0</v>
      </c>
      <c r="U130" s="26">
        <v>0</v>
      </c>
      <c r="V130" s="26">
        <v>0</v>
      </c>
      <c r="W130" s="26"/>
      <c r="X130" s="26"/>
      <c r="Y130" s="26"/>
      <c r="Z130" s="26">
        <v>0</v>
      </c>
      <c r="AA130" s="26"/>
      <c r="AB130" s="26">
        <v>0</v>
      </c>
      <c r="AC130" s="26">
        <v>0</v>
      </c>
      <c r="AD130" s="26"/>
      <c r="AE130" s="26"/>
      <c r="AF130" s="26"/>
      <c r="AG130" s="26"/>
      <c r="AH130" s="26"/>
      <c r="AI130" s="26"/>
      <c r="AJ130" s="26">
        <v>0</v>
      </c>
      <c r="AK130" s="26">
        <v>0</v>
      </c>
      <c r="AL130" s="113"/>
      <c r="AM130" s="14"/>
      <c r="AN130" s="26">
        <v>0</v>
      </c>
      <c r="AO130" s="27">
        <v>0</v>
      </c>
      <c r="AP130" s="26">
        <f>P130+Q130+R130+S130+T130+U130+V130+W130+X130+Y130+Z130+AA130+AB130+AC130+AD130+AE130+AF130+AG130+AH130+AI130+AJ130+AK130+AL130+AM130+AN130+AO130</f>
        <v>111600000</v>
      </c>
    </row>
    <row r="131" spans="1:42" s="28" customFormat="1" ht="60.75" customHeight="1" x14ac:dyDescent="0.25">
      <c r="A131" s="20"/>
      <c r="B131" s="20"/>
      <c r="C131" s="1019"/>
      <c r="D131" s="1005"/>
      <c r="E131" s="1020"/>
      <c r="F131" s="1020"/>
      <c r="G131" s="29"/>
      <c r="H131" s="152">
        <v>220</v>
      </c>
      <c r="I131" s="151" t="s">
        <v>189</v>
      </c>
      <c r="J131" s="24">
        <v>0</v>
      </c>
      <c r="K131" s="65">
        <v>9</v>
      </c>
      <c r="L131" s="1016"/>
      <c r="M131" s="908"/>
      <c r="N131" s="894"/>
      <c r="O131" s="152" t="s">
        <v>40</v>
      </c>
      <c r="P131" s="26">
        <v>0</v>
      </c>
      <c r="Q131" s="26">
        <v>0</v>
      </c>
      <c r="R131" s="26">
        <v>0</v>
      </c>
      <c r="S131" s="14">
        <v>111600000</v>
      </c>
      <c r="T131" s="26">
        <v>0</v>
      </c>
      <c r="U131" s="26">
        <v>0</v>
      </c>
      <c r="V131" s="26">
        <v>0</v>
      </c>
      <c r="W131" s="26"/>
      <c r="X131" s="26"/>
      <c r="Y131" s="26"/>
      <c r="Z131" s="26">
        <v>0</v>
      </c>
      <c r="AA131" s="26"/>
      <c r="AB131" s="26">
        <v>0</v>
      </c>
      <c r="AC131" s="26">
        <v>0</v>
      </c>
      <c r="AD131" s="26"/>
      <c r="AE131" s="26"/>
      <c r="AF131" s="26"/>
      <c r="AG131" s="26"/>
      <c r="AH131" s="26"/>
      <c r="AI131" s="26"/>
      <c r="AJ131" s="26">
        <v>0</v>
      </c>
      <c r="AK131" s="26">
        <v>0</v>
      </c>
      <c r="AL131" s="113">
        <v>150000000</v>
      </c>
      <c r="AM131" s="14"/>
      <c r="AN131" s="26">
        <v>0</v>
      </c>
      <c r="AO131" s="27">
        <v>0</v>
      </c>
      <c r="AP131" s="26">
        <f>P131+Q131+R131+S131+T131+U131+V131+W131+X131+Y131+Z131+AA131+AB131+AC131+AD131+AE131+AF131+AG131+AH131+AI131+AJ131+AK131+AL131+AM131+AN131+AO131</f>
        <v>261600000</v>
      </c>
    </row>
    <row r="132" spans="1:42" s="28" customFormat="1" ht="40.5" customHeight="1" x14ac:dyDescent="0.25">
      <c r="A132" s="20"/>
      <c r="B132" s="20"/>
      <c r="C132" s="864">
        <v>12</v>
      </c>
      <c r="D132" s="894" t="s">
        <v>180</v>
      </c>
      <c r="E132" s="877">
        <v>3166</v>
      </c>
      <c r="F132" s="877">
        <v>2500</v>
      </c>
      <c r="G132" s="29"/>
      <c r="H132" s="152">
        <v>221</v>
      </c>
      <c r="I132" s="151" t="s">
        <v>190</v>
      </c>
      <c r="J132" s="24">
        <v>1</v>
      </c>
      <c r="K132" s="66">
        <v>1</v>
      </c>
      <c r="L132" s="1016"/>
      <c r="M132" s="908"/>
      <c r="N132" s="894"/>
      <c r="O132" s="152" t="s">
        <v>44</v>
      </c>
      <c r="P132" s="26">
        <v>0</v>
      </c>
      <c r="Q132" s="26">
        <v>0</v>
      </c>
      <c r="R132" s="26">
        <v>0</v>
      </c>
      <c r="S132" s="14">
        <f>26800000-12000000</f>
        <v>14800000</v>
      </c>
      <c r="T132" s="26">
        <v>0</v>
      </c>
      <c r="U132" s="26">
        <v>0</v>
      </c>
      <c r="V132" s="26">
        <v>0</v>
      </c>
      <c r="W132" s="26"/>
      <c r="X132" s="26"/>
      <c r="Y132" s="26"/>
      <c r="Z132" s="26">
        <v>0</v>
      </c>
      <c r="AA132" s="26"/>
      <c r="AB132" s="26">
        <v>0</v>
      </c>
      <c r="AC132" s="26">
        <v>0</v>
      </c>
      <c r="AD132" s="26"/>
      <c r="AE132" s="26"/>
      <c r="AF132" s="26"/>
      <c r="AG132" s="26"/>
      <c r="AH132" s="26"/>
      <c r="AI132" s="26"/>
      <c r="AJ132" s="26">
        <v>0</v>
      </c>
      <c r="AK132" s="26">
        <v>0</v>
      </c>
      <c r="AL132" s="113">
        <v>12000000</v>
      </c>
      <c r="AM132" s="14"/>
      <c r="AN132" s="26">
        <v>0</v>
      </c>
      <c r="AO132" s="27">
        <v>0</v>
      </c>
      <c r="AP132" s="26">
        <f>P132+Q132+R132+S132+T132+U132+V132+W132+X132+Y132+Z132+AA132+AB132+AC132+AD132+AE132+AF132+AG132+AH132+AI132+AJ132+AK132+AL132+AM132+AN132+AO132</f>
        <v>26800000</v>
      </c>
    </row>
    <row r="133" spans="1:42" s="28" customFormat="1" ht="49.5" customHeight="1" x14ac:dyDescent="0.25">
      <c r="A133" s="20"/>
      <c r="B133" s="20"/>
      <c r="C133" s="866"/>
      <c r="D133" s="895"/>
      <c r="E133" s="887"/>
      <c r="F133" s="887"/>
      <c r="G133" s="31"/>
      <c r="H133" s="152">
        <v>222</v>
      </c>
      <c r="I133" s="151" t="s">
        <v>191</v>
      </c>
      <c r="J133" s="24">
        <v>1</v>
      </c>
      <c r="K133" s="66">
        <v>1</v>
      </c>
      <c r="L133" s="1017"/>
      <c r="M133" s="909"/>
      <c r="N133" s="895"/>
      <c r="O133" s="152" t="s">
        <v>44</v>
      </c>
      <c r="P133" s="26">
        <v>0</v>
      </c>
      <c r="Q133" s="26">
        <v>0</v>
      </c>
      <c r="R133" s="26">
        <v>0</v>
      </c>
      <c r="S133" s="26">
        <v>0</v>
      </c>
      <c r="T133" s="26">
        <v>0</v>
      </c>
      <c r="U133" s="26">
        <v>0</v>
      </c>
      <c r="V133" s="26">
        <v>0</v>
      </c>
      <c r="W133" s="26"/>
      <c r="X133" s="26"/>
      <c r="Y133" s="26"/>
      <c r="Z133" s="26">
        <v>0</v>
      </c>
      <c r="AA133" s="26"/>
      <c r="AB133" s="26">
        <v>0</v>
      </c>
      <c r="AC133" s="26">
        <v>0</v>
      </c>
      <c r="AD133" s="26"/>
      <c r="AE133" s="26"/>
      <c r="AF133" s="26"/>
      <c r="AG133" s="26"/>
      <c r="AH133" s="26"/>
      <c r="AI133" s="26"/>
      <c r="AJ133" s="26">
        <v>0</v>
      </c>
      <c r="AK133" s="26">
        <v>0</v>
      </c>
      <c r="AL133" s="115">
        <v>18000000</v>
      </c>
      <c r="AM133" s="11"/>
      <c r="AN133" s="26">
        <v>0</v>
      </c>
      <c r="AO133" s="27">
        <v>0</v>
      </c>
      <c r="AP133" s="26">
        <f>P133+Q133+R133+S133+T133+U133+V133+W133+X133+Y133+Z133+AA133+AB133+AC133+AD133+AE133+AF133+AG133+AH133+AI133+AJ133+AK133+AL133+AM133+AN133+AO133</f>
        <v>18000000</v>
      </c>
    </row>
    <row r="134" spans="1:42" s="196" customFormat="1" x14ac:dyDescent="0.25">
      <c r="A134" s="20"/>
      <c r="B134" s="189"/>
      <c r="C134" s="848"/>
      <c r="D134" s="224"/>
      <c r="E134" s="224"/>
      <c r="F134" s="225"/>
      <c r="G134" s="327"/>
      <c r="H134" s="326"/>
      <c r="I134" s="227"/>
      <c r="J134" s="227"/>
      <c r="K134" s="762"/>
      <c r="L134" s="227"/>
      <c r="M134" s="228"/>
      <c r="N134" s="227"/>
      <c r="O134" s="227"/>
      <c r="P134" s="328">
        <f>SUM(P130:P133)</f>
        <v>0</v>
      </c>
      <c r="Q134" s="328">
        <f t="shared" ref="Q134:AK134" si="43">SUM(Q130:Q133)</f>
        <v>0</v>
      </c>
      <c r="R134" s="328">
        <f t="shared" si="43"/>
        <v>0</v>
      </c>
      <c r="S134" s="328">
        <f t="shared" si="43"/>
        <v>238000000</v>
      </c>
      <c r="T134" s="328">
        <f t="shared" si="43"/>
        <v>0</v>
      </c>
      <c r="U134" s="328">
        <f t="shared" si="43"/>
        <v>0</v>
      </c>
      <c r="V134" s="328">
        <f t="shared" si="43"/>
        <v>0</v>
      </c>
      <c r="W134" s="328">
        <f t="shared" si="43"/>
        <v>0</v>
      </c>
      <c r="X134" s="328">
        <f t="shared" si="43"/>
        <v>0</v>
      </c>
      <c r="Y134" s="328">
        <f t="shared" si="43"/>
        <v>0</v>
      </c>
      <c r="Z134" s="328">
        <f t="shared" si="43"/>
        <v>0</v>
      </c>
      <c r="AA134" s="328">
        <f t="shared" si="43"/>
        <v>0</v>
      </c>
      <c r="AB134" s="328">
        <f t="shared" si="43"/>
        <v>0</v>
      </c>
      <c r="AC134" s="328">
        <f t="shared" si="43"/>
        <v>0</v>
      </c>
      <c r="AD134" s="328">
        <f t="shared" si="43"/>
        <v>0</v>
      </c>
      <c r="AE134" s="328">
        <f t="shared" si="43"/>
        <v>0</v>
      </c>
      <c r="AF134" s="328">
        <f t="shared" si="43"/>
        <v>0</v>
      </c>
      <c r="AG134" s="328">
        <f t="shared" si="43"/>
        <v>0</v>
      </c>
      <c r="AH134" s="328">
        <f t="shared" si="43"/>
        <v>0</v>
      </c>
      <c r="AI134" s="328">
        <f t="shared" si="43"/>
        <v>0</v>
      </c>
      <c r="AJ134" s="328">
        <f t="shared" si="43"/>
        <v>0</v>
      </c>
      <c r="AK134" s="328">
        <f t="shared" si="43"/>
        <v>0</v>
      </c>
      <c r="AL134" s="328">
        <f t="shared" ref="AL134:AP134" si="44">SUM(AL130:AL133)</f>
        <v>180000000</v>
      </c>
      <c r="AM134" s="328">
        <f t="shared" si="44"/>
        <v>0</v>
      </c>
      <c r="AN134" s="328">
        <f t="shared" si="44"/>
        <v>0</v>
      </c>
      <c r="AO134" s="328">
        <f t="shared" si="44"/>
        <v>0</v>
      </c>
      <c r="AP134" s="765">
        <f t="shared" si="44"/>
        <v>418000000</v>
      </c>
    </row>
    <row r="135" spans="1:42" s="196" customFormat="1" ht="15" x14ac:dyDescent="0.25">
      <c r="A135" s="20"/>
      <c r="B135" s="198"/>
      <c r="C135" s="262"/>
      <c r="D135" s="198"/>
      <c r="E135" s="199"/>
      <c r="F135" s="199"/>
      <c r="G135" s="198"/>
      <c r="H135" s="199"/>
      <c r="I135" s="198"/>
      <c r="J135" s="200"/>
      <c r="K135" s="200"/>
      <c r="L135" s="200"/>
      <c r="M135" s="201"/>
      <c r="N135" s="198"/>
      <c r="O135" s="199"/>
      <c r="P135" s="202">
        <f>P134+P127</f>
        <v>0</v>
      </c>
      <c r="Q135" s="202">
        <f t="shared" ref="Q135:AK135" si="45">Q134+Q127</f>
        <v>0</v>
      </c>
      <c r="R135" s="202">
        <f t="shared" si="45"/>
        <v>0</v>
      </c>
      <c r="S135" s="202">
        <f t="shared" si="45"/>
        <v>9209631612</v>
      </c>
      <c r="T135" s="202">
        <f t="shared" si="45"/>
        <v>0</v>
      </c>
      <c r="U135" s="202">
        <f t="shared" si="45"/>
        <v>0</v>
      </c>
      <c r="V135" s="202">
        <f t="shared" si="45"/>
        <v>0</v>
      </c>
      <c r="W135" s="202">
        <f t="shared" si="45"/>
        <v>0</v>
      </c>
      <c r="X135" s="202">
        <f t="shared" si="45"/>
        <v>0</v>
      </c>
      <c r="Y135" s="202">
        <f t="shared" si="45"/>
        <v>0</v>
      </c>
      <c r="Z135" s="202">
        <f t="shared" si="45"/>
        <v>0</v>
      </c>
      <c r="AA135" s="202">
        <f t="shared" si="45"/>
        <v>0</v>
      </c>
      <c r="AB135" s="202">
        <f t="shared" si="45"/>
        <v>0</v>
      </c>
      <c r="AC135" s="202">
        <f t="shared" si="45"/>
        <v>0</v>
      </c>
      <c r="AD135" s="202">
        <f t="shared" si="45"/>
        <v>0</v>
      </c>
      <c r="AE135" s="202">
        <f t="shared" si="45"/>
        <v>0</v>
      </c>
      <c r="AF135" s="202">
        <f t="shared" si="45"/>
        <v>0</v>
      </c>
      <c r="AG135" s="202">
        <f t="shared" si="45"/>
        <v>0</v>
      </c>
      <c r="AH135" s="202">
        <f t="shared" si="45"/>
        <v>0</v>
      </c>
      <c r="AI135" s="202">
        <f t="shared" si="45"/>
        <v>0</v>
      </c>
      <c r="AJ135" s="202">
        <f t="shared" si="45"/>
        <v>0</v>
      </c>
      <c r="AK135" s="202">
        <f t="shared" si="45"/>
        <v>0</v>
      </c>
      <c r="AL135" s="202">
        <f t="shared" ref="AL135:AP135" si="46">AL134+AL127</f>
        <v>260000000</v>
      </c>
      <c r="AM135" s="202">
        <f t="shared" si="46"/>
        <v>0</v>
      </c>
      <c r="AN135" s="202">
        <f t="shared" si="46"/>
        <v>0</v>
      </c>
      <c r="AO135" s="202">
        <f t="shared" si="46"/>
        <v>0</v>
      </c>
      <c r="AP135" s="202">
        <f t="shared" si="46"/>
        <v>9469631612</v>
      </c>
    </row>
    <row r="136" spans="1:42" s="28" customFormat="1" ht="15" x14ac:dyDescent="0.25">
      <c r="A136" s="20"/>
      <c r="B136" s="151"/>
      <c r="C136" s="454"/>
      <c r="D136" s="214"/>
      <c r="E136" s="454"/>
      <c r="F136" s="454"/>
      <c r="G136" s="214"/>
      <c r="H136" s="454"/>
      <c r="I136" s="214"/>
      <c r="J136" s="215"/>
      <c r="K136" s="215"/>
      <c r="L136" s="278"/>
      <c r="M136" s="279"/>
      <c r="N136" s="265"/>
      <c r="O136" s="454"/>
      <c r="P136" s="217"/>
      <c r="Q136" s="217"/>
      <c r="R136" s="217"/>
      <c r="S136" s="217"/>
      <c r="T136" s="217"/>
      <c r="U136" s="217"/>
      <c r="V136" s="217"/>
      <c r="W136" s="217"/>
      <c r="X136" s="217"/>
      <c r="Y136" s="217"/>
      <c r="Z136" s="217"/>
      <c r="AA136" s="217"/>
      <c r="AB136" s="217"/>
      <c r="AC136" s="217"/>
      <c r="AD136" s="218"/>
      <c r="AE136" s="218"/>
      <c r="AF136" s="218"/>
      <c r="AG136" s="218"/>
      <c r="AH136" s="218"/>
      <c r="AI136" s="218"/>
      <c r="AJ136" s="217"/>
      <c r="AK136" s="217"/>
      <c r="AL136" s="219"/>
      <c r="AM136" s="220"/>
      <c r="AN136" s="217"/>
      <c r="AO136" s="217"/>
      <c r="AP136" s="217"/>
    </row>
    <row r="137" spans="1:42" s="28" customFormat="1" x14ac:dyDescent="0.25">
      <c r="A137" s="20"/>
      <c r="B137" s="316">
        <v>24</v>
      </c>
      <c r="C137" s="181" t="s">
        <v>192</v>
      </c>
      <c r="D137" s="182"/>
      <c r="E137" s="182"/>
      <c r="F137" s="182"/>
      <c r="G137" s="182"/>
      <c r="H137" s="183"/>
      <c r="I137" s="182"/>
      <c r="J137" s="182"/>
      <c r="K137" s="182"/>
      <c r="L137" s="182"/>
      <c r="M137" s="184"/>
      <c r="N137" s="182"/>
      <c r="O137" s="182"/>
      <c r="P137" s="182"/>
      <c r="Q137" s="182"/>
      <c r="R137" s="182"/>
      <c r="S137" s="182"/>
      <c r="T137" s="182"/>
      <c r="U137" s="182"/>
      <c r="V137" s="182"/>
      <c r="W137" s="182"/>
      <c r="X137" s="182"/>
      <c r="Y137" s="182"/>
      <c r="Z137" s="182"/>
      <c r="AA137" s="182"/>
      <c r="AB137" s="182"/>
      <c r="AC137" s="182"/>
      <c r="AD137" s="182"/>
      <c r="AE137" s="182"/>
      <c r="AF137" s="182"/>
      <c r="AG137" s="182"/>
      <c r="AH137" s="182"/>
      <c r="AI137" s="182"/>
      <c r="AJ137" s="182"/>
      <c r="AK137" s="182"/>
      <c r="AL137" s="185"/>
      <c r="AM137" s="182"/>
      <c r="AN137" s="182"/>
      <c r="AO137" s="182"/>
      <c r="AP137" s="186"/>
    </row>
    <row r="138" spans="1:42" s="28" customFormat="1" ht="15" x14ac:dyDescent="0.25">
      <c r="A138" s="20"/>
      <c r="B138" s="23"/>
      <c r="C138" s="454"/>
      <c r="D138" s="329"/>
      <c r="E138" s="329"/>
      <c r="F138" s="329"/>
      <c r="G138" s="330">
        <v>78</v>
      </c>
      <c r="H138" s="269" t="s">
        <v>193</v>
      </c>
      <c r="I138" s="269"/>
      <c r="J138" s="269"/>
      <c r="K138" s="269"/>
      <c r="L138" s="269"/>
      <c r="M138" s="269"/>
      <c r="N138" s="269"/>
      <c r="O138" s="269"/>
      <c r="P138" s="269"/>
      <c r="Q138" s="269"/>
      <c r="R138" s="269"/>
      <c r="S138" s="269"/>
      <c r="T138" s="269"/>
      <c r="U138" s="269"/>
      <c r="V138" s="269"/>
      <c r="W138" s="269"/>
      <c r="X138" s="269"/>
      <c r="Y138" s="269"/>
      <c r="Z138" s="269"/>
      <c r="AA138" s="269"/>
      <c r="AB138" s="269"/>
      <c r="AC138" s="269"/>
      <c r="AD138" s="269"/>
      <c r="AE138" s="269"/>
      <c r="AF138" s="269"/>
      <c r="AG138" s="269"/>
      <c r="AH138" s="269"/>
      <c r="AI138" s="269"/>
      <c r="AJ138" s="269"/>
      <c r="AK138" s="269"/>
      <c r="AL138" s="271"/>
      <c r="AM138" s="269"/>
      <c r="AN138" s="269"/>
      <c r="AO138" s="269"/>
      <c r="AP138" s="272"/>
    </row>
    <row r="139" spans="1:42" s="28" customFormat="1" ht="84.75" customHeight="1" x14ac:dyDescent="0.25">
      <c r="A139" s="20"/>
      <c r="B139" s="29"/>
      <c r="C139" s="864">
        <v>13</v>
      </c>
      <c r="D139" s="893" t="s">
        <v>194</v>
      </c>
      <c r="E139" s="876" t="s">
        <v>195</v>
      </c>
      <c r="F139" s="876" t="s">
        <v>196</v>
      </c>
      <c r="G139" s="23"/>
      <c r="H139" s="152">
        <v>226</v>
      </c>
      <c r="I139" s="151" t="s">
        <v>197</v>
      </c>
      <c r="J139" s="24">
        <v>12</v>
      </c>
      <c r="K139" s="66">
        <v>12</v>
      </c>
      <c r="L139" s="1015" t="s">
        <v>198</v>
      </c>
      <c r="M139" s="907" t="s">
        <v>199</v>
      </c>
      <c r="N139" s="893" t="s">
        <v>200</v>
      </c>
      <c r="O139" s="58" t="s">
        <v>44</v>
      </c>
      <c r="P139" s="26">
        <v>0</v>
      </c>
      <c r="Q139" s="26">
        <v>0</v>
      </c>
      <c r="R139" s="26">
        <v>0</v>
      </c>
      <c r="S139" s="26">
        <v>0</v>
      </c>
      <c r="T139" s="26">
        <v>0</v>
      </c>
      <c r="U139" s="26">
        <v>0</v>
      </c>
      <c r="V139" s="26">
        <v>0</v>
      </c>
      <c r="W139" s="26"/>
      <c r="X139" s="26"/>
      <c r="Y139" s="26"/>
      <c r="Z139" s="26">
        <v>0</v>
      </c>
      <c r="AA139" s="26"/>
      <c r="AB139" s="26">
        <v>0</v>
      </c>
      <c r="AC139" s="26">
        <v>0</v>
      </c>
      <c r="AD139" s="26"/>
      <c r="AE139" s="26"/>
      <c r="AF139" s="26"/>
      <c r="AG139" s="26"/>
      <c r="AH139" s="26"/>
      <c r="AI139" s="26"/>
      <c r="AJ139" s="26">
        <v>0</v>
      </c>
      <c r="AK139" s="26">
        <v>0</v>
      </c>
      <c r="AL139" s="113">
        <f>140400000+110000000</f>
        <v>250400000</v>
      </c>
      <c r="AM139" s="14"/>
      <c r="AN139" s="26">
        <v>0</v>
      </c>
      <c r="AO139" s="27">
        <v>0</v>
      </c>
      <c r="AP139" s="26">
        <f>P139+Q139+R139+S139+T139+U139+V139+W139+X139+Y139+Z139+AA139+AB139+AC139+AD139+AE139+AF139+AG139+AH139+AI139+AJ139+AK139+AL139+AM139+AN139+AO139</f>
        <v>250400000</v>
      </c>
    </row>
    <row r="140" spans="1:42" s="28" customFormat="1" ht="60.75" customHeight="1" x14ac:dyDescent="0.25">
      <c r="A140" s="20"/>
      <c r="B140" s="29"/>
      <c r="C140" s="865"/>
      <c r="D140" s="894"/>
      <c r="E140" s="877"/>
      <c r="F140" s="877"/>
      <c r="G140" s="29"/>
      <c r="H140" s="152">
        <v>227</v>
      </c>
      <c r="I140" s="151" t="s">
        <v>201</v>
      </c>
      <c r="J140" s="24">
        <v>12</v>
      </c>
      <c r="K140" s="66">
        <v>12</v>
      </c>
      <c r="L140" s="1016"/>
      <c r="M140" s="908"/>
      <c r="N140" s="894"/>
      <c r="O140" s="58" t="s">
        <v>44</v>
      </c>
      <c r="P140" s="26">
        <v>0</v>
      </c>
      <c r="Q140" s="26">
        <v>0</v>
      </c>
      <c r="R140" s="26">
        <v>0</v>
      </c>
      <c r="S140" s="26">
        <v>0</v>
      </c>
      <c r="T140" s="26">
        <v>0</v>
      </c>
      <c r="U140" s="26">
        <v>0</v>
      </c>
      <c r="V140" s="26">
        <v>0</v>
      </c>
      <c r="W140" s="26"/>
      <c r="X140" s="26"/>
      <c r="Y140" s="26"/>
      <c r="Z140" s="26">
        <v>0</v>
      </c>
      <c r="AA140" s="26"/>
      <c r="AB140" s="26">
        <v>0</v>
      </c>
      <c r="AC140" s="26">
        <v>0</v>
      </c>
      <c r="AD140" s="26"/>
      <c r="AE140" s="26"/>
      <c r="AF140" s="26"/>
      <c r="AG140" s="26"/>
      <c r="AH140" s="26"/>
      <c r="AI140" s="26"/>
      <c r="AJ140" s="26">
        <v>0</v>
      </c>
      <c r="AK140" s="26">
        <v>0</v>
      </c>
      <c r="AL140" s="113">
        <f>154300000+52000000</f>
        <v>206300000</v>
      </c>
      <c r="AM140" s="14"/>
      <c r="AN140" s="26">
        <v>0</v>
      </c>
      <c r="AO140" s="27">
        <v>0</v>
      </c>
      <c r="AP140" s="26">
        <f>P140+Q140+R140+S140+T140+U140+V140+W140+X140+Y140+Z140+AA140+AB140+AC140+AD140+AE140+AF140+AG140+AH140+AI140+AJ140+AK140+AL140+AM140+AN140+AO140</f>
        <v>206300000</v>
      </c>
    </row>
    <row r="141" spans="1:42" s="28" customFormat="1" ht="84" customHeight="1" x14ac:dyDescent="0.25">
      <c r="A141" s="20"/>
      <c r="B141" s="29"/>
      <c r="C141" s="865"/>
      <c r="D141" s="894"/>
      <c r="E141" s="877"/>
      <c r="F141" s="877"/>
      <c r="G141" s="29"/>
      <c r="H141" s="152">
        <v>228</v>
      </c>
      <c r="I141" s="151" t="s">
        <v>202</v>
      </c>
      <c r="J141" s="24">
        <v>2</v>
      </c>
      <c r="K141" s="66">
        <v>2</v>
      </c>
      <c r="L141" s="1016"/>
      <c r="M141" s="908"/>
      <c r="N141" s="894"/>
      <c r="O141" s="58" t="s">
        <v>44</v>
      </c>
      <c r="P141" s="26">
        <v>0</v>
      </c>
      <c r="Q141" s="26">
        <v>0</v>
      </c>
      <c r="R141" s="26">
        <v>0</v>
      </c>
      <c r="S141" s="26">
        <v>0</v>
      </c>
      <c r="T141" s="26">
        <v>0</v>
      </c>
      <c r="U141" s="26">
        <v>0</v>
      </c>
      <c r="V141" s="26">
        <v>0</v>
      </c>
      <c r="W141" s="26"/>
      <c r="X141" s="26"/>
      <c r="Y141" s="26"/>
      <c r="Z141" s="26">
        <v>0</v>
      </c>
      <c r="AA141" s="26"/>
      <c r="AB141" s="26">
        <v>0</v>
      </c>
      <c r="AC141" s="26">
        <v>0</v>
      </c>
      <c r="AD141" s="26"/>
      <c r="AE141" s="26"/>
      <c r="AF141" s="26"/>
      <c r="AG141" s="26"/>
      <c r="AH141" s="26"/>
      <c r="AI141" s="26"/>
      <c r="AJ141" s="26">
        <v>0</v>
      </c>
      <c r="AK141" s="26">
        <v>0</v>
      </c>
      <c r="AL141" s="113">
        <v>25100000</v>
      </c>
      <c r="AM141" s="14"/>
      <c r="AN141" s="26">
        <v>0</v>
      </c>
      <c r="AO141" s="27">
        <v>0</v>
      </c>
      <c r="AP141" s="26">
        <f>P141+Q141+R141+S141+T141+U141+V141+W141+X141+Y141+Z141+AA141+AB141+AC141+AD141+AE141+AF141+AG141+AH141+AI141+AJ141+AK141+AL141+AM141+AN141+AO141</f>
        <v>25100000</v>
      </c>
    </row>
    <row r="142" spans="1:42" s="28" customFormat="1" ht="90.75" customHeight="1" x14ac:dyDescent="0.25">
      <c r="A142" s="20"/>
      <c r="B142" s="29"/>
      <c r="C142" s="865"/>
      <c r="D142" s="894"/>
      <c r="E142" s="877"/>
      <c r="F142" s="877"/>
      <c r="G142" s="29"/>
      <c r="H142" s="152">
        <v>229</v>
      </c>
      <c r="I142" s="151" t="s">
        <v>203</v>
      </c>
      <c r="J142" s="67">
        <v>13</v>
      </c>
      <c r="K142" s="66">
        <v>13</v>
      </c>
      <c r="L142" s="1016"/>
      <c r="M142" s="908"/>
      <c r="N142" s="894"/>
      <c r="O142" s="58" t="s">
        <v>44</v>
      </c>
      <c r="P142" s="26">
        <v>0</v>
      </c>
      <c r="Q142" s="26">
        <v>0</v>
      </c>
      <c r="R142" s="26">
        <v>0</v>
      </c>
      <c r="S142" s="26">
        <v>0</v>
      </c>
      <c r="T142" s="26">
        <v>0</v>
      </c>
      <c r="U142" s="26">
        <v>0</v>
      </c>
      <c r="V142" s="26">
        <v>0</v>
      </c>
      <c r="W142" s="26"/>
      <c r="X142" s="26"/>
      <c r="Y142" s="26"/>
      <c r="Z142" s="26">
        <v>0</v>
      </c>
      <c r="AA142" s="26"/>
      <c r="AB142" s="26">
        <v>0</v>
      </c>
      <c r="AC142" s="26">
        <v>0</v>
      </c>
      <c r="AD142" s="26"/>
      <c r="AE142" s="26"/>
      <c r="AF142" s="26"/>
      <c r="AG142" s="26"/>
      <c r="AH142" s="26"/>
      <c r="AI142" s="26"/>
      <c r="AJ142" s="26">
        <v>0</v>
      </c>
      <c r="AK142" s="26">
        <v>0</v>
      </c>
      <c r="AL142" s="113">
        <v>47350000</v>
      </c>
      <c r="AM142" s="14"/>
      <c r="AN142" s="26">
        <v>0</v>
      </c>
      <c r="AO142" s="27">
        <v>0</v>
      </c>
      <c r="AP142" s="26">
        <f>P142+Q142+R142+S142+T142+U142+V142+W142+X142+Y142+Z142+AA142+AB142+AC142+AD142+AE142+AF142+AG142+AH142+AI142+AJ142+AK142+AL142+AM142+AN142+AO142</f>
        <v>47350000</v>
      </c>
    </row>
    <row r="143" spans="1:42" s="28" customFormat="1" ht="69" customHeight="1" thickBot="1" x14ac:dyDescent="0.3">
      <c r="A143" s="20"/>
      <c r="B143" s="29"/>
      <c r="C143" s="866"/>
      <c r="D143" s="895"/>
      <c r="E143" s="887"/>
      <c r="F143" s="887"/>
      <c r="G143" s="29"/>
      <c r="H143" s="152">
        <v>230</v>
      </c>
      <c r="I143" s="151" t="s">
        <v>204</v>
      </c>
      <c r="J143" s="24">
        <v>0</v>
      </c>
      <c r="K143" s="68">
        <v>1</v>
      </c>
      <c r="L143" s="1017"/>
      <c r="M143" s="909"/>
      <c r="N143" s="895"/>
      <c r="O143" s="58" t="s">
        <v>44</v>
      </c>
      <c r="P143" s="26">
        <v>0</v>
      </c>
      <c r="Q143" s="26">
        <v>0</v>
      </c>
      <c r="R143" s="26">
        <v>0</v>
      </c>
      <c r="S143" s="26">
        <v>0</v>
      </c>
      <c r="T143" s="26">
        <v>0</v>
      </c>
      <c r="U143" s="26">
        <v>0</v>
      </c>
      <c r="V143" s="26">
        <v>0</v>
      </c>
      <c r="W143" s="26"/>
      <c r="X143" s="26"/>
      <c r="Y143" s="26"/>
      <c r="Z143" s="26">
        <v>0</v>
      </c>
      <c r="AA143" s="26"/>
      <c r="AB143" s="26">
        <v>0</v>
      </c>
      <c r="AC143" s="26">
        <v>0</v>
      </c>
      <c r="AD143" s="26"/>
      <c r="AE143" s="26"/>
      <c r="AF143" s="26"/>
      <c r="AG143" s="26"/>
      <c r="AH143" s="26"/>
      <c r="AI143" s="26"/>
      <c r="AJ143" s="26">
        <v>0</v>
      </c>
      <c r="AK143" s="26">
        <v>0</v>
      </c>
      <c r="AL143" s="113">
        <f>23039775.75+25000000</f>
        <v>48039775.75</v>
      </c>
      <c r="AM143" s="14"/>
      <c r="AN143" s="26">
        <v>0</v>
      </c>
      <c r="AO143" s="27">
        <v>0</v>
      </c>
      <c r="AP143" s="26">
        <f>P143+Q143+R143+S143+T143+U143+V143+W143+X143+Y143+Z143+AA143+AB143+AC143+AD143+AE143+AF143+AG143+AH143+AI143+AJ143+AK143+AL143+AM143+AN143+AO143</f>
        <v>48039775.75</v>
      </c>
    </row>
    <row r="144" spans="1:42" s="196" customFormat="1" ht="15" x14ac:dyDescent="0.25">
      <c r="A144" s="20"/>
      <c r="B144" s="29"/>
      <c r="C144" s="848"/>
      <c r="D144" s="224"/>
      <c r="E144" s="224"/>
      <c r="F144" s="225"/>
      <c r="G144" s="191"/>
      <c r="H144" s="192"/>
      <c r="I144" s="191"/>
      <c r="J144" s="193"/>
      <c r="K144" s="331"/>
      <c r="L144" s="331"/>
      <c r="M144" s="194"/>
      <c r="N144" s="191"/>
      <c r="O144" s="192"/>
      <c r="P144" s="195">
        <f t="shared" ref="P144:AP144" si="47">SUM(P139:P143)</f>
        <v>0</v>
      </c>
      <c r="Q144" s="195">
        <f t="shared" si="47"/>
        <v>0</v>
      </c>
      <c r="R144" s="195">
        <f t="shared" si="47"/>
        <v>0</v>
      </c>
      <c r="S144" s="195">
        <f t="shared" si="47"/>
        <v>0</v>
      </c>
      <c r="T144" s="195">
        <f t="shared" si="47"/>
        <v>0</v>
      </c>
      <c r="U144" s="195">
        <f t="shared" si="47"/>
        <v>0</v>
      </c>
      <c r="V144" s="195">
        <f t="shared" si="47"/>
        <v>0</v>
      </c>
      <c r="W144" s="195">
        <f t="shared" si="47"/>
        <v>0</v>
      </c>
      <c r="X144" s="195">
        <f t="shared" si="47"/>
        <v>0</v>
      </c>
      <c r="Y144" s="195">
        <f t="shared" si="47"/>
        <v>0</v>
      </c>
      <c r="Z144" s="195">
        <f t="shared" si="47"/>
        <v>0</v>
      </c>
      <c r="AA144" s="195">
        <f t="shared" si="47"/>
        <v>0</v>
      </c>
      <c r="AB144" s="195">
        <f t="shared" si="47"/>
        <v>0</v>
      </c>
      <c r="AC144" s="195">
        <f t="shared" si="47"/>
        <v>0</v>
      </c>
      <c r="AD144" s="195">
        <f t="shared" si="47"/>
        <v>0</v>
      </c>
      <c r="AE144" s="195">
        <f t="shared" si="47"/>
        <v>0</v>
      </c>
      <c r="AF144" s="195">
        <f t="shared" si="47"/>
        <v>0</v>
      </c>
      <c r="AG144" s="195">
        <f t="shared" si="47"/>
        <v>0</v>
      </c>
      <c r="AH144" s="195">
        <f t="shared" si="47"/>
        <v>0</v>
      </c>
      <c r="AI144" s="195">
        <f t="shared" si="47"/>
        <v>0</v>
      </c>
      <c r="AJ144" s="195">
        <f t="shared" si="47"/>
        <v>0</v>
      </c>
      <c r="AK144" s="195">
        <f t="shared" si="47"/>
        <v>0</v>
      </c>
      <c r="AL144" s="195">
        <f t="shared" si="47"/>
        <v>577189775.75</v>
      </c>
      <c r="AM144" s="195">
        <f t="shared" si="47"/>
        <v>0</v>
      </c>
      <c r="AN144" s="195">
        <f t="shared" si="47"/>
        <v>0</v>
      </c>
      <c r="AO144" s="195">
        <f t="shared" si="47"/>
        <v>0</v>
      </c>
      <c r="AP144" s="195">
        <f t="shared" si="47"/>
        <v>577189775.75</v>
      </c>
    </row>
    <row r="145" spans="1:42" s="28" customFormat="1" ht="15" x14ac:dyDescent="0.25">
      <c r="A145" s="20"/>
      <c r="B145" s="29"/>
      <c r="C145" s="454"/>
      <c r="D145" s="214"/>
      <c r="E145" s="454"/>
      <c r="F145" s="454"/>
      <c r="G145" s="214"/>
      <c r="H145" s="454"/>
      <c r="I145" s="214"/>
      <c r="J145" s="215"/>
      <c r="K145" s="332"/>
      <c r="L145" s="333"/>
      <c r="M145" s="279"/>
      <c r="N145" s="265"/>
      <c r="O145" s="454"/>
      <c r="P145" s="217"/>
      <c r="Q145" s="217"/>
      <c r="R145" s="217"/>
      <c r="S145" s="217"/>
      <c r="T145" s="217"/>
      <c r="U145" s="217"/>
      <c r="V145" s="217"/>
      <c r="W145" s="217"/>
      <c r="X145" s="217"/>
      <c r="Y145" s="217"/>
      <c r="Z145" s="217"/>
      <c r="AA145" s="217"/>
      <c r="AB145" s="217"/>
      <c r="AC145" s="217"/>
      <c r="AD145" s="218"/>
      <c r="AE145" s="218"/>
      <c r="AF145" s="218"/>
      <c r="AG145" s="218"/>
      <c r="AH145" s="218"/>
      <c r="AI145" s="218"/>
      <c r="AJ145" s="217"/>
      <c r="AK145" s="217"/>
      <c r="AL145" s="335"/>
      <c r="AM145" s="334"/>
      <c r="AN145" s="217"/>
      <c r="AO145" s="217"/>
      <c r="AP145" s="217"/>
    </row>
    <row r="146" spans="1:42" s="196" customFormat="1" ht="15" x14ac:dyDescent="0.25">
      <c r="A146" s="20"/>
      <c r="B146" s="29"/>
      <c r="C146" s="848"/>
      <c r="D146" s="224"/>
      <c r="E146" s="224"/>
      <c r="F146" s="225"/>
      <c r="G146" s="308">
        <v>79</v>
      </c>
      <c r="H146" s="327" t="s">
        <v>205</v>
      </c>
      <c r="I146" s="227"/>
      <c r="J146" s="227"/>
      <c r="K146" s="227"/>
      <c r="L146" s="227"/>
      <c r="M146" s="227"/>
      <c r="N146" s="227"/>
      <c r="O146" s="227"/>
      <c r="P146" s="336"/>
      <c r="Q146" s="336"/>
      <c r="R146" s="336"/>
      <c r="S146" s="336"/>
      <c r="T146" s="336"/>
      <c r="U146" s="336"/>
      <c r="V146" s="336"/>
      <c r="W146" s="336"/>
      <c r="X146" s="336"/>
      <c r="Y146" s="336"/>
      <c r="Z146" s="336"/>
      <c r="AA146" s="336"/>
      <c r="AB146" s="336"/>
      <c r="AC146" s="336"/>
      <c r="AD146" s="336"/>
      <c r="AE146" s="336"/>
      <c r="AF146" s="336"/>
      <c r="AG146" s="336"/>
      <c r="AH146" s="336"/>
      <c r="AI146" s="336"/>
      <c r="AJ146" s="336"/>
      <c r="AK146" s="336"/>
      <c r="AL146" s="337"/>
      <c r="AM146" s="336"/>
      <c r="AN146" s="336"/>
      <c r="AO146" s="336"/>
      <c r="AP146" s="230"/>
    </row>
    <row r="147" spans="1:42" s="28" customFormat="1" ht="71.25" x14ac:dyDescent="0.25">
      <c r="A147" s="20"/>
      <c r="B147" s="29"/>
      <c r="C147" s="864">
        <v>13</v>
      </c>
      <c r="D147" s="893" t="s">
        <v>194</v>
      </c>
      <c r="E147" s="876" t="s">
        <v>195</v>
      </c>
      <c r="F147" s="876" t="s">
        <v>196</v>
      </c>
      <c r="G147" s="23"/>
      <c r="H147" s="152">
        <v>231</v>
      </c>
      <c r="I147" s="151" t="s">
        <v>206</v>
      </c>
      <c r="J147" s="24">
        <v>1</v>
      </c>
      <c r="K147" s="24">
        <v>1</v>
      </c>
      <c r="L147" s="1015" t="s">
        <v>198</v>
      </c>
      <c r="M147" s="907" t="s">
        <v>207</v>
      </c>
      <c r="N147" s="893" t="s">
        <v>208</v>
      </c>
      <c r="O147" s="152" t="s">
        <v>44</v>
      </c>
      <c r="P147" s="26">
        <v>0</v>
      </c>
      <c r="Q147" s="26">
        <v>0</v>
      </c>
      <c r="R147" s="26">
        <v>0</v>
      </c>
      <c r="S147" s="26">
        <v>0</v>
      </c>
      <c r="T147" s="26">
        <v>0</v>
      </c>
      <c r="U147" s="26">
        <v>0</v>
      </c>
      <c r="V147" s="26">
        <v>0</v>
      </c>
      <c r="W147" s="26"/>
      <c r="X147" s="26"/>
      <c r="Y147" s="26"/>
      <c r="Z147" s="26">
        <v>0</v>
      </c>
      <c r="AA147" s="26"/>
      <c r="AB147" s="26">
        <v>0</v>
      </c>
      <c r="AC147" s="26">
        <v>0</v>
      </c>
      <c r="AD147" s="26"/>
      <c r="AE147" s="26"/>
      <c r="AF147" s="26"/>
      <c r="AG147" s="26"/>
      <c r="AH147" s="26"/>
      <c r="AI147" s="26"/>
      <c r="AJ147" s="26">
        <v>0</v>
      </c>
      <c r="AK147" s="26">
        <v>0</v>
      </c>
      <c r="AL147" s="113">
        <v>3090000</v>
      </c>
      <c r="AM147" s="14"/>
      <c r="AN147" s="26">
        <v>0</v>
      </c>
      <c r="AO147" s="27">
        <v>0</v>
      </c>
      <c r="AP147" s="26">
        <f>P147+Q147+R147+S147+T147+U147+V147+W147+X147+Y147+Z147+AA147+AB147+AC147+AD147+AE147+AF147+AG147+AH147+AI147+AJ147+AK147+AL147+AM147+AN147+AO147</f>
        <v>3090000</v>
      </c>
    </row>
    <row r="148" spans="1:42" s="28" customFormat="1" ht="71.25" x14ac:dyDescent="0.25">
      <c r="A148" s="20"/>
      <c r="B148" s="29"/>
      <c r="C148" s="865"/>
      <c r="D148" s="894"/>
      <c r="E148" s="877"/>
      <c r="F148" s="877"/>
      <c r="G148" s="29"/>
      <c r="H148" s="152">
        <v>232</v>
      </c>
      <c r="I148" s="151" t="s">
        <v>209</v>
      </c>
      <c r="J148" s="24">
        <v>12</v>
      </c>
      <c r="K148" s="24">
        <v>12</v>
      </c>
      <c r="L148" s="1016"/>
      <c r="M148" s="908"/>
      <c r="N148" s="894"/>
      <c r="O148" s="152" t="s">
        <v>44</v>
      </c>
      <c r="P148" s="26">
        <v>0</v>
      </c>
      <c r="Q148" s="26">
        <v>0</v>
      </c>
      <c r="R148" s="26">
        <v>0</v>
      </c>
      <c r="S148" s="26">
        <v>0</v>
      </c>
      <c r="T148" s="26">
        <v>0</v>
      </c>
      <c r="U148" s="26">
        <v>0</v>
      </c>
      <c r="V148" s="26">
        <v>0</v>
      </c>
      <c r="W148" s="26"/>
      <c r="X148" s="26"/>
      <c r="Y148" s="26"/>
      <c r="Z148" s="26">
        <v>0</v>
      </c>
      <c r="AA148" s="26"/>
      <c r="AB148" s="26">
        <v>0</v>
      </c>
      <c r="AC148" s="26">
        <v>0</v>
      </c>
      <c r="AD148" s="26"/>
      <c r="AE148" s="26"/>
      <c r="AF148" s="26"/>
      <c r="AG148" s="26"/>
      <c r="AH148" s="26"/>
      <c r="AI148" s="26"/>
      <c r="AJ148" s="26">
        <v>0</v>
      </c>
      <c r="AK148" s="26">
        <v>0</v>
      </c>
      <c r="AL148" s="113">
        <v>18952000</v>
      </c>
      <c r="AM148" s="14"/>
      <c r="AN148" s="26">
        <v>0</v>
      </c>
      <c r="AO148" s="27">
        <v>0</v>
      </c>
      <c r="AP148" s="26">
        <f>P148+Q148+R148+S148+T148+U148+V148+W148+X148+Y148+Z148+AA148+AB148+AC148+AD148+AE148+AF148+AG148+AH148+AI148+AJ148+AK148+AL148+AM148+AN148+AO148</f>
        <v>18952000</v>
      </c>
    </row>
    <row r="149" spans="1:42" s="28" customFormat="1" ht="43.5" customHeight="1" x14ac:dyDescent="0.25">
      <c r="A149" s="20"/>
      <c r="B149" s="29"/>
      <c r="C149" s="866"/>
      <c r="D149" s="895"/>
      <c r="E149" s="887"/>
      <c r="F149" s="887"/>
      <c r="G149" s="29"/>
      <c r="H149" s="152">
        <v>233</v>
      </c>
      <c r="I149" s="151" t="s">
        <v>210</v>
      </c>
      <c r="J149" s="24">
        <v>1</v>
      </c>
      <c r="K149" s="24">
        <v>1</v>
      </c>
      <c r="L149" s="1017"/>
      <c r="M149" s="909"/>
      <c r="N149" s="895"/>
      <c r="O149" s="152" t="s">
        <v>44</v>
      </c>
      <c r="P149" s="26">
        <v>0</v>
      </c>
      <c r="Q149" s="26">
        <v>0</v>
      </c>
      <c r="R149" s="26">
        <v>0</v>
      </c>
      <c r="S149" s="26">
        <v>0</v>
      </c>
      <c r="T149" s="26">
        <v>0</v>
      </c>
      <c r="U149" s="26">
        <v>0</v>
      </c>
      <c r="V149" s="26">
        <v>0</v>
      </c>
      <c r="W149" s="26"/>
      <c r="X149" s="26"/>
      <c r="Y149" s="26"/>
      <c r="Z149" s="26">
        <v>0</v>
      </c>
      <c r="AA149" s="26"/>
      <c r="AB149" s="26">
        <v>0</v>
      </c>
      <c r="AC149" s="26">
        <v>0</v>
      </c>
      <c r="AD149" s="26"/>
      <c r="AE149" s="26"/>
      <c r="AF149" s="26"/>
      <c r="AG149" s="26"/>
      <c r="AH149" s="26"/>
      <c r="AI149" s="26"/>
      <c r="AJ149" s="26">
        <v>0</v>
      </c>
      <c r="AK149" s="26">
        <v>0</v>
      </c>
      <c r="AL149" s="113">
        <v>15038000</v>
      </c>
      <c r="AM149" s="14"/>
      <c r="AN149" s="26">
        <v>0</v>
      </c>
      <c r="AO149" s="27">
        <v>0</v>
      </c>
      <c r="AP149" s="26">
        <f>P149+Q149+R149+S149+T149+U149+V149+W149+X149+Y149+Z149+AA149+AB149+AC149+AD149+AE149+AF149+AG149+AH149+AI149+AJ149+AK149+AL149+AM149+AN149+AO149</f>
        <v>15038000</v>
      </c>
    </row>
    <row r="150" spans="1:42" s="196" customFormat="1" ht="15" x14ac:dyDescent="0.25">
      <c r="A150" s="20"/>
      <c r="B150" s="29"/>
      <c r="C150" s="848"/>
      <c r="D150" s="224"/>
      <c r="E150" s="224"/>
      <c r="F150" s="225"/>
      <c r="G150" s="191"/>
      <c r="H150" s="192"/>
      <c r="I150" s="191"/>
      <c r="J150" s="193"/>
      <c r="K150" s="193"/>
      <c r="L150" s="193"/>
      <c r="M150" s="194"/>
      <c r="N150" s="191"/>
      <c r="O150" s="192"/>
      <c r="P150" s="195">
        <f t="shared" ref="P150:AN150" si="48">SUM(P147:P149)</f>
        <v>0</v>
      </c>
      <c r="Q150" s="195">
        <f t="shared" si="48"/>
        <v>0</v>
      </c>
      <c r="R150" s="195">
        <f t="shared" si="48"/>
        <v>0</v>
      </c>
      <c r="S150" s="195">
        <f t="shared" si="48"/>
        <v>0</v>
      </c>
      <c r="T150" s="195">
        <f t="shared" si="48"/>
        <v>0</v>
      </c>
      <c r="U150" s="195">
        <f t="shared" si="48"/>
        <v>0</v>
      </c>
      <c r="V150" s="195">
        <f t="shared" si="48"/>
        <v>0</v>
      </c>
      <c r="W150" s="195">
        <f t="shared" si="48"/>
        <v>0</v>
      </c>
      <c r="X150" s="195">
        <f t="shared" si="48"/>
        <v>0</v>
      </c>
      <c r="Y150" s="195">
        <f t="shared" si="48"/>
        <v>0</v>
      </c>
      <c r="Z150" s="195">
        <f t="shared" si="48"/>
        <v>0</v>
      </c>
      <c r="AA150" s="195">
        <f t="shared" si="48"/>
        <v>0</v>
      </c>
      <c r="AB150" s="195">
        <f t="shared" si="48"/>
        <v>0</v>
      </c>
      <c r="AC150" s="195">
        <f t="shared" si="48"/>
        <v>0</v>
      </c>
      <c r="AD150" s="195">
        <f t="shared" si="48"/>
        <v>0</v>
      </c>
      <c r="AE150" s="195">
        <f t="shared" si="48"/>
        <v>0</v>
      </c>
      <c r="AF150" s="195">
        <f t="shared" si="48"/>
        <v>0</v>
      </c>
      <c r="AG150" s="195">
        <f t="shared" si="48"/>
        <v>0</v>
      </c>
      <c r="AH150" s="195">
        <f t="shared" si="48"/>
        <v>0</v>
      </c>
      <c r="AI150" s="195">
        <f t="shared" si="48"/>
        <v>0</v>
      </c>
      <c r="AJ150" s="195">
        <f t="shared" si="48"/>
        <v>0</v>
      </c>
      <c r="AK150" s="195">
        <f t="shared" si="48"/>
        <v>0</v>
      </c>
      <c r="AL150" s="195">
        <f t="shared" si="48"/>
        <v>37080000</v>
      </c>
      <c r="AM150" s="195">
        <f t="shared" si="48"/>
        <v>0</v>
      </c>
      <c r="AN150" s="195">
        <f t="shared" si="48"/>
        <v>0</v>
      </c>
      <c r="AO150" s="195">
        <f t="shared" ref="AO150:AP150" si="49">SUM(AO147:AO149)</f>
        <v>0</v>
      </c>
      <c r="AP150" s="195">
        <f t="shared" si="49"/>
        <v>37080000</v>
      </c>
    </row>
    <row r="151" spans="1:42" s="28" customFormat="1" ht="15" x14ac:dyDescent="0.25">
      <c r="A151" s="20"/>
      <c r="B151" s="29"/>
      <c r="C151" s="454"/>
      <c r="D151" s="214"/>
      <c r="E151" s="454"/>
      <c r="F151" s="454"/>
      <c r="G151" s="214"/>
      <c r="H151" s="454"/>
      <c r="I151" s="214"/>
      <c r="J151" s="215"/>
      <c r="K151" s="215"/>
      <c r="L151" s="278"/>
      <c r="M151" s="279"/>
      <c r="N151" s="265"/>
      <c r="O151" s="454"/>
      <c r="P151" s="217"/>
      <c r="Q151" s="217"/>
      <c r="R151" s="217"/>
      <c r="S151" s="217"/>
      <c r="T151" s="217"/>
      <c r="U151" s="217"/>
      <c r="V151" s="217"/>
      <c r="W151" s="217"/>
      <c r="X151" s="217"/>
      <c r="Y151" s="217"/>
      <c r="Z151" s="217"/>
      <c r="AA151" s="217"/>
      <c r="AB151" s="217"/>
      <c r="AC151" s="217"/>
      <c r="AD151" s="218"/>
      <c r="AE151" s="218"/>
      <c r="AF151" s="218"/>
      <c r="AG151" s="218"/>
      <c r="AH151" s="218"/>
      <c r="AI151" s="218"/>
      <c r="AJ151" s="217"/>
      <c r="AK151" s="217"/>
      <c r="AL151" s="335"/>
      <c r="AM151" s="338"/>
      <c r="AN151" s="217"/>
      <c r="AO151" s="217"/>
      <c r="AP151" s="217"/>
    </row>
    <row r="152" spans="1:42" s="196" customFormat="1" ht="15" x14ac:dyDescent="0.25">
      <c r="A152" s="20"/>
      <c r="B152" s="29"/>
      <c r="C152" s="848"/>
      <c r="D152" s="224"/>
      <c r="E152" s="224"/>
      <c r="F152" s="225"/>
      <c r="G152" s="308">
        <v>80</v>
      </c>
      <c r="H152" s="327" t="s">
        <v>211</v>
      </c>
      <c r="I152" s="227"/>
      <c r="J152" s="227"/>
      <c r="K152" s="227"/>
      <c r="L152" s="227"/>
      <c r="M152" s="227"/>
      <c r="N152" s="227"/>
      <c r="O152" s="227"/>
      <c r="P152" s="227"/>
      <c r="Q152" s="227"/>
      <c r="R152" s="227"/>
      <c r="S152" s="227"/>
      <c r="T152" s="227"/>
      <c r="U152" s="227"/>
      <c r="V152" s="227"/>
      <c r="W152" s="227"/>
      <c r="X152" s="227"/>
      <c r="Y152" s="227"/>
      <c r="Z152" s="227"/>
      <c r="AA152" s="227"/>
      <c r="AB152" s="227"/>
      <c r="AC152" s="227"/>
      <c r="AD152" s="227"/>
      <c r="AE152" s="227"/>
      <c r="AF152" s="227"/>
      <c r="AG152" s="227"/>
      <c r="AH152" s="227"/>
      <c r="AI152" s="227"/>
      <c r="AJ152" s="227"/>
      <c r="AK152" s="227"/>
      <c r="AL152" s="229"/>
      <c r="AM152" s="227"/>
      <c r="AN152" s="227"/>
      <c r="AO152" s="227"/>
      <c r="AP152" s="230"/>
    </row>
    <row r="153" spans="1:42" s="28" customFormat="1" ht="99.75" x14ac:dyDescent="0.25">
      <c r="A153" s="20"/>
      <c r="B153" s="29"/>
      <c r="C153" s="864">
        <v>13</v>
      </c>
      <c r="D153" s="893" t="s">
        <v>194</v>
      </c>
      <c r="E153" s="876">
        <v>71.040000000000006</v>
      </c>
      <c r="F153" s="876">
        <v>88.17</v>
      </c>
      <c r="G153" s="23"/>
      <c r="H153" s="152">
        <v>234</v>
      </c>
      <c r="I153" s="151" t="s">
        <v>212</v>
      </c>
      <c r="J153" s="24" t="s">
        <v>36</v>
      </c>
      <c r="K153" s="69">
        <v>7</v>
      </c>
      <c r="L153" s="1015" t="s">
        <v>198</v>
      </c>
      <c r="M153" s="907" t="s">
        <v>213</v>
      </c>
      <c r="N153" s="893" t="s">
        <v>214</v>
      </c>
      <c r="O153" s="152" t="s">
        <v>40</v>
      </c>
      <c r="P153" s="26">
        <v>0</v>
      </c>
      <c r="Q153" s="26">
        <v>0</v>
      </c>
      <c r="R153" s="26">
        <v>0</v>
      </c>
      <c r="S153" s="26">
        <v>0</v>
      </c>
      <c r="T153" s="26">
        <v>0</v>
      </c>
      <c r="U153" s="26">
        <v>0</v>
      </c>
      <c r="V153" s="26">
        <v>0</v>
      </c>
      <c r="W153" s="26"/>
      <c r="X153" s="26"/>
      <c r="Y153" s="26"/>
      <c r="Z153" s="26">
        <v>0</v>
      </c>
      <c r="AA153" s="26"/>
      <c r="AB153" s="26">
        <v>0</v>
      </c>
      <c r="AC153" s="26">
        <v>0</v>
      </c>
      <c r="AD153" s="26"/>
      <c r="AE153" s="26"/>
      <c r="AF153" s="26"/>
      <c r="AG153" s="26"/>
      <c r="AH153" s="26"/>
      <c r="AI153" s="26"/>
      <c r="AJ153" s="26">
        <v>0</v>
      </c>
      <c r="AK153" s="26">
        <v>0</v>
      </c>
      <c r="AL153" s="113">
        <v>13390000</v>
      </c>
      <c r="AM153" s="14"/>
      <c r="AN153" s="26">
        <v>0</v>
      </c>
      <c r="AO153" s="27">
        <v>0</v>
      </c>
      <c r="AP153" s="26">
        <f>P153+Q153+R153+S153+T153+U153+V153+W153+X153+Y153+Z153+AA153+AB153+AC153+AD153+AE153+AF153+AG153+AH153+AI153+AJ153+AK153+AL153+AM153+AN153+AO153</f>
        <v>13390000</v>
      </c>
    </row>
    <row r="154" spans="1:42" s="28" customFormat="1" ht="87.75" customHeight="1" x14ac:dyDescent="0.25">
      <c r="A154" s="20"/>
      <c r="B154" s="29"/>
      <c r="C154" s="866"/>
      <c r="D154" s="895"/>
      <c r="E154" s="887"/>
      <c r="F154" s="887"/>
      <c r="G154" s="29"/>
      <c r="H154" s="152">
        <v>235</v>
      </c>
      <c r="I154" s="151" t="s">
        <v>215</v>
      </c>
      <c r="J154" s="24" t="s">
        <v>36</v>
      </c>
      <c r="K154" s="70">
        <v>7</v>
      </c>
      <c r="L154" s="1017"/>
      <c r="M154" s="909"/>
      <c r="N154" s="895"/>
      <c r="O154" s="152" t="s">
        <v>40</v>
      </c>
      <c r="P154" s="26">
        <v>0</v>
      </c>
      <c r="Q154" s="26">
        <v>0</v>
      </c>
      <c r="R154" s="26">
        <v>0</v>
      </c>
      <c r="S154" s="26">
        <v>0</v>
      </c>
      <c r="T154" s="26">
        <v>0</v>
      </c>
      <c r="U154" s="26">
        <v>0</v>
      </c>
      <c r="V154" s="26">
        <v>0</v>
      </c>
      <c r="W154" s="26"/>
      <c r="X154" s="26"/>
      <c r="Y154" s="26"/>
      <c r="Z154" s="26">
        <v>0</v>
      </c>
      <c r="AA154" s="26"/>
      <c r="AB154" s="26">
        <v>0</v>
      </c>
      <c r="AC154" s="26">
        <v>0</v>
      </c>
      <c r="AD154" s="26"/>
      <c r="AE154" s="26"/>
      <c r="AF154" s="26"/>
      <c r="AG154" s="26"/>
      <c r="AH154" s="26"/>
      <c r="AI154" s="26"/>
      <c r="AJ154" s="26">
        <v>0</v>
      </c>
      <c r="AK154" s="26">
        <v>0</v>
      </c>
      <c r="AL154" s="113">
        <v>23690000</v>
      </c>
      <c r="AM154" s="14"/>
      <c r="AN154" s="26">
        <v>0</v>
      </c>
      <c r="AO154" s="27">
        <v>0</v>
      </c>
      <c r="AP154" s="26">
        <f>P154+Q154+R154+S154+T154+U154+V154+W154+X154+Y154+Z154+AA154+AB154+AC154+AD154+AE154+AF154+AG154+AH154+AI154+AJ154+AK154+AL154+AM154+AN154+AO154</f>
        <v>23690000</v>
      </c>
    </row>
    <row r="155" spans="1:42" s="196" customFormat="1" ht="15" x14ac:dyDescent="0.25">
      <c r="A155" s="20"/>
      <c r="B155" s="31"/>
      <c r="C155" s="848"/>
      <c r="D155" s="224"/>
      <c r="E155" s="224"/>
      <c r="F155" s="225"/>
      <c r="G155" s="191"/>
      <c r="H155" s="192"/>
      <c r="I155" s="191"/>
      <c r="J155" s="193"/>
      <c r="K155" s="193"/>
      <c r="L155" s="193"/>
      <c r="M155" s="194"/>
      <c r="N155" s="191"/>
      <c r="O155" s="192"/>
      <c r="P155" s="195">
        <f t="shared" ref="P155:AK155" si="50">SUM(P153:P154)</f>
        <v>0</v>
      </c>
      <c r="Q155" s="195">
        <f t="shared" si="50"/>
        <v>0</v>
      </c>
      <c r="R155" s="195">
        <f t="shared" si="50"/>
        <v>0</v>
      </c>
      <c r="S155" s="195">
        <f t="shared" si="50"/>
        <v>0</v>
      </c>
      <c r="T155" s="195">
        <f t="shared" si="50"/>
        <v>0</v>
      </c>
      <c r="U155" s="195">
        <f t="shared" si="50"/>
        <v>0</v>
      </c>
      <c r="V155" s="195">
        <f t="shared" si="50"/>
        <v>0</v>
      </c>
      <c r="W155" s="195">
        <f t="shared" si="50"/>
        <v>0</v>
      </c>
      <c r="X155" s="195">
        <f t="shared" si="50"/>
        <v>0</v>
      </c>
      <c r="Y155" s="195">
        <f t="shared" si="50"/>
        <v>0</v>
      </c>
      <c r="Z155" s="195">
        <f t="shared" si="50"/>
        <v>0</v>
      </c>
      <c r="AA155" s="195">
        <f t="shared" si="50"/>
        <v>0</v>
      </c>
      <c r="AB155" s="195">
        <f t="shared" si="50"/>
        <v>0</v>
      </c>
      <c r="AC155" s="195">
        <f t="shared" si="50"/>
        <v>0</v>
      </c>
      <c r="AD155" s="195">
        <f t="shared" si="50"/>
        <v>0</v>
      </c>
      <c r="AE155" s="195">
        <f t="shared" si="50"/>
        <v>0</v>
      </c>
      <c r="AF155" s="195">
        <f t="shared" si="50"/>
        <v>0</v>
      </c>
      <c r="AG155" s="195">
        <f t="shared" si="50"/>
        <v>0</v>
      </c>
      <c r="AH155" s="195">
        <f t="shared" si="50"/>
        <v>0</v>
      </c>
      <c r="AI155" s="195">
        <f t="shared" si="50"/>
        <v>0</v>
      </c>
      <c r="AJ155" s="195">
        <f t="shared" si="50"/>
        <v>0</v>
      </c>
      <c r="AK155" s="195">
        <f t="shared" si="50"/>
        <v>0</v>
      </c>
      <c r="AL155" s="195">
        <f t="shared" ref="AL155:AP155" si="51">SUM(AL153:AL154)</f>
        <v>37080000</v>
      </c>
      <c r="AM155" s="195">
        <f t="shared" si="51"/>
        <v>0</v>
      </c>
      <c r="AN155" s="195">
        <f t="shared" si="51"/>
        <v>0</v>
      </c>
      <c r="AO155" s="195">
        <f t="shared" si="51"/>
        <v>0</v>
      </c>
      <c r="AP155" s="195">
        <f t="shared" si="51"/>
        <v>37080000</v>
      </c>
    </row>
    <row r="156" spans="1:42" s="196" customFormat="1" ht="15" x14ac:dyDescent="0.25">
      <c r="A156" s="20"/>
      <c r="B156" s="198"/>
      <c r="C156" s="262"/>
      <c r="D156" s="198"/>
      <c r="E156" s="199"/>
      <c r="F156" s="199"/>
      <c r="G156" s="198"/>
      <c r="H156" s="199"/>
      <c r="I156" s="198"/>
      <c r="J156" s="200"/>
      <c r="K156" s="200"/>
      <c r="L156" s="200"/>
      <c r="M156" s="201"/>
      <c r="N156" s="198"/>
      <c r="O156" s="199"/>
      <c r="P156" s="202">
        <f t="shared" ref="P156:AK156" si="52">P155+P150+P144</f>
        <v>0</v>
      </c>
      <c r="Q156" s="202">
        <f t="shared" si="52"/>
        <v>0</v>
      </c>
      <c r="R156" s="202">
        <f t="shared" si="52"/>
        <v>0</v>
      </c>
      <c r="S156" s="202">
        <f t="shared" si="52"/>
        <v>0</v>
      </c>
      <c r="T156" s="202">
        <f t="shared" si="52"/>
        <v>0</v>
      </c>
      <c r="U156" s="202">
        <f t="shared" si="52"/>
        <v>0</v>
      </c>
      <c r="V156" s="202">
        <f t="shared" si="52"/>
        <v>0</v>
      </c>
      <c r="W156" s="202">
        <f t="shared" si="52"/>
        <v>0</v>
      </c>
      <c r="X156" s="202">
        <f t="shared" si="52"/>
        <v>0</v>
      </c>
      <c r="Y156" s="202">
        <f t="shared" si="52"/>
        <v>0</v>
      </c>
      <c r="Z156" s="202">
        <f t="shared" si="52"/>
        <v>0</v>
      </c>
      <c r="AA156" s="202">
        <f t="shared" si="52"/>
        <v>0</v>
      </c>
      <c r="AB156" s="202">
        <f t="shared" si="52"/>
        <v>0</v>
      </c>
      <c r="AC156" s="202">
        <f t="shared" si="52"/>
        <v>0</v>
      </c>
      <c r="AD156" s="202">
        <f t="shared" si="52"/>
        <v>0</v>
      </c>
      <c r="AE156" s="202">
        <f t="shared" si="52"/>
        <v>0</v>
      </c>
      <c r="AF156" s="202">
        <f t="shared" si="52"/>
        <v>0</v>
      </c>
      <c r="AG156" s="202">
        <f t="shared" si="52"/>
        <v>0</v>
      </c>
      <c r="AH156" s="202">
        <f t="shared" si="52"/>
        <v>0</v>
      </c>
      <c r="AI156" s="202">
        <f t="shared" si="52"/>
        <v>0</v>
      </c>
      <c r="AJ156" s="202">
        <f t="shared" si="52"/>
        <v>0</v>
      </c>
      <c r="AK156" s="202">
        <f t="shared" si="52"/>
        <v>0</v>
      </c>
      <c r="AL156" s="202">
        <f t="shared" ref="AL156:AP156" si="53">AL155+AL150+AL144</f>
        <v>651349775.75</v>
      </c>
      <c r="AM156" s="202">
        <f t="shared" si="53"/>
        <v>0</v>
      </c>
      <c r="AN156" s="202">
        <f t="shared" si="53"/>
        <v>0</v>
      </c>
      <c r="AO156" s="202">
        <f t="shared" si="53"/>
        <v>0</v>
      </c>
      <c r="AP156" s="202">
        <f t="shared" si="53"/>
        <v>651349775.75</v>
      </c>
    </row>
    <row r="157" spans="1:42" s="28" customFormat="1" ht="15" x14ac:dyDescent="0.25">
      <c r="A157" s="20"/>
      <c r="B157" s="151"/>
      <c r="C157" s="454"/>
      <c r="D157" s="214"/>
      <c r="E157" s="454"/>
      <c r="F157" s="454"/>
      <c r="G157" s="214"/>
      <c r="H157" s="454"/>
      <c r="I157" s="214"/>
      <c r="J157" s="215"/>
      <c r="K157" s="215"/>
      <c r="L157" s="278"/>
      <c r="M157" s="279"/>
      <c r="N157" s="265"/>
      <c r="O157" s="454"/>
      <c r="P157" s="217"/>
      <c r="Q157" s="217"/>
      <c r="R157" s="217"/>
      <c r="S157" s="217"/>
      <c r="T157" s="217"/>
      <c r="U157" s="217"/>
      <c r="V157" s="217"/>
      <c r="W157" s="217"/>
      <c r="X157" s="217"/>
      <c r="Y157" s="217"/>
      <c r="Z157" s="217"/>
      <c r="AA157" s="217"/>
      <c r="AB157" s="217"/>
      <c r="AC157" s="217"/>
      <c r="AD157" s="218"/>
      <c r="AE157" s="218"/>
      <c r="AF157" s="218"/>
      <c r="AG157" s="218"/>
      <c r="AH157" s="218"/>
      <c r="AI157" s="218"/>
      <c r="AJ157" s="217"/>
      <c r="AK157" s="217"/>
      <c r="AL157" s="335"/>
      <c r="AM157" s="334"/>
      <c r="AN157" s="217"/>
      <c r="AO157" s="217"/>
      <c r="AP157" s="217"/>
    </row>
    <row r="158" spans="1:42" s="196" customFormat="1" x14ac:dyDescent="0.25">
      <c r="A158" s="20"/>
      <c r="B158" s="316">
        <v>25</v>
      </c>
      <c r="C158" s="1073" t="s">
        <v>216</v>
      </c>
      <c r="D158" s="340"/>
      <c r="E158" s="340"/>
      <c r="F158" s="340"/>
      <c r="G158" s="340"/>
      <c r="H158" s="339"/>
      <c r="I158" s="340"/>
      <c r="J158" s="340"/>
      <c r="K158" s="340"/>
      <c r="L158" s="340"/>
      <c r="M158" s="341"/>
      <c r="N158" s="340"/>
      <c r="O158" s="340"/>
      <c r="P158" s="340"/>
      <c r="Q158" s="340"/>
      <c r="R158" s="340"/>
      <c r="S158" s="340"/>
      <c r="T158" s="340"/>
      <c r="U158" s="340"/>
      <c r="V158" s="340"/>
      <c r="W158" s="340"/>
      <c r="X158" s="340"/>
      <c r="Y158" s="340"/>
      <c r="Z158" s="340"/>
      <c r="AA158" s="340"/>
      <c r="AB158" s="340"/>
      <c r="AC158" s="340"/>
      <c r="AD158" s="340"/>
      <c r="AE158" s="340"/>
      <c r="AF158" s="340"/>
      <c r="AG158" s="340"/>
      <c r="AH158" s="340"/>
      <c r="AI158" s="340"/>
      <c r="AJ158" s="340"/>
      <c r="AK158" s="340"/>
      <c r="AL158" s="342"/>
      <c r="AM158" s="340"/>
      <c r="AN158" s="340"/>
      <c r="AO158" s="340"/>
      <c r="AP158" s="343"/>
    </row>
    <row r="159" spans="1:42" s="196" customFormat="1" ht="15" x14ac:dyDescent="0.25">
      <c r="A159" s="20"/>
      <c r="B159" s="223"/>
      <c r="C159" s="344"/>
      <c r="D159" s="345"/>
      <c r="E159" s="345"/>
      <c r="F159" s="345"/>
      <c r="G159" s="226">
        <v>81</v>
      </c>
      <c r="H159" s="227" t="s">
        <v>217</v>
      </c>
      <c r="I159" s="227"/>
      <c r="J159" s="227"/>
      <c r="K159" s="227"/>
      <c r="L159" s="227"/>
      <c r="M159" s="227"/>
      <c r="N159" s="227"/>
      <c r="O159" s="227"/>
      <c r="P159" s="227"/>
      <c r="Q159" s="227"/>
      <c r="R159" s="227"/>
      <c r="S159" s="227"/>
      <c r="T159" s="227"/>
      <c r="U159" s="227"/>
      <c r="V159" s="227"/>
      <c r="W159" s="227"/>
      <c r="X159" s="227"/>
      <c r="Y159" s="227"/>
      <c r="Z159" s="227"/>
      <c r="AA159" s="227"/>
      <c r="AB159" s="227"/>
      <c r="AC159" s="227"/>
      <c r="AD159" s="227"/>
      <c r="AE159" s="227"/>
      <c r="AF159" s="227"/>
      <c r="AG159" s="227"/>
      <c r="AH159" s="227"/>
      <c r="AI159" s="227"/>
      <c r="AJ159" s="227"/>
      <c r="AK159" s="227"/>
      <c r="AL159" s="229"/>
      <c r="AM159" s="227"/>
      <c r="AN159" s="227"/>
      <c r="AO159" s="227"/>
      <c r="AP159" s="230"/>
    </row>
    <row r="160" spans="1:42" s="28" customFormat="1" ht="75" customHeight="1" x14ac:dyDescent="0.25">
      <c r="A160" s="20"/>
      <c r="B160" s="20"/>
      <c r="C160" s="864">
        <v>13</v>
      </c>
      <c r="D160" s="893" t="s">
        <v>194</v>
      </c>
      <c r="E160" s="876" t="s">
        <v>195</v>
      </c>
      <c r="F160" s="876" t="s">
        <v>196</v>
      </c>
      <c r="G160" s="23"/>
      <c r="H160" s="152">
        <v>236</v>
      </c>
      <c r="I160" s="151" t="s">
        <v>218</v>
      </c>
      <c r="J160" s="24">
        <v>1</v>
      </c>
      <c r="K160" s="66">
        <v>7</v>
      </c>
      <c r="L160" s="1015" t="s">
        <v>219</v>
      </c>
      <c r="M160" s="907" t="s">
        <v>220</v>
      </c>
      <c r="N160" s="893" t="s">
        <v>221</v>
      </c>
      <c r="O160" s="152" t="s">
        <v>40</v>
      </c>
      <c r="P160" s="26">
        <v>0</v>
      </c>
      <c r="Q160" s="26">
        <v>0</v>
      </c>
      <c r="R160" s="26">
        <v>0</v>
      </c>
      <c r="S160" s="26">
        <v>0</v>
      </c>
      <c r="T160" s="26">
        <v>0</v>
      </c>
      <c r="U160" s="26">
        <v>0</v>
      </c>
      <c r="V160" s="26">
        <v>0</v>
      </c>
      <c r="W160" s="26"/>
      <c r="X160" s="26"/>
      <c r="Y160" s="26"/>
      <c r="Z160" s="26">
        <v>0</v>
      </c>
      <c r="AA160" s="26"/>
      <c r="AB160" s="26">
        <v>0</v>
      </c>
      <c r="AC160" s="26">
        <v>0</v>
      </c>
      <c r="AD160" s="26"/>
      <c r="AE160" s="26"/>
      <c r="AF160" s="26"/>
      <c r="AG160" s="26"/>
      <c r="AH160" s="26"/>
      <c r="AI160" s="26"/>
      <c r="AJ160" s="26">
        <v>0</v>
      </c>
      <c r="AK160" s="26">
        <v>0</v>
      </c>
      <c r="AL160" s="115">
        <v>57499999.999999993</v>
      </c>
      <c r="AM160" s="11"/>
      <c r="AN160" s="26">
        <v>0</v>
      </c>
      <c r="AO160" s="27">
        <v>0</v>
      </c>
      <c r="AP160" s="26">
        <f>P160+Q160+R160+S160+T160+U160+V160+W160+X160+Y160+Z160+AA160+AB160+AC160+AD160+AE160+AF160+AG160+AH160+AI160+AJ160+AK160+AL160+AM160+AN160+AO160</f>
        <v>57499999.999999993</v>
      </c>
    </row>
    <row r="161" spans="1:42" s="28" customFormat="1" ht="71.25" x14ac:dyDescent="0.25">
      <c r="A161" s="20"/>
      <c r="B161" s="20"/>
      <c r="C161" s="865"/>
      <c r="D161" s="894"/>
      <c r="E161" s="877"/>
      <c r="F161" s="877"/>
      <c r="G161" s="29"/>
      <c r="H161" s="152">
        <v>237</v>
      </c>
      <c r="I161" s="151" t="s">
        <v>222</v>
      </c>
      <c r="J161" s="24" t="s">
        <v>36</v>
      </c>
      <c r="K161" s="66">
        <v>70</v>
      </c>
      <c r="L161" s="1016"/>
      <c r="M161" s="908"/>
      <c r="N161" s="894"/>
      <c r="O161" s="152" t="s">
        <v>40</v>
      </c>
      <c r="P161" s="26">
        <v>0</v>
      </c>
      <c r="Q161" s="26">
        <v>0</v>
      </c>
      <c r="R161" s="26">
        <v>0</v>
      </c>
      <c r="S161" s="26">
        <v>0</v>
      </c>
      <c r="T161" s="26">
        <v>0</v>
      </c>
      <c r="U161" s="26">
        <v>0</v>
      </c>
      <c r="V161" s="26">
        <v>0</v>
      </c>
      <c r="W161" s="26"/>
      <c r="X161" s="26"/>
      <c r="Y161" s="26"/>
      <c r="Z161" s="26">
        <v>0</v>
      </c>
      <c r="AA161" s="26"/>
      <c r="AB161" s="26">
        <v>0</v>
      </c>
      <c r="AC161" s="26">
        <v>0</v>
      </c>
      <c r="AD161" s="26"/>
      <c r="AE161" s="26"/>
      <c r="AF161" s="26"/>
      <c r="AG161" s="26"/>
      <c r="AH161" s="26"/>
      <c r="AI161" s="26"/>
      <c r="AJ161" s="26">
        <v>0</v>
      </c>
      <c r="AK161" s="26">
        <v>0</v>
      </c>
      <c r="AL161" s="115">
        <v>64200000</v>
      </c>
      <c r="AM161" s="11"/>
      <c r="AN161" s="26">
        <v>0</v>
      </c>
      <c r="AO161" s="27">
        <v>0</v>
      </c>
      <c r="AP161" s="26">
        <f>P161+Q161+R161+S161+T161+U161+V161+W161+X161+Y161+Z161+AA161+AB161+AC161+AD161+AE161+AF161+AG161+AH161+AI161+AJ161+AK161+AL161+AM161+AN161+AO161</f>
        <v>64200000</v>
      </c>
    </row>
    <row r="162" spans="1:42" s="28" customFormat="1" ht="104.25" customHeight="1" x14ac:dyDescent="0.25">
      <c r="A162" s="20"/>
      <c r="B162" s="20"/>
      <c r="C162" s="865"/>
      <c r="D162" s="894"/>
      <c r="E162" s="877"/>
      <c r="F162" s="877"/>
      <c r="G162" s="29"/>
      <c r="H162" s="152">
        <v>238</v>
      </c>
      <c r="I162" s="151" t="s">
        <v>223</v>
      </c>
      <c r="J162" s="24" t="s">
        <v>36</v>
      </c>
      <c r="K162" s="66">
        <v>12</v>
      </c>
      <c r="L162" s="1016"/>
      <c r="M162" s="908"/>
      <c r="N162" s="894"/>
      <c r="O162" s="152" t="s">
        <v>44</v>
      </c>
      <c r="P162" s="26">
        <v>0</v>
      </c>
      <c r="Q162" s="26">
        <v>0</v>
      </c>
      <c r="R162" s="26">
        <v>0</v>
      </c>
      <c r="S162" s="26">
        <v>0</v>
      </c>
      <c r="T162" s="26">
        <v>0</v>
      </c>
      <c r="U162" s="26">
        <v>0</v>
      </c>
      <c r="V162" s="26">
        <v>0</v>
      </c>
      <c r="W162" s="26"/>
      <c r="X162" s="26"/>
      <c r="Y162" s="26"/>
      <c r="Z162" s="26">
        <v>0</v>
      </c>
      <c r="AA162" s="26"/>
      <c r="AB162" s="26">
        <v>0</v>
      </c>
      <c r="AC162" s="26">
        <v>0</v>
      </c>
      <c r="AD162" s="26"/>
      <c r="AE162" s="26"/>
      <c r="AF162" s="26"/>
      <c r="AG162" s="26"/>
      <c r="AH162" s="26"/>
      <c r="AI162" s="26"/>
      <c r="AJ162" s="26">
        <v>0</v>
      </c>
      <c r="AK162" s="26">
        <v>0</v>
      </c>
      <c r="AL162" s="115">
        <v>97600000</v>
      </c>
      <c r="AM162" s="11"/>
      <c r="AN162" s="26">
        <v>0</v>
      </c>
      <c r="AO162" s="27">
        <v>0</v>
      </c>
      <c r="AP162" s="26">
        <f>P162+Q162+R162+S162+T162+U162+V162+W162+X162+Y162+Z162+AA162+AB162+AC162+AD162+AE162+AF162+AG162+AH162+AI162+AJ162+AK162+AL162+AM162+AN162+AO162</f>
        <v>97600000</v>
      </c>
    </row>
    <row r="163" spans="1:42" s="28" customFormat="1" ht="62.25" customHeight="1" x14ac:dyDescent="0.25">
      <c r="A163" s="20"/>
      <c r="B163" s="20"/>
      <c r="C163" s="865"/>
      <c r="D163" s="894"/>
      <c r="E163" s="877"/>
      <c r="F163" s="877"/>
      <c r="G163" s="29"/>
      <c r="H163" s="152">
        <v>239</v>
      </c>
      <c r="I163" s="151" t="s">
        <v>224</v>
      </c>
      <c r="J163" s="24" t="s">
        <v>36</v>
      </c>
      <c r="K163" s="66">
        <v>6</v>
      </c>
      <c r="L163" s="1016"/>
      <c r="M163" s="908"/>
      <c r="N163" s="894"/>
      <c r="O163" s="152" t="s">
        <v>40</v>
      </c>
      <c r="P163" s="26">
        <v>0</v>
      </c>
      <c r="Q163" s="26">
        <v>0</v>
      </c>
      <c r="R163" s="26">
        <v>0</v>
      </c>
      <c r="S163" s="26">
        <v>0</v>
      </c>
      <c r="T163" s="26">
        <v>0</v>
      </c>
      <c r="U163" s="26">
        <v>0</v>
      </c>
      <c r="V163" s="26">
        <v>0</v>
      </c>
      <c r="W163" s="26"/>
      <c r="X163" s="26"/>
      <c r="Y163" s="26"/>
      <c r="Z163" s="26">
        <v>0</v>
      </c>
      <c r="AA163" s="26"/>
      <c r="AB163" s="26">
        <v>0</v>
      </c>
      <c r="AC163" s="26">
        <v>0</v>
      </c>
      <c r="AD163" s="26"/>
      <c r="AE163" s="26"/>
      <c r="AF163" s="26"/>
      <c r="AG163" s="26"/>
      <c r="AH163" s="26"/>
      <c r="AI163" s="26"/>
      <c r="AJ163" s="26">
        <v>0</v>
      </c>
      <c r="AK163" s="26">
        <v>0</v>
      </c>
      <c r="AL163" s="115">
        <v>60028000</v>
      </c>
      <c r="AM163" s="11"/>
      <c r="AN163" s="26">
        <v>0</v>
      </c>
      <c r="AO163" s="27">
        <v>0</v>
      </c>
      <c r="AP163" s="26">
        <f>P163+Q163+R163+S163+T163+U163+V163+W163+X163+Y163+Z163+AA163+AB163+AC163+AD163+AE163+AF163+AG163+AH163+AI163+AJ163+AK163+AL163+AM163+AN163+AO163</f>
        <v>60028000</v>
      </c>
    </row>
    <row r="164" spans="1:42" s="28" customFormat="1" ht="54.75" customHeight="1" x14ac:dyDescent="0.25">
      <c r="A164" s="20"/>
      <c r="B164" s="20"/>
      <c r="C164" s="865"/>
      <c r="D164" s="894"/>
      <c r="E164" s="877"/>
      <c r="F164" s="877"/>
      <c r="G164" s="29"/>
      <c r="H164" s="152">
        <v>240</v>
      </c>
      <c r="I164" s="151" t="s">
        <v>225</v>
      </c>
      <c r="J164" s="24">
        <v>1</v>
      </c>
      <c r="K164" s="66">
        <v>1</v>
      </c>
      <c r="L164" s="1017"/>
      <c r="M164" s="909"/>
      <c r="N164" s="895"/>
      <c r="O164" s="152" t="s">
        <v>44</v>
      </c>
      <c r="P164" s="26">
        <v>0</v>
      </c>
      <c r="Q164" s="26">
        <v>0</v>
      </c>
      <c r="R164" s="26">
        <v>0</v>
      </c>
      <c r="S164" s="26">
        <v>0</v>
      </c>
      <c r="T164" s="26">
        <v>0</v>
      </c>
      <c r="U164" s="26">
        <v>0</v>
      </c>
      <c r="V164" s="26">
        <v>0</v>
      </c>
      <c r="W164" s="26"/>
      <c r="X164" s="26"/>
      <c r="Y164" s="26"/>
      <c r="Z164" s="26">
        <v>0</v>
      </c>
      <c r="AA164" s="26"/>
      <c r="AB164" s="26">
        <v>0</v>
      </c>
      <c r="AC164" s="26">
        <v>0</v>
      </c>
      <c r="AD164" s="26"/>
      <c r="AE164" s="26"/>
      <c r="AF164" s="26"/>
      <c r="AG164" s="26"/>
      <c r="AH164" s="26"/>
      <c r="AI164" s="26"/>
      <c r="AJ164" s="26">
        <v>0</v>
      </c>
      <c r="AK164" s="26">
        <v>0</v>
      </c>
      <c r="AL164" s="115">
        <f>120672000+107500000</f>
        <v>228172000</v>
      </c>
      <c r="AM164" s="11"/>
      <c r="AN164" s="26">
        <v>0</v>
      </c>
      <c r="AO164" s="27">
        <v>0</v>
      </c>
      <c r="AP164" s="26">
        <f>P164+Q164+R164+S164+T164+U164+V164+W164+X164+Y164+Z164+AA164+AB164+AC164+AD164+AE164+AF164+AG164+AH164+AI164+AJ164+AK164+AL164+AM164+AN164+AO164</f>
        <v>228172000</v>
      </c>
    </row>
    <row r="165" spans="1:42" s="196" customFormat="1" ht="15" x14ac:dyDescent="0.25">
      <c r="A165" s="20"/>
      <c r="B165" s="20"/>
      <c r="C165" s="848"/>
      <c r="D165" s="224"/>
      <c r="E165" s="224"/>
      <c r="F165" s="225"/>
      <c r="G165" s="191"/>
      <c r="H165" s="192"/>
      <c r="I165" s="191"/>
      <c r="J165" s="193"/>
      <c r="K165" s="193"/>
      <c r="L165" s="193"/>
      <c r="M165" s="194"/>
      <c r="N165" s="191"/>
      <c r="O165" s="192"/>
      <c r="P165" s="195">
        <f t="shared" ref="P165:AN165" si="54">SUM(P160:P164)</f>
        <v>0</v>
      </c>
      <c r="Q165" s="195">
        <f t="shared" si="54"/>
        <v>0</v>
      </c>
      <c r="R165" s="195">
        <f t="shared" si="54"/>
        <v>0</v>
      </c>
      <c r="S165" s="195">
        <f t="shared" si="54"/>
        <v>0</v>
      </c>
      <c r="T165" s="195">
        <f t="shared" si="54"/>
        <v>0</v>
      </c>
      <c r="U165" s="195">
        <f t="shared" si="54"/>
        <v>0</v>
      </c>
      <c r="V165" s="195">
        <f t="shared" si="54"/>
        <v>0</v>
      </c>
      <c r="W165" s="195">
        <f t="shared" si="54"/>
        <v>0</v>
      </c>
      <c r="X165" s="195">
        <f t="shared" si="54"/>
        <v>0</v>
      </c>
      <c r="Y165" s="195">
        <f t="shared" si="54"/>
        <v>0</v>
      </c>
      <c r="Z165" s="195">
        <f t="shared" si="54"/>
        <v>0</v>
      </c>
      <c r="AA165" s="195">
        <f t="shared" si="54"/>
        <v>0</v>
      </c>
      <c r="AB165" s="195">
        <f t="shared" si="54"/>
        <v>0</v>
      </c>
      <c r="AC165" s="195">
        <f t="shared" si="54"/>
        <v>0</v>
      </c>
      <c r="AD165" s="195">
        <f t="shared" si="54"/>
        <v>0</v>
      </c>
      <c r="AE165" s="195">
        <f t="shared" si="54"/>
        <v>0</v>
      </c>
      <c r="AF165" s="195">
        <f t="shared" si="54"/>
        <v>0</v>
      </c>
      <c r="AG165" s="195">
        <f t="shared" si="54"/>
        <v>0</v>
      </c>
      <c r="AH165" s="195">
        <f t="shared" si="54"/>
        <v>0</v>
      </c>
      <c r="AI165" s="195">
        <f t="shared" si="54"/>
        <v>0</v>
      </c>
      <c r="AJ165" s="195">
        <f t="shared" si="54"/>
        <v>0</v>
      </c>
      <c r="AK165" s="195">
        <f t="shared" si="54"/>
        <v>0</v>
      </c>
      <c r="AL165" s="195">
        <f t="shared" si="54"/>
        <v>507500000</v>
      </c>
      <c r="AM165" s="195">
        <f t="shared" si="54"/>
        <v>0</v>
      </c>
      <c r="AN165" s="195">
        <f t="shared" si="54"/>
        <v>0</v>
      </c>
      <c r="AO165" s="195">
        <f t="shared" ref="AO165:AP165" si="55">SUM(AO160:AO164)</f>
        <v>0</v>
      </c>
      <c r="AP165" s="195">
        <f t="shared" si="55"/>
        <v>507500000</v>
      </c>
    </row>
    <row r="166" spans="1:42" s="28" customFormat="1" ht="15" x14ac:dyDescent="0.25">
      <c r="A166" s="20"/>
      <c r="B166" s="20"/>
      <c r="C166" s="454"/>
      <c r="D166" s="214"/>
      <c r="E166" s="454"/>
      <c r="F166" s="454"/>
      <c r="G166" s="214"/>
      <c r="H166" s="454"/>
      <c r="I166" s="214"/>
      <c r="J166" s="215"/>
      <c r="K166" s="215"/>
      <c r="L166" s="278"/>
      <c r="M166" s="279"/>
      <c r="N166" s="265"/>
      <c r="O166" s="454"/>
      <c r="P166" s="217"/>
      <c r="Q166" s="217"/>
      <c r="R166" s="217"/>
      <c r="S166" s="217"/>
      <c r="T166" s="217"/>
      <c r="U166" s="217"/>
      <c r="V166" s="217"/>
      <c r="W166" s="217"/>
      <c r="X166" s="217"/>
      <c r="Y166" s="217"/>
      <c r="Z166" s="217"/>
      <c r="AA166" s="217"/>
      <c r="AB166" s="217"/>
      <c r="AC166" s="217"/>
      <c r="AD166" s="218"/>
      <c r="AE166" s="218"/>
      <c r="AF166" s="218"/>
      <c r="AG166" s="218"/>
      <c r="AH166" s="218"/>
      <c r="AI166" s="218"/>
      <c r="AJ166" s="217"/>
      <c r="AK166" s="217"/>
      <c r="AL166" s="346"/>
      <c r="AM166" s="347"/>
      <c r="AN166" s="217"/>
      <c r="AO166" s="217"/>
      <c r="AP166" s="238"/>
    </row>
    <row r="167" spans="1:42" s="196" customFormat="1" x14ac:dyDescent="0.25">
      <c r="A167" s="20"/>
      <c r="B167" s="20"/>
      <c r="C167" s="848"/>
      <c r="D167" s="224"/>
      <c r="E167" s="224"/>
      <c r="F167" s="225"/>
      <c r="G167" s="226">
        <v>82</v>
      </c>
      <c r="H167" s="326" t="s">
        <v>226</v>
      </c>
      <c r="I167" s="227"/>
      <c r="J167" s="227"/>
      <c r="K167" s="227"/>
      <c r="L167" s="227"/>
      <c r="M167" s="228"/>
      <c r="N167" s="227"/>
      <c r="O167" s="227"/>
      <c r="P167" s="227"/>
      <c r="Q167" s="227"/>
      <c r="R167" s="227"/>
      <c r="S167" s="227"/>
      <c r="T167" s="227"/>
      <c r="U167" s="227"/>
      <c r="V167" s="227"/>
      <c r="W167" s="227"/>
      <c r="X167" s="227"/>
      <c r="Y167" s="227"/>
      <c r="Z167" s="227"/>
      <c r="AA167" s="227"/>
      <c r="AB167" s="227"/>
      <c r="AC167" s="227"/>
      <c r="AD167" s="227"/>
      <c r="AE167" s="227"/>
      <c r="AF167" s="227"/>
      <c r="AG167" s="227"/>
      <c r="AH167" s="227"/>
      <c r="AI167" s="227"/>
      <c r="AJ167" s="227"/>
      <c r="AK167" s="227"/>
      <c r="AL167" s="229"/>
      <c r="AM167" s="227"/>
      <c r="AN167" s="227"/>
      <c r="AO167" s="227"/>
      <c r="AP167" s="230"/>
    </row>
    <row r="168" spans="1:42" s="196" customFormat="1" ht="57" customHeight="1" x14ac:dyDescent="0.25">
      <c r="A168" s="20"/>
      <c r="B168" s="20"/>
      <c r="C168" s="920">
        <v>13</v>
      </c>
      <c r="D168" s="954" t="s">
        <v>194</v>
      </c>
      <c r="E168" s="948">
        <v>71.040000000000006</v>
      </c>
      <c r="F168" s="948">
        <v>88.17</v>
      </c>
      <c r="G168" s="876"/>
      <c r="H168" s="152">
        <v>241</v>
      </c>
      <c r="I168" s="151" t="s">
        <v>227</v>
      </c>
      <c r="J168" s="24">
        <v>1</v>
      </c>
      <c r="K168" s="24">
        <v>1</v>
      </c>
      <c r="L168" s="1015" t="s">
        <v>219</v>
      </c>
      <c r="M168" s="907" t="s">
        <v>228</v>
      </c>
      <c r="N168" s="893" t="s">
        <v>229</v>
      </c>
      <c r="O168" s="152" t="s">
        <v>44</v>
      </c>
      <c r="P168" s="26">
        <v>0</v>
      </c>
      <c r="Q168" s="26">
        <v>0</v>
      </c>
      <c r="R168" s="26">
        <v>0</v>
      </c>
      <c r="S168" s="26">
        <v>0</v>
      </c>
      <c r="T168" s="26">
        <v>0</v>
      </c>
      <c r="U168" s="26">
        <v>0</v>
      </c>
      <c r="V168" s="26">
        <v>0</v>
      </c>
      <c r="W168" s="26"/>
      <c r="X168" s="26"/>
      <c r="Y168" s="26"/>
      <c r="Z168" s="26">
        <v>0</v>
      </c>
      <c r="AA168" s="26"/>
      <c r="AB168" s="26">
        <v>0</v>
      </c>
      <c r="AC168" s="26">
        <v>0</v>
      </c>
      <c r="AD168" s="304"/>
      <c r="AE168" s="304"/>
      <c r="AF168" s="304"/>
      <c r="AG168" s="304"/>
      <c r="AH168" s="304"/>
      <c r="AI168" s="304"/>
      <c r="AJ168" s="26">
        <v>0</v>
      </c>
      <c r="AK168" s="26">
        <v>0</v>
      </c>
      <c r="AL168" s="117">
        <v>50625000</v>
      </c>
      <c r="AM168" s="5"/>
      <c r="AN168" s="26">
        <v>0</v>
      </c>
      <c r="AO168" s="348">
        <v>0</v>
      </c>
      <c r="AP168" s="26">
        <f>P168+Q168+R168+S168+T168+U168+V168+W168+X168+Y168+Z168+AA168+AB168+AC168+AD168+AE168+AF168+AG168+AH168+AI168+AJ168+AK168+AL168+AM168+AN168+AO168</f>
        <v>50625000</v>
      </c>
    </row>
    <row r="169" spans="1:42" s="196" customFormat="1" ht="81" customHeight="1" x14ac:dyDescent="0.25">
      <c r="A169" s="20"/>
      <c r="B169" s="20"/>
      <c r="C169" s="922"/>
      <c r="D169" s="956"/>
      <c r="E169" s="949"/>
      <c r="F169" s="949"/>
      <c r="G169" s="887"/>
      <c r="H169" s="152">
        <v>242</v>
      </c>
      <c r="I169" s="151" t="s">
        <v>230</v>
      </c>
      <c r="J169" s="24">
        <v>1</v>
      </c>
      <c r="K169" s="24">
        <v>1</v>
      </c>
      <c r="L169" s="1017"/>
      <c r="M169" s="909"/>
      <c r="N169" s="895"/>
      <c r="O169" s="152" t="s">
        <v>44</v>
      </c>
      <c r="P169" s="26">
        <v>0</v>
      </c>
      <c r="Q169" s="26">
        <v>0</v>
      </c>
      <c r="R169" s="26">
        <v>0</v>
      </c>
      <c r="S169" s="26">
        <v>0</v>
      </c>
      <c r="T169" s="26">
        <v>0</v>
      </c>
      <c r="U169" s="26">
        <v>0</v>
      </c>
      <c r="V169" s="26">
        <v>0</v>
      </c>
      <c r="W169" s="26"/>
      <c r="X169" s="26"/>
      <c r="Y169" s="26"/>
      <c r="Z169" s="26">
        <v>0</v>
      </c>
      <c r="AA169" s="26"/>
      <c r="AB169" s="26">
        <v>0</v>
      </c>
      <c r="AC169" s="26">
        <v>0</v>
      </c>
      <c r="AD169" s="304"/>
      <c r="AE169" s="304"/>
      <c r="AF169" s="304"/>
      <c r="AG169" s="304"/>
      <c r="AH169" s="304"/>
      <c r="AI169" s="304"/>
      <c r="AJ169" s="26">
        <v>0</v>
      </c>
      <c r="AK169" s="26">
        <v>0</v>
      </c>
      <c r="AL169" s="117">
        <v>39375000</v>
      </c>
      <c r="AM169" s="5"/>
      <c r="AN169" s="26">
        <v>0</v>
      </c>
      <c r="AO169" s="348">
        <v>0</v>
      </c>
      <c r="AP169" s="26">
        <f>P169+Q169+R169+S169+T169+U169+V169+W169+X169+Y169+Z169+AA169+AB169+AC169+AD169+AE169+AF169+AG169+AH169+AI169+AJ169+AK169+AL169+AM169+AN169+AO169</f>
        <v>39375000</v>
      </c>
    </row>
    <row r="170" spans="1:42" s="196" customFormat="1" ht="15" x14ac:dyDescent="0.25">
      <c r="A170" s="20"/>
      <c r="B170" s="189"/>
      <c r="C170" s="848"/>
      <c r="D170" s="224"/>
      <c r="E170" s="224"/>
      <c r="F170" s="225"/>
      <c r="G170" s="258"/>
      <c r="H170" s="259"/>
      <c r="I170" s="191"/>
      <c r="J170" s="193"/>
      <c r="K170" s="193"/>
      <c r="L170" s="193"/>
      <c r="M170" s="194"/>
      <c r="N170" s="191"/>
      <c r="O170" s="192"/>
      <c r="P170" s="195">
        <f t="shared" ref="P170:AK170" si="56">SUM(P168:P169)</f>
        <v>0</v>
      </c>
      <c r="Q170" s="195">
        <f t="shared" si="56"/>
        <v>0</v>
      </c>
      <c r="R170" s="195">
        <f t="shared" si="56"/>
        <v>0</v>
      </c>
      <c r="S170" s="195">
        <f t="shared" si="56"/>
        <v>0</v>
      </c>
      <c r="T170" s="195">
        <f t="shared" si="56"/>
        <v>0</v>
      </c>
      <c r="U170" s="195">
        <f t="shared" si="56"/>
        <v>0</v>
      </c>
      <c r="V170" s="195">
        <f t="shared" si="56"/>
        <v>0</v>
      </c>
      <c r="W170" s="195">
        <f t="shared" si="56"/>
        <v>0</v>
      </c>
      <c r="X170" s="195">
        <f t="shared" si="56"/>
        <v>0</v>
      </c>
      <c r="Y170" s="195">
        <f t="shared" si="56"/>
        <v>0</v>
      </c>
      <c r="Z170" s="195">
        <f t="shared" si="56"/>
        <v>0</v>
      </c>
      <c r="AA170" s="195">
        <f t="shared" si="56"/>
        <v>0</v>
      </c>
      <c r="AB170" s="195">
        <f t="shared" si="56"/>
        <v>0</v>
      </c>
      <c r="AC170" s="195">
        <f t="shared" si="56"/>
        <v>0</v>
      </c>
      <c r="AD170" s="195">
        <f t="shared" si="56"/>
        <v>0</v>
      </c>
      <c r="AE170" s="195">
        <f t="shared" si="56"/>
        <v>0</v>
      </c>
      <c r="AF170" s="195">
        <f t="shared" si="56"/>
        <v>0</v>
      </c>
      <c r="AG170" s="195">
        <f t="shared" si="56"/>
        <v>0</v>
      </c>
      <c r="AH170" s="195">
        <f t="shared" si="56"/>
        <v>0</v>
      </c>
      <c r="AI170" s="195">
        <f t="shared" si="56"/>
        <v>0</v>
      </c>
      <c r="AJ170" s="195">
        <f t="shared" si="56"/>
        <v>0</v>
      </c>
      <c r="AK170" s="195">
        <f t="shared" si="56"/>
        <v>0</v>
      </c>
      <c r="AL170" s="195">
        <f t="shared" ref="AL170:AP170" si="57">SUM(AL168:AL169)</f>
        <v>90000000</v>
      </c>
      <c r="AM170" s="195">
        <f t="shared" si="57"/>
        <v>0</v>
      </c>
      <c r="AN170" s="195">
        <f t="shared" si="57"/>
        <v>0</v>
      </c>
      <c r="AO170" s="195">
        <f t="shared" si="57"/>
        <v>0</v>
      </c>
      <c r="AP170" s="195">
        <f t="shared" si="57"/>
        <v>90000000</v>
      </c>
    </row>
    <row r="171" spans="1:42" s="196" customFormat="1" ht="20.25" customHeight="1" x14ac:dyDescent="0.25">
      <c r="A171" s="189"/>
      <c r="B171" s="198"/>
      <c r="C171" s="262"/>
      <c r="D171" s="198"/>
      <c r="E171" s="199"/>
      <c r="F171" s="199"/>
      <c r="G171" s="263"/>
      <c r="H171" s="264"/>
      <c r="I171" s="198"/>
      <c r="J171" s="200"/>
      <c r="K171" s="200"/>
      <c r="L171" s="200"/>
      <c r="M171" s="201"/>
      <c r="N171" s="198"/>
      <c r="O171" s="199"/>
      <c r="P171" s="202">
        <f t="shared" ref="P171:AK171" si="58">P170+P165</f>
        <v>0</v>
      </c>
      <c r="Q171" s="202">
        <f t="shared" si="58"/>
        <v>0</v>
      </c>
      <c r="R171" s="202">
        <f t="shared" si="58"/>
        <v>0</v>
      </c>
      <c r="S171" s="202">
        <f t="shared" si="58"/>
        <v>0</v>
      </c>
      <c r="T171" s="202">
        <f t="shared" si="58"/>
        <v>0</v>
      </c>
      <c r="U171" s="202">
        <f t="shared" si="58"/>
        <v>0</v>
      </c>
      <c r="V171" s="202">
        <f t="shared" si="58"/>
        <v>0</v>
      </c>
      <c r="W171" s="202">
        <f t="shared" si="58"/>
        <v>0</v>
      </c>
      <c r="X171" s="202">
        <f t="shared" si="58"/>
        <v>0</v>
      </c>
      <c r="Y171" s="202">
        <f t="shared" si="58"/>
        <v>0</v>
      </c>
      <c r="Z171" s="202">
        <f t="shared" si="58"/>
        <v>0</v>
      </c>
      <c r="AA171" s="202">
        <f t="shared" si="58"/>
        <v>0</v>
      </c>
      <c r="AB171" s="202">
        <f t="shared" si="58"/>
        <v>0</v>
      </c>
      <c r="AC171" s="202">
        <f t="shared" si="58"/>
        <v>0</v>
      </c>
      <c r="AD171" s="202">
        <f t="shared" si="58"/>
        <v>0</v>
      </c>
      <c r="AE171" s="202">
        <f t="shared" si="58"/>
        <v>0</v>
      </c>
      <c r="AF171" s="202">
        <f t="shared" si="58"/>
        <v>0</v>
      </c>
      <c r="AG171" s="202">
        <f t="shared" si="58"/>
        <v>0</v>
      </c>
      <c r="AH171" s="202">
        <f t="shared" si="58"/>
        <v>0</v>
      </c>
      <c r="AI171" s="202">
        <f t="shared" si="58"/>
        <v>0</v>
      </c>
      <c r="AJ171" s="202">
        <f t="shared" si="58"/>
        <v>0</v>
      </c>
      <c r="AK171" s="202">
        <f t="shared" si="58"/>
        <v>0</v>
      </c>
      <c r="AL171" s="202">
        <f t="shared" ref="AL171:AP171" si="59">AL170+AL165</f>
        <v>597500000</v>
      </c>
      <c r="AM171" s="202">
        <f t="shared" si="59"/>
        <v>0</v>
      </c>
      <c r="AN171" s="202">
        <f t="shared" si="59"/>
        <v>0</v>
      </c>
      <c r="AO171" s="202">
        <f t="shared" si="59"/>
        <v>0</v>
      </c>
      <c r="AP171" s="202">
        <f t="shared" si="59"/>
        <v>597500000</v>
      </c>
    </row>
    <row r="172" spans="1:42" s="196" customFormat="1" ht="20.25" customHeight="1" x14ac:dyDescent="0.25">
      <c r="A172" s="312"/>
      <c r="B172" s="203"/>
      <c r="C172" s="204"/>
      <c r="D172" s="203"/>
      <c r="E172" s="204"/>
      <c r="F172" s="204"/>
      <c r="G172" s="350"/>
      <c r="H172" s="351"/>
      <c r="I172" s="203"/>
      <c r="J172" s="205"/>
      <c r="K172" s="205"/>
      <c r="L172" s="205"/>
      <c r="M172" s="206"/>
      <c r="N172" s="203"/>
      <c r="O172" s="204"/>
      <c r="P172" s="207">
        <f t="shared" ref="P172:AK172" si="60">P171+P156+P135</f>
        <v>0</v>
      </c>
      <c r="Q172" s="207">
        <f t="shared" si="60"/>
        <v>0</v>
      </c>
      <c r="R172" s="207">
        <f t="shared" si="60"/>
        <v>0</v>
      </c>
      <c r="S172" s="207">
        <f t="shared" si="60"/>
        <v>9209631612</v>
      </c>
      <c r="T172" s="207">
        <f t="shared" si="60"/>
        <v>0</v>
      </c>
      <c r="U172" s="207">
        <f t="shared" si="60"/>
        <v>0</v>
      </c>
      <c r="V172" s="207">
        <f t="shared" si="60"/>
        <v>0</v>
      </c>
      <c r="W172" s="207">
        <f t="shared" si="60"/>
        <v>0</v>
      </c>
      <c r="X172" s="207">
        <f t="shared" si="60"/>
        <v>0</v>
      </c>
      <c r="Y172" s="207">
        <f t="shared" si="60"/>
        <v>0</v>
      </c>
      <c r="Z172" s="207">
        <f t="shared" si="60"/>
        <v>0</v>
      </c>
      <c r="AA172" s="207">
        <f t="shared" si="60"/>
        <v>0</v>
      </c>
      <c r="AB172" s="207">
        <f t="shared" si="60"/>
        <v>0</v>
      </c>
      <c r="AC172" s="207">
        <f t="shared" si="60"/>
        <v>0</v>
      </c>
      <c r="AD172" s="207">
        <f t="shared" si="60"/>
        <v>0</v>
      </c>
      <c r="AE172" s="207">
        <f t="shared" si="60"/>
        <v>0</v>
      </c>
      <c r="AF172" s="207">
        <f t="shared" si="60"/>
        <v>0</v>
      </c>
      <c r="AG172" s="207">
        <f t="shared" si="60"/>
        <v>0</v>
      </c>
      <c r="AH172" s="207">
        <f t="shared" si="60"/>
        <v>0</v>
      </c>
      <c r="AI172" s="207">
        <f t="shared" si="60"/>
        <v>0</v>
      </c>
      <c r="AJ172" s="207">
        <f t="shared" si="60"/>
        <v>0</v>
      </c>
      <c r="AK172" s="207">
        <f t="shared" si="60"/>
        <v>0</v>
      </c>
      <c r="AL172" s="207">
        <f t="shared" ref="AL172:AP172" si="61">AL171+AL156+AL135</f>
        <v>1508849775.75</v>
      </c>
      <c r="AM172" s="207">
        <f t="shared" si="61"/>
        <v>0</v>
      </c>
      <c r="AN172" s="207">
        <f t="shared" si="61"/>
        <v>0</v>
      </c>
      <c r="AO172" s="207">
        <f t="shared" si="61"/>
        <v>0</v>
      </c>
      <c r="AP172" s="207">
        <f t="shared" si="61"/>
        <v>10718481387.75</v>
      </c>
    </row>
    <row r="173" spans="1:42" s="28" customFormat="1" ht="15" x14ac:dyDescent="0.25">
      <c r="A173" s="214"/>
      <c r="B173" s="214"/>
      <c r="C173" s="454"/>
      <c r="D173" s="214"/>
      <c r="E173" s="454"/>
      <c r="F173" s="454"/>
      <c r="G173" s="265"/>
      <c r="H173" s="153"/>
      <c r="I173" s="214"/>
      <c r="J173" s="215"/>
      <c r="K173" s="215"/>
      <c r="L173" s="278"/>
      <c r="M173" s="279"/>
      <c r="N173" s="265"/>
      <c r="O173" s="454"/>
      <c r="P173" s="217"/>
      <c r="Q173" s="217"/>
      <c r="R173" s="217"/>
      <c r="S173" s="217"/>
      <c r="T173" s="217"/>
      <c r="U173" s="217"/>
      <c r="V173" s="217"/>
      <c r="W173" s="217"/>
      <c r="X173" s="217"/>
      <c r="Y173" s="217"/>
      <c r="Z173" s="217"/>
      <c r="AA173" s="217"/>
      <c r="AB173" s="217"/>
      <c r="AC173" s="217"/>
      <c r="AD173" s="218"/>
      <c r="AE173" s="218"/>
      <c r="AF173" s="218"/>
      <c r="AG173" s="218"/>
      <c r="AH173" s="218"/>
      <c r="AI173" s="218"/>
      <c r="AJ173" s="217"/>
      <c r="AK173" s="217"/>
      <c r="AL173" s="219"/>
      <c r="AM173" s="217"/>
      <c r="AN173" s="217"/>
      <c r="AO173" s="217"/>
      <c r="AP173" s="217"/>
    </row>
    <row r="174" spans="1:42" s="196" customFormat="1" x14ac:dyDescent="0.25">
      <c r="A174" s="352">
        <v>5</v>
      </c>
      <c r="B174" s="174" t="s">
        <v>32</v>
      </c>
      <c r="C174" s="175"/>
      <c r="D174" s="174"/>
      <c r="E174" s="174"/>
      <c r="F174" s="174"/>
      <c r="G174" s="174"/>
      <c r="H174" s="175"/>
      <c r="I174" s="174"/>
      <c r="J174" s="174"/>
      <c r="K174" s="174"/>
      <c r="L174" s="174"/>
      <c r="M174" s="176"/>
      <c r="N174" s="174"/>
      <c r="O174" s="174"/>
      <c r="P174" s="174"/>
      <c r="Q174" s="174"/>
      <c r="R174" s="174"/>
      <c r="S174" s="174"/>
      <c r="T174" s="174"/>
      <c r="U174" s="174"/>
      <c r="V174" s="174"/>
      <c r="W174" s="174"/>
      <c r="X174" s="174"/>
      <c r="Y174" s="174"/>
      <c r="Z174" s="174"/>
      <c r="AA174" s="174"/>
      <c r="AB174" s="174"/>
      <c r="AC174" s="174"/>
      <c r="AD174" s="174"/>
      <c r="AE174" s="174"/>
      <c r="AF174" s="174"/>
      <c r="AG174" s="174"/>
      <c r="AH174" s="174"/>
      <c r="AI174" s="174"/>
      <c r="AJ174" s="174"/>
      <c r="AK174" s="174"/>
      <c r="AL174" s="177"/>
      <c r="AM174" s="174"/>
      <c r="AN174" s="174"/>
      <c r="AO174" s="174"/>
      <c r="AP174" s="178"/>
    </row>
    <row r="175" spans="1:42" s="28" customFormat="1" x14ac:dyDescent="0.25">
      <c r="A175" s="252"/>
      <c r="B175" s="316">
        <v>26</v>
      </c>
      <c r="C175" s="181" t="s">
        <v>58</v>
      </c>
      <c r="D175" s="182"/>
      <c r="E175" s="182"/>
      <c r="F175" s="182"/>
      <c r="G175" s="182"/>
      <c r="H175" s="183"/>
      <c r="I175" s="182"/>
      <c r="J175" s="182"/>
      <c r="K175" s="182"/>
      <c r="L175" s="182"/>
      <c r="M175" s="184"/>
      <c r="N175" s="182"/>
      <c r="O175" s="182"/>
      <c r="P175" s="182"/>
      <c r="Q175" s="182"/>
      <c r="R175" s="182"/>
      <c r="S175" s="182"/>
      <c r="T175" s="182"/>
      <c r="U175" s="182"/>
      <c r="V175" s="182"/>
      <c r="W175" s="182"/>
      <c r="X175" s="182"/>
      <c r="Y175" s="182"/>
      <c r="Z175" s="182"/>
      <c r="AA175" s="182"/>
      <c r="AB175" s="182"/>
      <c r="AC175" s="182"/>
      <c r="AD175" s="182"/>
      <c r="AE175" s="182"/>
      <c r="AF175" s="182"/>
      <c r="AG175" s="182"/>
      <c r="AH175" s="182"/>
      <c r="AI175" s="182"/>
      <c r="AJ175" s="182"/>
      <c r="AK175" s="182"/>
      <c r="AL175" s="185"/>
      <c r="AM175" s="182"/>
      <c r="AN175" s="182"/>
      <c r="AO175" s="182"/>
      <c r="AP175" s="186"/>
    </row>
    <row r="176" spans="1:42" s="28" customFormat="1" ht="15" x14ac:dyDescent="0.25">
      <c r="A176" s="353"/>
      <c r="B176" s="23"/>
      <c r="C176" s="848"/>
      <c r="D176" s="224"/>
      <c r="E176" s="224"/>
      <c r="F176" s="225"/>
      <c r="G176" s="226">
        <v>84</v>
      </c>
      <c r="H176" s="227" t="s">
        <v>65</v>
      </c>
      <c r="I176" s="227"/>
      <c r="J176" s="227"/>
      <c r="K176" s="227"/>
      <c r="L176" s="227"/>
      <c r="M176" s="227"/>
      <c r="N176" s="227"/>
      <c r="O176" s="227"/>
      <c r="P176" s="227"/>
      <c r="Q176" s="227"/>
      <c r="R176" s="227"/>
      <c r="S176" s="227"/>
      <c r="T176" s="227"/>
      <c r="U176" s="227"/>
      <c r="V176" s="227"/>
      <c r="W176" s="227"/>
      <c r="X176" s="227"/>
      <c r="Y176" s="227"/>
      <c r="Z176" s="227"/>
      <c r="AA176" s="227"/>
      <c r="AB176" s="227"/>
      <c r="AC176" s="227"/>
      <c r="AD176" s="227"/>
      <c r="AE176" s="227"/>
      <c r="AF176" s="227"/>
      <c r="AG176" s="227"/>
      <c r="AH176" s="227"/>
      <c r="AI176" s="227"/>
      <c r="AJ176" s="227"/>
      <c r="AK176" s="227"/>
      <c r="AL176" s="229"/>
      <c r="AM176" s="227"/>
      <c r="AN176" s="227"/>
      <c r="AO176" s="227"/>
      <c r="AP176" s="230"/>
    </row>
    <row r="177" spans="1:50" s="28" customFormat="1" ht="74.25" customHeight="1" x14ac:dyDescent="0.25">
      <c r="A177" s="26">
        <f>+A176</f>
        <v>0</v>
      </c>
      <c r="B177" s="29"/>
      <c r="C177" s="150">
        <v>37</v>
      </c>
      <c r="D177" s="151" t="s">
        <v>231</v>
      </c>
      <c r="E177" s="152">
        <v>54.61</v>
      </c>
      <c r="F177" s="152">
        <v>60</v>
      </c>
      <c r="G177" s="151"/>
      <c r="H177" s="152">
        <v>247</v>
      </c>
      <c r="I177" s="151" t="s">
        <v>232</v>
      </c>
      <c r="J177" s="24" t="s">
        <v>36</v>
      </c>
      <c r="K177" s="24">
        <v>1</v>
      </c>
      <c r="L177" s="25" t="s">
        <v>72</v>
      </c>
      <c r="M177" s="38" t="s">
        <v>233</v>
      </c>
      <c r="N177" s="151" t="s">
        <v>234</v>
      </c>
      <c r="O177" s="58" t="s">
        <v>44</v>
      </c>
      <c r="P177" s="26">
        <v>0</v>
      </c>
      <c r="Q177" s="26">
        <v>0</v>
      </c>
      <c r="R177" s="26">
        <v>0</v>
      </c>
      <c r="S177" s="26">
        <v>0</v>
      </c>
      <c r="T177" s="26">
        <v>0</v>
      </c>
      <c r="U177" s="26">
        <v>0</v>
      </c>
      <c r="V177" s="26">
        <v>0</v>
      </c>
      <c r="W177" s="26"/>
      <c r="X177" s="26"/>
      <c r="Y177" s="26"/>
      <c r="Z177" s="26">
        <v>0</v>
      </c>
      <c r="AA177" s="26"/>
      <c r="AB177" s="26">
        <v>0</v>
      </c>
      <c r="AC177" s="26">
        <v>0</v>
      </c>
      <c r="AD177" s="26"/>
      <c r="AE177" s="26"/>
      <c r="AF177" s="26"/>
      <c r="AG177" s="26"/>
      <c r="AH177" s="26"/>
      <c r="AI177" s="26"/>
      <c r="AJ177" s="26">
        <v>0</v>
      </c>
      <c r="AK177" s="26">
        <v>0</v>
      </c>
      <c r="AL177" s="113">
        <v>40000000</v>
      </c>
      <c r="AM177" s="14"/>
      <c r="AN177" s="26">
        <v>0</v>
      </c>
      <c r="AO177" s="27">
        <v>0</v>
      </c>
      <c r="AP177" s="26">
        <f>P177+Q177+R177+S177+T177+U177+V177+W177+X177+Y177+Z177+AA177+AB177+AC177+AD177+AE177+AF177+AG177+AH177+AI177+AJ177+AK177+AL177+AM177+AN177+AO177</f>
        <v>40000000</v>
      </c>
    </row>
    <row r="178" spans="1:50" s="28" customFormat="1" ht="18.75" customHeight="1" x14ac:dyDescent="0.25">
      <c r="A178" s="353"/>
      <c r="B178" s="31"/>
      <c r="C178" s="848"/>
      <c r="D178" s="224"/>
      <c r="E178" s="224"/>
      <c r="F178" s="225"/>
      <c r="G178" s="258"/>
      <c r="H178" s="259"/>
      <c r="I178" s="258"/>
      <c r="J178" s="354"/>
      <c r="K178" s="354"/>
      <c r="L178" s="354"/>
      <c r="M178" s="355"/>
      <c r="N178" s="258"/>
      <c r="O178" s="259"/>
      <c r="P178" s="356">
        <f t="shared" ref="P178:AK178" si="62">SUM(P177)</f>
        <v>0</v>
      </c>
      <c r="Q178" s="356">
        <f t="shared" si="62"/>
        <v>0</v>
      </c>
      <c r="R178" s="356">
        <f t="shared" si="62"/>
        <v>0</v>
      </c>
      <c r="S178" s="356">
        <f t="shared" si="62"/>
        <v>0</v>
      </c>
      <c r="T178" s="356">
        <f t="shared" si="62"/>
        <v>0</v>
      </c>
      <c r="U178" s="356">
        <f t="shared" si="62"/>
        <v>0</v>
      </c>
      <c r="V178" s="356">
        <f t="shared" si="62"/>
        <v>0</v>
      </c>
      <c r="W178" s="356">
        <f t="shared" si="62"/>
        <v>0</v>
      </c>
      <c r="X178" s="356">
        <f t="shared" si="62"/>
        <v>0</v>
      </c>
      <c r="Y178" s="356">
        <f t="shared" si="62"/>
        <v>0</v>
      </c>
      <c r="Z178" s="356">
        <f t="shared" si="62"/>
        <v>0</v>
      </c>
      <c r="AA178" s="356">
        <f t="shared" si="62"/>
        <v>0</v>
      </c>
      <c r="AB178" s="356">
        <f t="shared" si="62"/>
        <v>0</v>
      </c>
      <c r="AC178" s="356">
        <f t="shared" si="62"/>
        <v>0</v>
      </c>
      <c r="AD178" s="356">
        <f t="shared" si="62"/>
        <v>0</v>
      </c>
      <c r="AE178" s="356">
        <f t="shared" si="62"/>
        <v>0</v>
      </c>
      <c r="AF178" s="356">
        <f t="shared" si="62"/>
        <v>0</v>
      </c>
      <c r="AG178" s="356">
        <f t="shared" si="62"/>
        <v>0</v>
      </c>
      <c r="AH178" s="356">
        <f t="shared" si="62"/>
        <v>0</v>
      </c>
      <c r="AI178" s="356">
        <f t="shared" si="62"/>
        <v>0</v>
      </c>
      <c r="AJ178" s="356">
        <f t="shared" si="62"/>
        <v>0</v>
      </c>
      <c r="AK178" s="356">
        <f t="shared" si="62"/>
        <v>0</v>
      </c>
      <c r="AL178" s="356">
        <f t="shared" ref="AL178:AP178" si="63">SUM(AL177)</f>
        <v>40000000</v>
      </c>
      <c r="AM178" s="356">
        <f t="shared" si="63"/>
        <v>0</v>
      </c>
      <c r="AN178" s="356">
        <f t="shared" si="63"/>
        <v>0</v>
      </c>
      <c r="AO178" s="356">
        <f t="shared" si="63"/>
        <v>0</v>
      </c>
      <c r="AP178" s="356">
        <f t="shared" si="63"/>
        <v>40000000</v>
      </c>
    </row>
    <row r="179" spans="1:50" s="78" customFormat="1" ht="18.75" customHeight="1" x14ac:dyDescent="0.25">
      <c r="A179" s="353"/>
      <c r="B179" s="198"/>
      <c r="C179" s="262"/>
      <c r="D179" s="198"/>
      <c r="E179" s="199"/>
      <c r="F179" s="199"/>
      <c r="G179" s="198"/>
      <c r="H179" s="199"/>
      <c r="I179" s="198"/>
      <c r="J179" s="200"/>
      <c r="K179" s="200"/>
      <c r="L179" s="200"/>
      <c r="M179" s="201"/>
      <c r="N179" s="198"/>
      <c r="O179" s="199"/>
      <c r="P179" s="202">
        <f t="shared" ref="P179:AK179" si="64">P178</f>
        <v>0</v>
      </c>
      <c r="Q179" s="202">
        <f t="shared" si="64"/>
        <v>0</v>
      </c>
      <c r="R179" s="202">
        <f t="shared" si="64"/>
        <v>0</v>
      </c>
      <c r="S179" s="202">
        <f t="shared" si="64"/>
        <v>0</v>
      </c>
      <c r="T179" s="202">
        <f t="shared" si="64"/>
        <v>0</v>
      </c>
      <c r="U179" s="202">
        <f t="shared" si="64"/>
        <v>0</v>
      </c>
      <c r="V179" s="202">
        <f t="shared" si="64"/>
        <v>0</v>
      </c>
      <c r="W179" s="202">
        <f t="shared" si="64"/>
        <v>0</v>
      </c>
      <c r="X179" s="202">
        <f t="shared" si="64"/>
        <v>0</v>
      </c>
      <c r="Y179" s="202">
        <f t="shared" si="64"/>
        <v>0</v>
      </c>
      <c r="Z179" s="202">
        <f t="shared" si="64"/>
        <v>0</v>
      </c>
      <c r="AA179" s="202">
        <f t="shared" si="64"/>
        <v>0</v>
      </c>
      <c r="AB179" s="202">
        <f t="shared" si="64"/>
        <v>0</v>
      </c>
      <c r="AC179" s="202">
        <f t="shared" si="64"/>
        <v>0</v>
      </c>
      <c r="AD179" s="202">
        <f t="shared" si="64"/>
        <v>0</v>
      </c>
      <c r="AE179" s="202">
        <f t="shared" si="64"/>
        <v>0</v>
      </c>
      <c r="AF179" s="202">
        <f t="shared" si="64"/>
        <v>0</v>
      </c>
      <c r="AG179" s="202">
        <f t="shared" si="64"/>
        <v>0</v>
      </c>
      <c r="AH179" s="202">
        <f t="shared" si="64"/>
        <v>0</v>
      </c>
      <c r="AI179" s="202">
        <f t="shared" si="64"/>
        <v>0</v>
      </c>
      <c r="AJ179" s="202">
        <f t="shared" si="64"/>
        <v>0</v>
      </c>
      <c r="AK179" s="202">
        <f t="shared" si="64"/>
        <v>0</v>
      </c>
      <c r="AL179" s="202">
        <f t="shared" ref="AL179:AP179" si="65">AL178</f>
        <v>40000000</v>
      </c>
      <c r="AM179" s="202">
        <f t="shared" si="65"/>
        <v>0</v>
      </c>
      <c r="AN179" s="202">
        <f t="shared" si="65"/>
        <v>0</v>
      </c>
      <c r="AO179" s="202">
        <f t="shared" si="65"/>
        <v>0</v>
      </c>
      <c r="AP179" s="202">
        <f t="shared" si="65"/>
        <v>40000000</v>
      </c>
      <c r="AQ179" s="28"/>
      <c r="AR179" s="28"/>
      <c r="AS179" s="28"/>
      <c r="AT179" s="28"/>
      <c r="AU179" s="28"/>
      <c r="AV179" s="28"/>
      <c r="AW179" s="28"/>
      <c r="AX179" s="357"/>
    </row>
    <row r="180" spans="1:50" s="358" customFormat="1" ht="24.75" customHeight="1" x14ac:dyDescent="0.25">
      <c r="A180" s="353"/>
      <c r="B180" s="151"/>
      <c r="C180" s="454"/>
      <c r="D180" s="214"/>
      <c r="E180" s="454"/>
      <c r="F180" s="454"/>
      <c r="G180" s="214"/>
      <c r="H180" s="454"/>
      <c r="I180" s="214"/>
      <c r="J180" s="215"/>
      <c r="K180" s="215"/>
      <c r="L180" s="215"/>
      <c r="M180" s="216"/>
      <c r="N180" s="214"/>
      <c r="O180" s="454"/>
      <c r="P180" s="217"/>
      <c r="Q180" s="217"/>
      <c r="R180" s="217"/>
      <c r="S180" s="217"/>
      <c r="T180" s="217"/>
      <c r="U180" s="217"/>
      <c r="V180" s="217"/>
      <c r="W180" s="217"/>
      <c r="X180" s="217"/>
      <c r="Y180" s="217"/>
      <c r="Z180" s="217"/>
      <c r="AA180" s="217"/>
      <c r="AB180" s="217"/>
      <c r="AC180" s="217"/>
      <c r="AD180" s="218"/>
      <c r="AE180" s="218"/>
      <c r="AF180" s="218"/>
      <c r="AG180" s="218"/>
      <c r="AH180" s="218"/>
      <c r="AI180" s="218"/>
      <c r="AJ180" s="217"/>
      <c r="AK180" s="217"/>
      <c r="AL180" s="219"/>
      <c r="AM180" s="220"/>
      <c r="AN180" s="217"/>
      <c r="AO180" s="217"/>
      <c r="AP180" s="217"/>
      <c r="AQ180" s="28"/>
      <c r="AR180" s="28"/>
      <c r="AS180" s="28"/>
      <c r="AT180" s="28"/>
      <c r="AU180" s="28"/>
      <c r="AV180" s="28"/>
      <c r="AW180" s="28"/>
    </row>
    <row r="181" spans="1:50" s="196" customFormat="1" ht="31.5" customHeight="1" x14ac:dyDescent="0.25">
      <c r="A181" s="353"/>
      <c r="B181" s="359">
        <v>27</v>
      </c>
      <c r="C181" s="182" t="s">
        <v>69</v>
      </c>
      <c r="D181" s="182"/>
      <c r="E181" s="182"/>
      <c r="F181" s="182"/>
      <c r="G181" s="182"/>
      <c r="H181" s="183"/>
      <c r="I181" s="182"/>
      <c r="J181" s="182"/>
      <c r="K181" s="182"/>
      <c r="L181" s="182"/>
      <c r="M181" s="184"/>
      <c r="N181" s="182"/>
      <c r="O181" s="182"/>
      <c r="P181" s="182"/>
      <c r="Q181" s="182"/>
      <c r="R181" s="182"/>
      <c r="S181" s="182"/>
      <c r="T181" s="182"/>
      <c r="U181" s="182"/>
      <c r="V181" s="182"/>
      <c r="W181" s="182"/>
      <c r="X181" s="182"/>
      <c r="Y181" s="182"/>
      <c r="Z181" s="182"/>
      <c r="AA181" s="182"/>
      <c r="AB181" s="182"/>
      <c r="AC181" s="182"/>
      <c r="AD181" s="182"/>
      <c r="AE181" s="182"/>
      <c r="AF181" s="182"/>
      <c r="AG181" s="182"/>
      <c r="AH181" s="182"/>
      <c r="AI181" s="182"/>
      <c r="AJ181" s="182"/>
      <c r="AK181" s="182"/>
      <c r="AL181" s="185"/>
      <c r="AM181" s="182"/>
      <c r="AN181" s="182"/>
      <c r="AO181" s="182"/>
      <c r="AP181" s="186"/>
    </row>
    <row r="182" spans="1:50" s="196" customFormat="1" ht="31.5" customHeight="1" x14ac:dyDescent="0.25">
      <c r="A182" s="353"/>
      <c r="B182" s="23"/>
      <c r="C182" s="454"/>
      <c r="D182" s="306"/>
      <c r="E182" s="306"/>
      <c r="F182" s="307"/>
      <c r="G182" s="360">
        <v>85</v>
      </c>
      <c r="H182" s="3" t="s">
        <v>70</v>
      </c>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112"/>
      <c r="AM182" s="3"/>
      <c r="AN182" s="3"/>
      <c r="AO182" s="3"/>
      <c r="AP182" s="110"/>
    </row>
    <row r="183" spans="1:50" s="28" customFormat="1" ht="57" customHeight="1" x14ac:dyDescent="0.25">
      <c r="A183" s="29"/>
      <c r="B183" s="29"/>
      <c r="C183" s="864">
        <v>37</v>
      </c>
      <c r="D183" s="893" t="s">
        <v>235</v>
      </c>
      <c r="E183" s="876">
        <v>54.61</v>
      </c>
      <c r="F183" s="876">
        <v>60</v>
      </c>
      <c r="G183" s="23"/>
      <c r="H183" s="133">
        <v>250</v>
      </c>
      <c r="I183" s="151" t="s">
        <v>236</v>
      </c>
      <c r="J183" s="24">
        <v>1</v>
      </c>
      <c r="K183" s="24">
        <v>3</v>
      </c>
      <c r="L183" s="1015" t="s">
        <v>72</v>
      </c>
      <c r="M183" s="907" t="s">
        <v>237</v>
      </c>
      <c r="N183" s="893" t="s">
        <v>238</v>
      </c>
      <c r="O183" s="58" t="s">
        <v>44</v>
      </c>
      <c r="P183" s="26">
        <v>0</v>
      </c>
      <c r="Q183" s="26">
        <v>0</v>
      </c>
      <c r="R183" s="26">
        <v>0</v>
      </c>
      <c r="S183" s="26">
        <v>0</v>
      </c>
      <c r="T183" s="26">
        <v>0</v>
      </c>
      <c r="U183" s="26">
        <v>0</v>
      </c>
      <c r="V183" s="26">
        <v>0</v>
      </c>
      <c r="W183" s="26"/>
      <c r="X183" s="26"/>
      <c r="Y183" s="26"/>
      <c r="Z183" s="26">
        <v>0</v>
      </c>
      <c r="AA183" s="26"/>
      <c r="AB183" s="26">
        <v>0</v>
      </c>
      <c r="AC183" s="26">
        <v>0</v>
      </c>
      <c r="AD183" s="26"/>
      <c r="AE183" s="26"/>
      <c r="AF183" s="26"/>
      <c r="AG183" s="26"/>
      <c r="AH183" s="26"/>
      <c r="AI183" s="26"/>
      <c r="AJ183" s="26">
        <v>0</v>
      </c>
      <c r="AK183" s="26">
        <v>0</v>
      </c>
      <c r="AL183" s="114">
        <f>69250000+205000000</f>
        <v>274250000</v>
      </c>
      <c r="AM183" s="41"/>
      <c r="AN183" s="26">
        <v>0</v>
      </c>
      <c r="AO183" s="27">
        <v>0</v>
      </c>
      <c r="AP183" s="26">
        <f>P183+Q183+R183+S183+T183+U183+V183+W183+X183+Y183+Z183+AA183+AB183+AC183+AD183+AE183+AF183+AG183+AH183+AI183+AJ183+AK183+AL183+AM183+AN183+AO183</f>
        <v>274250000</v>
      </c>
    </row>
    <row r="184" spans="1:50" s="28" customFormat="1" ht="78" customHeight="1" x14ac:dyDescent="0.25">
      <c r="A184" s="29"/>
      <c r="B184" s="29"/>
      <c r="C184" s="865"/>
      <c r="D184" s="894"/>
      <c r="E184" s="877"/>
      <c r="F184" s="877"/>
      <c r="G184" s="29"/>
      <c r="H184" s="133">
        <v>251</v>
      </c>
      <c r="I184" s="151" t="s">
        <v>239</v>
      </c>
      <c r="J184" s="24">
        <v>0</v>
      </c>
      <c r="K184" s="24">
        <v>1</v>
      </c>
      <c r="L184" s="1016"/>
      <c r="M184" s="908"/>
      <c r="N184" s="894"/>
      <c r="O184" s="58" t="s">
        <v>44</v>
      </c>
      <c r="P184" s="26">
        <v>0</v>
      </c>
      <c r="Q184" s="26">
        <v>0</v>
      </c>
      <c r="R184" s="26">
        <v>0</v>
      </c>
      <c r="S184" s="26">
        <v>0</v>
      </c>
      <c r="T184" s="26">
        <v>0</v>
      </c>
      <c r="U184" s="26">
        <v>0</v>
      </c>
      <c r="V184" s="26">
        <v>0</v>
      </c>
      <c r="W184" s="26"/>
      <c r="X184" s="26"/>
      <c r="Y184" s="26"/>
      <c r="Z184" s="26">
        <v>0</v>
      </c>
      <c r="AA184" s="26"/>
      <c r="AB184" s="26">
        <v>0</v>
      </c>
      <c r="AC184" s="26">
        <v>0</v>
      </c>
      <c r="AD184" s="26"/>
      <c r="AE184" s="26"/>
      <c r="AF184" s="26"/>
      <c r="AG184" s="26"/>
      <c r="AH184" s="26"/>
      <c r="AI184" s="26"/>
      <c r="AJ184" s="26">
        <v>0</v>
      </c>
      <c r="AK184" s="26">
        <v>0</v>
      </c>
      <c r="AL184" s="114">
        <f>230750000-25000000</f>
        <v>205750000</v>
      </c>
      <c r="AM184" s="41"/>
      <c r="AN184" s="26">
        <v>0</v>
      </c>
      <c r="AO184" s="27">
        <v>0</v>
      </c>
      <c r="AP184" s="26">
        <f>P184+Q184+R184+S184+T184+U184+V184+W184+X184+Y184+Z184+AA184+AB184+AC184+AD184+AE184+AF184+AG184+AH184+AI184+AJ184+AK184+AL184+AM184+AN184+AO184</f>
        <v>205750000</v>
      </c>
    </row>
    <row r="185" spans="1:50" s="28" customFormat="1" ht="108.75" customHeight="1" x14ac:dyDescent="0.25">
      <c r="A185" s="29"/>
      <c r="B185" s="29"/>
      <c r="C185" s="866"/>
      <c r="D185" s="895"/>
      <c r="E185" s="887"/>
      <c r="F185" s="887"/>
      <c r="G185" s="31"/>
      <c r="H185" s="133">
        <v>254</v>
      </c>
      <c r="I185" s="71" t="s">
        <v>929</v>
      </c>
      <c r="J185" s="24">
        <v>0</v>
      </c>
      <c r="K185" s="24">
        <v>1</v>
      </c>
      <c r="L185" s="1017"/>
      <c r="M185" s="909"/>
      <c r="N185" s="895"/>
      <c r="O185" s="58" t="s">
        <v>44</v>
      </c>
      <c r="P185" s="26">
        <v>0</v>
      </c>
      <c r="Q185" s="26">
        <v>0</v>
      </c>
      <c r="R185" s="26">
        <v>0</v>
      </c>
      <c r="S185" s="26">
        <v>0</v>
      </c>
      <c r="T185" s="26">
        <v>0</v>
      </c>
      <c r="U185" s="26">
        <v>0</v>
      </c>
      <c r="V185" s="26">
        <v>0</v>
      </c>
      <c r="W185" s="26"/>
      <c r="X185" s="26"/>
      <c r="Y185" s="26"/>
      <c r="Z185" s="26">
        <v>0</v>
      </c>
      <c r="AA185" s="26"/>
      <c r="AB185" s="26">
        <v>0</v>
      </c>
      <c r="AC185" s="26">
        <v>0</v>
      </c>
      <c r="AD185" s="26"/>
      <c r="AE185" s="26"/>
      <c r="AF185" s="26"/>
      <c r="AG185" s="26"/>
      <c r="AH185" s="26"/>
      <c r="AI185" s="26"/>
      <c r="AJ185" s="26">
        <v>0</v>
      </c>
      <c r="AK185" s="26">
        <v>0</v>
      </c>
      <c r="AL185" s="113">
        <v>25000000</v>
      </c>
      <c r="AM185" s="39"/>
      <c r="AN185" s="26">
        <v>0</v>
      </c>
      <c r="AO185" s="26">
        <v>0</v>
      </c>
      <c r="AP185" s="26">
        <f>P185+Q185+R185+S185+T185+U185+V185+W185+X185+Y185+Z185+AA185+AB185+AC185+AD185+AE185+AF185+AG185+AH185+AI185+AJ185+AK185+AL185+AM185+AN185+AO185</f>
        <v>25000000</v>
      </c>
    </row>
    <row r="186" spans="1:50" s="196" customFormat="1" ht="24.75" customHeight="1" x14ac:dyDescent="0.25">
      <c r="A186" s="353"/>
      <c r="B186" s="29"/>
      <c r="C186" s="848"/>
      <c r="D186" s="224"/>
      <c r="E186" s="224"/>
      <c r="F186" s="225"/>
      <c r="G186" s="258"/>
      <c r="H186" s="259"/>
      <c r="I186" s="361"/>
      <c r="J186" s="193"/>
      <c r="K186" s="193"/>
      <c r="L186" s="193"/>
      <c r="M186" s="194"/>
      <c r="N186" s="191"/>
      <c r="O186" s="192"/>
      <c r="P186" s="195">
        <f t="shared" ref="P186:AN186" si="66">SUM(P183:P185)</f>
        <v>0</v>
      </c>
      <c r="Q186" s="195">
        <f t="shared" si="66"/>
        <v>0</v>
      </c>
      <c r="R186" s="195">
        <f t="shared" si="66"/>
        <v>0</v>
      </c>
      <c r="S186" s="195">
        <f t="shared" si="66"/>
        <v>0</v>
      </c>
      <c r="T186" s="195">
        <f t="shared" si="66"/>
        <v>0</v>
      </c>
      <c r="U186" s="195">
        <f t="shared" si="66"/>
        <v>0</v>
      </c>
      <c r="V186" s="195">
        <f t="shared" si="66"/>
        <v>0</v>
      </c>
      <c r="W186" s="195">
        <f t="shared" si="66"/>
        <v>0</v>
      </c>
      <c r="X186" s="195">
        <f t="shared" si="66"/>
        <v>0</v>
      </c>
      <c r="Y186" s="195">
        <f t="shared" si="66"/>
        <v>0</v>
      </c>
      <c r="Z186" s="195">
        <f t="shared" si="66"/>
        <v>0</v>
      </c>
      <c r="AA186" s="195">
        <f t="shared" si="66"/>
        <v>0</v>
      </c>
      <c r="AB186" s="195">
        <f t="shared" si="66"/>
        <v>0</v>
      </c>
      <c r="AC186" s="195">
        <f t="shared" si="66"/>
        <v>0</v>
      </c>
      <c r="AD186" s="195">
        <f t="shared" si="66"/>
        <v>0</v>
      </c>
      <c r="AE186" s="195">
        <f t="shared" si="66"/>
        <v>0</v>
      </c>
      <c r="AF186" s="195">
        <f t="shared" si="66"/>
        <v>0</v>
      </c>
      <c r="AG186" s="195">
        <f t="shared" si="66"/>
        <v>0</v>
      </c>
      <c r="AH186" s="195">
        <f t="shared" si="66"/>
        <v>0</v>
      </c>
      <c r="AI186" s="195">
        <f t="shared" si="66"/>
        <v>0</v>
      </c>
      <c r="AJ186" s="195">
        <f t="shared" si="66"/>
        <v>0</v>
      </c>
      <c r="AK186" s="195">
        <f t="shared" si="66"/>
        <v>0</v>
      </c>
      <c r="AL186" s="195">
        <f t="shared" si="66"/>
        <v>505000000</v>
      </c>
      <c r="AM186" s="195">
        <f t="shared" si="66"/>
        <v>0</v>
      </c>
      <c r="AN186" s="195">
        <f t="shared" si="66"/>
        <v>0</v>
      </c>
      <c r="AO186" s="195">
        <f t="shared" ref="AO186:AP186" si="67">SUM(AO183:AO185)</f>
        <v>0</v>
      </c>
      <c r="AP186" s="195">
        <f t="shared" si="67"/>
        <v>505000000</v>
      </c>
    </row>
    <row r="187" spans="1:50" s="28" customFormat="1" ht="20.25" customHeight="1" x14ac:dyDescent="0.25">
      <c r="A187" s="353"/>
      <c r="B187" s="29"/>
      <c r="C187" s="454"/>
      <c r="D187" s="214"/>
      <c r="E187" s="454"/>
      <c r="F187" s="454"/>
      <c r="G187" s="265"/>
      <c r="H187" s="153"/>
      <c r="I187" s="362"/>
      <c r="J187" s="215"/>
      <c r="K187" s="215"/>
      <c r="L187" s="215"/>
      <c r="M187" s="216"/>
      <c r="N187" s="214"/>
      <c r="O187" s="454"/>
      <c r="P187" s="217"/>
      <c r="Q187" s="217"/>
      <c r="R187" s="217"/>
      <c r="S187" s="217"/>
      <c r="T187" s="217"/>
      <c r="U187" s="217"/>
      <c r="V187" s="217"/>
      <c r="W187" s="217"/>
      <c r="X187" s="217"/>
      <c r="Y187" s="217"/>
      <c r="Z187" s="217"/>
      <c r="AA187" s="217"/>
      <c r="AB187" s="217"/>
      <c r="AC187" s="217"/>
      <c r="AD187" s="217"/>
      <c r="AE187" s="217"/>
      <c r="AF187" s="217"/>
      <c r="AG187" s="217"/>
      <c r="AH187" s="217"/>
      <c r="AI187" s="217"/>
      <c r="AJ187" s="217"/>
      <c r="AK187" s="217"/>
      <c r="AL187" s="219"/>
      <c r="AM187" s="220"/>
      <c r="AN187" s="217"/>
      <c r="AO187" s="217"/>
      <c r="AP187" s="217"/>
    </row>
    <row r="188" spans="1:50" s="196" customFormat="1" ht="27" customHeight="1" x14ac:dyDescent="0.25">
      <c r="A188" s="353"/>
      <c r="B188" s="29"/>
      <c r="C188" s="848"/>
      <c r="D188" s="224"/>
      <c r="E188" s="224"/>
      <c r="F188" s="225"/>
      <c r="G188" s="226">
        <v>86</v>
      </c>
      <c r="H188" s="227" t="s">
        <v>240</v>
      </c>
      <c r="I188" s="227"/>
      <c r="J188" s="227"/>
      <c r="K188" s="227"/>
      <c r="L188" s="227"/>
      <c r="M188" s="227"/>
      <c r="N188" s="227"/>
      <c r="O188" s="227"/>
      <c r="P188" s="227"/>
      <c r="Q188" s="227"/>
      <c r="R188" s="227"/>
      <c r="S188" s="227"/>
      <c r="T188" s="227"/>
      <c r="U188" s="227"/>
      <c r="V188" s="227"/>
      <c r="W188" s="227"/>
      <c r="X188" s="227"/>
      <c r="Y188" s="227"/>
      <c r="Z188" s="227"/>
      <c r="AA188" s="227"/>
      <c r="AB188" s="227"/>
      <c r="AC188" s="227"/>
      <c r="AD188" s="227"/>
      <c r="AE188" s="227"/>
      <c r="AF188" s="227"/>
      <c r="AG188" s="227"/>
      <c r="AH188" s="227"/>
      <c r="AI188" s="227"/>
      <c r="AJ188" s="227"/>
      <c r="AK188" s="227"/>
      <c r="AL188" s="229"/>
      <c r="AM188" s="227"/>
      <c r="AN188" s="227"/>
      <c r="AO188" s="227"/>
      <c r="AP188" s="230"/>
    </row>
    <row r="189" spans="1:50" s="196" customFormat="1" ht="116.25" customHeight="1" x14ac:dyDescent="0.25">
      <c r="A189" s="353"/>
      <c r="B189" s="29"/>
      <c r="C189" s="150">
        <v>37</v>
      </c>
      <c r="D189" s="151" t="s">
        <v>231</v>
      </c>
      <c r="E189" s="152">
        <v>54.61</v>
      </c>
      <c r="F189" s="152">
        <v>60</v>
      </c>
      <c r="G189" s="23"/>
      <c r="H189" s="152">
        <v>255</v>
      </c>
      <c r="I189" s="7" t="s">
        <v>241</v>
      </c>
      <c r="J189" s="24">
        <v>12</v>
      </c>
      <c r="K189" s="24">
        <v>12</v>
      </c>
      <c r="L189" s="25" t="s">
        <v>72</v>
      </c>
      <c r="M189" s="38" t="s">
        <v>242</v>
      </c>
      <c r="N189" s="151" t="s">
        <v>243</v>
      </c>
      <c r="O189" s="58" t="s">
        <v>44</v>
      </c>
      <c r="P189" s="26">
        <v>0</v>
      </c>
      <c r="Q189" s="26">
        <v>0</v>
      </c>
      <c r="R189" s="26">
        <v>0</v>
      </c>
      <c r="S189" s="26">
        <v>0</v>
      </c>
      <c r="T189" s="26">
        <v>0</v>
      </c>
      <c r="U189" s="26">
        <v>0</v>
      </c>
      <c r="V189" s="26">
        <v>0</v>
      </c>
      <c r="W189" s="26"/>
      <c r="X189" s="26"/>
      <c r="Y189" s="26"/>
      <c r="Z189" s="26">
        <v>0</v>
      </c>
      <c r="AA189" s="26"/>
      <c r="AB189" s="26">
        <v>0</v>
      </c>
      <c r="AC189" s="26">
        <v>0</v>
      </c>
      <c r="AD189" s="304"/>
      <c r="AE189" s="304"/>
      <c r="AF189" s="304"/>
      <c r="AG189" s="304"/>
      <c r="AH189" s="304"/>
      <c r="AI189" s="304"/>
      <c r="AJ189" s="26">
        <v>0</v>
      </c>
      <c r="AK189" s="26">
        <v>0</v>
      </c>
      <c r="AL189" s="115">
        <f>80000000+20500000</f>
        <v>100500000</v>
      </c>
      <c r="AM189" s="11"/>
      <c r="AN189" s="26">
        <v>0</v>
      </c>
      <c r="AO189" s="27">
        <v>0</v>
      </c>
      <c r="AP189" s="26">
        <f>P189+Q189+R189+S189+T189+U189+V189+W189+X189+Y189+Z189+AA189+AB189+AC189+AD189+AE189+AF189+AG189+AH189+AI189+AJ189+AK189+AL189+AM189+AN189+AO189</f>
        <v>100500000</v>
      </c>
    </row>
    <row r="190" spans="1:50" s="48" customFormat="1" ht="27" customHeight="1" x14ac:dyDescent="0.25">
      <c r="A190" s="353"/>
      <c r="B190" s="29"/>
      <c r="C190" s="852"/>
      <c r="D190" s="828"/>
      <c r="E190" s="826"/>
      <c r="F190" s="826"/>
      <c r="G190" s="258"/>
      <c r="H190" s="259"/>
      <c r="I190" s="258"/>
      <c r="J190" s="354"/>
      <c r="K190" s="354"/>
      <c r="L190" s="354"/>
      <c r="M190" s="355"/>
      <c r="N190" s="258"/>
      <c r="O190" s="259"/>
      <c r="P190" s="356">
        <f t="shared" ref="P190:AK190" si="68">SUM(P189:P189)</f>
        <v>0</v>
      </c>
      <c r="Q190" s="356">
        <f t="shared" si="68"/>
        <v>0</v>
      </c>
      <c r="R190" s="356">
        <f t="shared" si="68"/>
        <v>0</v>
      </c>
      <c r="S190" s="356">
        <f t="shared" si="68"/>
        <v>0</v>
      </c>
      <c r="T190" s="356">
        <f t="shared" si="68"/>
        <v>0</v>
      </c>
      <c r="U190" s="356">
        <f t="shared" si="68"/>
        <v>0</v>
      </c>
      <c r="V190" s="356">
        <f t="shared" si="68"/>
        <v>0</v>
      </c>
      <c r="W190" s="356">
        <f t="shared" si="68"/>
        <v>0</v>
      </c>
      <c r="X190" s="356">
        <f t="shared" si="68"/>
        <v>0</v>
      </c>
      <c r="Y190" s="356">
        <f t="shared" si="68"/>
        <v>0</v>
      </c>
      <c r="Z190" s="356">
        <f t="shared" si="68"/>
        <v>0</v>
      </c>
      <c r="AA190" s="356">
        <f t="shared" si="68"/>
        <v>0</v>
      </c>
      <c r="AB190" s="356">
        <f t="shared" si="68"/>
        <v>0</v>
      </c>
      <c r="AC190" s="356">
        <f t="shared" si="68"/>
        <v>0</v>
      </c>
      <c r="AD190" s="356">
        <f t="shared" si="68"/>
        <v>0</v>
      </c>
      <c r="AE190" s="356">
        <f t="shared" si="68"/>
        <v>0</v>
      </c>
      <c r="AF190" s="356">
        <f t="shared" si="68"/>
        <v>0</v>
      </c>
      <c r="AG190" s="356">
        <f t="shared" si="68"/>
        <v>0</v>
      </c>
      <c r="AH190" s="356">
        <f t="shared" si="68"/>
        <v>0</v>
      </c>
      <c r="AI190" s="356">
        <f t="shared" si="68"/>
        <v>0</v>
      </c>
      <c r="AJ190" s="356">
        <f t="shared" si="68"/>
        <v>0</v>
      </c>
      <c r="AK190" s="356">
        <f t="shared" si="68"/>
        <v>0</v>
      </c>
      <c r="AL190" s="356">
        <f t="shared" ref="AL190:AP190" si="69">SUM(AL189:AL189)</f>
        <v>100500000</v>
      </c>
      <c r="AM190" s="356">
        <f t="shared" si="69"/>
        <v>0</v>
      </c>
      <c r="AN190" s="356">
        <f t="shared" si="69"/>
        <v>0</v>
      </c>
      <c r="AO190" s="356">
        <f t="shared" si="69"/>
        <v>0</v>
      </c>
      <c r="AP190" s="356">
        <f t="shared" si="69"/>
        <v>100500000</v>
      </c>
    </row>
    <row r="191" spans="1:50" s="363" customFormat="1" ht="23.25" customHeight="1" x14ac:dyDescent="0.25">
      <c r="A191" s="860"/>
      <c r="B191" s="198"/>
      <c r="C191" s="199"/>
      <c r="D191" s="198"/>
      <c r="E191" s="199"/>
      <c r="F191" s="199"/>
      <c r="G191" s="198"/>
      <c r="H191" s="199"/>
      <c r="I191" s="198"/>
      <c r="J191" s="200"/>
      <c r="K191" s="200"/>
      <c r="L191" s="200"/>
      <c r="M191" s="201"/>
      <c r="N191" s="198"/>
      <c r="O191" s="199"/>
      <c r="P191" s="202">
        <f t="shared" ref="P191:AK191" si="70">P190+P186</f>
        <v>0</v>
      </c>
      <c r="Q191" s="202">
        <f t="shared" si="70"/>
        <v>0</v>
      </c>
      <c r="R191" s="202">
        <f t="shared" si="70"/>
        <v>0</v>
      </c>
      <c r="S191" s="202">
        <f t="shared" si="70"/>
        <v>0</v>
      </c>
      <c r="T191" s="202">
        <f t="shared" si="70"/>
        <v>0</v>
      </c>
      <c r="U191" s="202">
        <f t="shared" si="70"/>
        <v>0</v>
      </c>
      <c r="V191" s="202">
        <f t="shared" si="70"/>
        <v>0</v>
      </c>
      <c r="W191" s="202">
        <f t="shared" si="70"/>
        <v>0</v>
      </c>
      <c r="X191" s="202">
        <f t="shared" si="70"/>
        <v>0</v>
      </c>
      <c r="Y191" s="202">
        <f t="shared" si="70"/>
        <v>0</v>
      </c>
      <c r="Z191" s="202">
        <f t="shared" si="70"/>
        <v>0</v>
      </c>
      <c r="AA191" s="202">
        <f t="shared" si="70"/>
        <v>0</v>
      </c>
      <c r="AB191" s="202">
        <f t="shared" si="70"/>
        <v>0</v>
      </c>
      <c r="AC191" s="202">
        <f t="shared" si="70"/>
        <v>0</v>
      </c>
      <c r="AD191" s="202">
        <f t="shared" si="70"/>
        <v>0</v>
      </c>
      <c r="AE191" s="202">
        <f t="shared" si="70"/>
        <v>0</v>
      </c>
      <c r="AF191" s="202">
        <f t="shared" si="70"/>
        <v>0</v>
      </c>
      <c r="AG191" s="202">
        <f t="shared" si="70"/>
        <v>0</v>
      </c>
      <c r="AH191" s="202">
        <f t="shared" si="70"/>
        <v>0</v>
      </c>
      <c r="AI191" s="202">
        <f t="shared" si="70"/>
        <v>0</v>
      </c>
      <c r="AJ191" s="202">
        <f t="shared" si="70"/>
        <v>0</v>
      </c>
      <c r="AK191" s="202">
        <f t="shared" si="70"/>
        <v>0</v>
      </c>
      <c r="AL191" s="202">
        <f t="shared" ref="AL191:AP191" si="71">AL190+AL186</f>
        <v>605500000</v>
      </c>
      <c r="AM191" s="202">
        <f t="shared" si="71"/>
        <v>0</v>
      </c>
      <c r="AN191" s="202">
        <f t="shared" si="71"/>
        <v>0</v>
      </c>
      <c r="AO191" s="202">
        <f t="shared" si="71"/>
        <v>0</v>
      </c>
      <c r="AP191" s="202">
        <f t="shared" si="71"/>
        <v>605500000</v>
      </c>
    </row>
    <row r="192" spans="1:50" s="196" customFormat="1" ht="23.25" customHeight="1" x14ac:dyDescent="0.25">
      <c r="A192" s="855"/>
      <c r="B192" s="855"/>
      <c r="C192" s="856"/>
      <c r="D192" s="855"/>
      <c r="E192" s="856"/>
      <c r="F192" s="856"/>
      <c r="G192" s="855"/>
      <c r="H192" s="856"/>
      <c r="I192" s="855"/>
      <c r="J192" s="857"/>
      <c r="K192" s="857"/>
      <c r="L192" s="857"/>
      <c r="M192" s="858"/>
      <c r="N192" s="855"/>
      <c r="O192" s="856"/>
      <c r="P192" s="859">
        <f t="shared" ref="P192:AK192" si="72">P191+P179</f>
        <v>0</v>
      </c>
      <c r="Q192" s="859">
        <f t="shared" si="72"/>
        <v>0</v>
      </c>
      <c r="R192" s="859">
        <f t="shared" si="72"/>
        <v>0</v>
      </c>
      <c r="S192" s="859">
        <f t="shared" si="72"/>
        <v>0</v>
      </c>
      <c r="T192" s="859">
        <f t="shared" si="72"/>
        <v>0</v>
      </c>
      <c r="U192" s="859">
        <f t="shared" si="72"/>
        <v>0</v>
      </c>
      <c r="V192" s="859">
        <f t="shared" si="72"/>
        <v>0</v>
      </c>
      <c r="W192" s="859">
        <f t="shared" si="72"/>
        <v>0</v>
      </c>
      <c r="X192" s="859">
        <f t="shared" si="72"/>
        <v>0</v>
      </c>
      <c r="Y192" s="859">
        <f t="shared" si="72"/>
        <v>0</v>
      </c>
      <c r="Z192" s="859">
        <f t="shared" si="72"/>
        <v>0</v>
      </c>
      <c r="AA192" s="859">
        <f t="shared" si="72"/>
        <v>0</v>
      </c>
      <c r="AB192" s="859">
        <f t="shared" si="72"/>
        <v>0</v>
      </c>
      <c r="AC192" s="859">
        <f t="shared" si="72"/>
        <v>0</v>
      </c>
      <c r="AD192" s="859">
        <f t="shared" si="72"/>
        <v>0</v>
      </c>
      <c r="AE192" s="859">
        <f t="shared" si="72"/>
        <v>0</v>
      </c>
      <c r="AF192" s="859">
        <f t="shared" si="72"/>
        <v>0</v>
      </c>
      <c r="AG192" s="859">
        <f t="shared" si="72"/>
        <v>0</v>
      </c>
      <c r="AH192" s="859">
        <f t="shared" si="72"/>
        <v>0</v>
      </c>
      <c r="AI192" s="859">
        <f t="shared" si="72"/>
        <v>0</v>
      </c>
      <c r="AJ192" s="859">
        <f t="shared" si="72"/>
        <v>0</v>
      </c>
      <c r="AK192" s="859">
        <f t="shared" si="72"/>
        <v>0</v>
      </c>
      <c r="AL192" s="859">
        <f t="shared" ref="AL192:AP192" si="73">AL191+AL179</f>
        <v>645500000</v>
      </c>
      <c r="AM192" s="859">
        <f t="shared" si="73"/>
        <v>0</v>
      </c>
      <c r="AN192" s="859">
        <f t="shared" si="73"/>
        <v>0</v>
      </c>
      <c r="AO192" s="859">
        <f t="shared" si="73"/>
        <v>0</v>
      </c>
      <c r="AP192" s="859">
        <f t="shared" si="73"/>
        <v>645500000</v>
      </c>
    </row>
    <row r="193" spans="1:42" s="196" customFormat="1" ht="23.25" customHeight="1" x14ac:dyDescent="0.25">
      <c r="A193" s="208"/>
      <c r="B193" s="208"/>
      <c r="C193" s="209"/>
      <c r="D193" s="208"/>
      <c r="E193" s="209"/>
      <c r="F193" s="209"/>
      <c r="G193" s="208"/>
      <c r="H193" s="209"/>
      <c r="I193" s="208"/>
      <c r="J193" s="210"/>
      <c r="K193" s="210"/>
      <c r="L193" s="210"/>
      <c r="M193" s="211"/>
      <c r="N193" s="208"/>
      <c r="O193" s="209"/>
      <c r="P193" s="212">
        <f t="shared" ref="P193:AK193" si="74">P192+P172</f>
        <v>0</v>
      </c>
      <c r="Q193" s="212">
        <f t="shared" si="74"/>
        <v>0</v>
      </c>
      <c r="R193" s="212">
        <f t="shared" si="74"/>
        <v>0</v>
      </c>
      <c r="S193" s="212">
        <f t="shared" si="74"/>
        <v>9209631612</v>
      </c>
      <c r="T193" s="212">
        <f t="shared" si="74"/>
        <v>0</v>
      </c>
      <c r="U193" s="212">
        <f t="shared" si="74"/>
        <v>0</v>
      </c>
      <c r="V193" s="212">
        <f t="shared" si="74"/>
        <v>0</v>
      </c>
      <c r="W193" s="212">
        <f t="shared" si="74"/>
        <v>0</v>
      </c>
      <c r="X193" s="212">
        <f t="shared" si="74"/>
        <v>0</v>
      </c>
      <c r="Y193" s="212">
        <f t="shared" si="74"/>
        <v>0</v>
      </c>
      <c r="Z193" s="212">
        <f t="shared" si="74"/>
        <v>0</v>
      </c>
      <c r="AA193" s="212">
        <f t="shared" si="74"/>
        <v>0</v>
      </c>
      <c r="AB193" s="212">
        <f t="shared" si="74"/>
        <v>0</v>
      </c>
      <c r="AC193" s="212">
        <f t="shared" si="74"/>
        <v>0</v>
      </c>
      <c r="AD193" s="212">
        <f t="shared" si="74"/>
        <v>0</v>
      </c>
      <c r="AE193" s="212">
        <f t="shared" si="74"/>
        <v>0</v>
      </c>
      <c r="AF193" s="212">
        <f t="shared" si="74"/>
        <v>0</v>
      </c>
      <c r="AG193" s="212">
        <f t="shared" si="74"/>
        <v>0</v>
      </c>
      <c r="AH193" s="212">
        <f t="shared" si="74"/>
        <v>0</v>
      </c>
      <c r="AI193" s="212">
        <f t="shared" si="74"/>
        <v>0</v>
      </c>
      <c r="AJ193" s="212">
        <f t="shared" si="74"/>
        <v>0</v>
      </c>
      <c r="AK193" s="212">
        <f t="shared" si="74"/>
        <v>0</v>
      </c>
      <c r="AL193" s="212">
        <f t="shared" ref="AL193:AP193" si="75">AL192+AL172</f>
        <v>2154349775.75</v>
      </c>
      <c r="AM193" s="212">
        <f t="shared" si="75"/>
        <v>0</v>
      </c>
      <c r="AN193" s="212">
        <f t="shared" si="75"/>
        <v>0</v>
      </c>
      <c r="AO193" s="212">
        <f t="shared" si="75"/>
        <v>0</v>
      </c>
      <c r="AP193" s="212">
        <f t="shared" si="75"/>
        <v>11363981387.75</v>
      </c>
    </row>
    <row r="194" spans="1:42" s="28" customFormat="1" ht="21" customHeight="1" x14ac:dyDescent="0.25">
      <c r="A194" s="277"/>
      <c r="B194" s="265"/>
      <c r="C194" s="153"/>
      <c r="D194" s="265"/>
      <c r="E194" s="153"/>
      <c r="F194" s="153"/>
      <c r="G194" s="265"/>
      <c r="H194" s="153"/>
      <c r="I194" s="265"/>
      <c r="J194" s="278"/>
      <c r="K194" s="278"/>
      <c r="L194" s="278"/>
      <c r="M194" s="279"/>
      <c r="N194" s="265"/>
      <c r="O194" s="153"/>
      <c r="P194" s="280"/>
      <c r="Q194" s="280"/>
      <c r="R194" s="280"/>
      <c r="S194" s="280"/>
      <c r="T194" s="280"/>
      <c r="U194" s="280"/>
      <c r="V194" s="280"/>
      <c r="W194" s="280"/>
      <c r="X194" s="280"/>
      <c r="Y194" s="280"/>
      <c r="Z194" s="280"/>
      <c r="AA194" s="280"/>
      <c r="AB194" s="280"/>
      <c r="AC194" s="280"/>
      <c r="AD194" s="281"/>
      <c r="AE194" s="281"/>
      <c r="AF194" s="281"/>
      <c r="AG194" s="281"/>
      <c r="AH194" s="281"/>
      <c r="AI194" s="281"/>
      <c r="AJ194" s="280"/>
      <c r="AK194" s="280"/>
      <c r="AL194" s="113"/>
      <c r="AM194" s="364"/>
      <c r="AN194" s="280"/>
      <c r="AO194" s="280"/>
      <c r="AP194" s="283"/>
    </row>
    <row r="195" spans="1:42" s="196" customFormat="1" ht="20.25" x14ac:dyDescent="0.25">
      <c r="A195" s="284" t="s">
        <v>244</v>
      </c>
      <c r="B195" s="285"/>
      <c r="C195" s="286"/>
      <c r="D195" s="285"/>
      <c r="E195" s="285"/>
      <c r="F195" s="285"/>
      <c r="G195" s="285"/>
      <c r="H195" s="286"/>
      <c r="I195" s="285"/>
      <c r="J195" s="285"/>
      <c r="K195" s="285"/>
      <c r="L195" s="285"/>
      <c r="M195" s="287"/>
      <c r="N195" s="285"/>
      <c r="O195" s="286"/>
      <c r="P195" s="285"/>
      <c r="Q195" s="285"/>
      <c r="R195" s="285"/>
      <c r="S195" s="285"/>
      <c r="T195" s="285"/>
      <c r="U195" s="285"/>
      <c r="V195" s="285"/>
      <c r="W195" s="285"/>
      <c r="X195" s="285"/>
      <c r="Y195" s="285"/>
      <c r="Z195" s="285"/>
      <c r="AA195" s="285"/>
      <c r="AB195" s="285"/>
      <c r="AC195" s="285"/>
      <c r="AD195" s="285"/>
      <c r="AE195" s="285"/>
      <c r="AF195" s="285"/>
      <c r="AG195" s="285"/>
      <c r="AH195" s="285"/>
      <c r="AI195" s="285"/>
      <c r="AJ195" s="285"/>
      <c r="AK195" s="285"/>
      <c r="AL195" s="365"/>
      <c r="AM195" s="289"/>
      <c r="AN195" s="285"/>
      <c r="AO195" s="285"/>
      <c r="AP195" s="366" t="s">
        <v>0</v>
      </c>
    </row>
    <row r="196" spans="1:42" s="28" customFormat="1" ht="20.25" customHeight="1" x14ac:dyDescent="0.25">
      <c r="A196" s="173">
        <v>3</v>
      </c>
      <c r="B196" s="174" t="s">
        <v>245</v>
      </c>
      <c r="C196" s="175"/>
      <c r="D196" s="174"/>
      <c r="E196" s="174"/>
      <c r="F196" s="174"/>
      <c r="G196" s="174"/>
      <c r="H196" s="175"/>
      <c r="I196" s="174"/>
      <c r="J196" s="174"/>
      <c r="K196" s="174"/>
      <c r="L196" s="174"/>
      <c r="M196" s="176"/>
      <c r="N196" s="174"/>
      <c r="O196" s="174"/>
      <c r="P196" s="174"/>
      <c r="Q196" s="174"/>
      <c r="R196" s="174"/>
      <c r="S196" s="174"/>
      <c r="T196" s="174"/>
      <c r="U196" s="174"/>
      <c r="V196" s="174"/>
      <c r="W196" s="174"/>
      <c r="X196" s="174"/>
      <c r="Y196" s="174"/>
      <c r="Z196" s="174"/>
      <c r="AA196" s="174"/>
      <c r="AB196" s="174"/>
      <c r="AC196" s="174"/>
      <c r="AD196" s="174"/>
      <c r="AE196" s="174"/>
      <c r="AF196" s="174"/>
      <c r="AG196" s="174"/>
      <c r="AH196" s="174"/>
      <c r="AI196" s="174"/>
      <c r="AJ196" s="174"/>
      <c r="AK196" s="174"/>
      <c r="AL196" s="177"/>
      <c r="AM196" s="174"/>
      <c r="AN196" s="174"/>
      <c r="AO196" s="174"/>
      <c r="AP196" s="178"/>
    </row>
    <row r="197" spans="1:42" s="28" customFormat="1" ht="21" customHeight="1" x14ac:dyDescent="0.25">
      <c r="A197" s="223"/>
      <c r="B197" s="291">
        <v>9</v>
      </c>
      <c r="C197" s="181" t="s">
        <v>246</v>
      </c>
      <c r="D197" s="182"/>
      <c r="E197" s="182"/>
      <c r="F197" s="182"/>
      <c r="G197" s="182"/>
      <c r="H197" s="183"/>
      <c r="I197" s="182"/>
      <c r="J197" s="182"/>
      <c r="K197" s="182"/>
      <c r="L197" s="182"/>
      <c r="M197" s="184"/>
      <c r="N197" s="182"/>
      <c r="O197" s="182"/>
      <c r="P197" s="182"/>
      <c r="Q197" s="182"/>
      <c r="R197" s="182"/>
      <c r="S197" s="182"/>
      <c r="T197" s="182"/>
      <c r="U197" s="182"/>
      <c r="V197" s="182"/>
      <c r="W197" s="182"/>
      <c r="X197" s="182"/>
      <c r="Y197" s="182"/>
      <c r="Z197" s="182"/>
      <c r="AA197" s="182"/>
      <c r="AB197" s="182"/>
      <c r="AC197" s="182"/>
      <c r="AD197" s="182"/>
      <c r="AE197" s="182"/>
      <c r="AF197" s="182"/>
      <c r="AG197" s="182"/>
      <c r="AH197" s="182"/>
      <c r="AI197" s="182"/>
      <c r="AJ197" s="182"/>
      <c r="AK197" s="182"/>
      <c r="AL197" s="185"/>
      <c r="AM197" s="182"/>
      <c r="AN197" s="182"/>
      <c r="AO197" s="182"/>
      <c r="AP197" s="186"/>
    </row>
    <row r="198" spans="1:42" s="28" customFormat="1" ht="21.75" customHeight="1" x14ac:dyDescent="0.25">
      <c r="A198" s="20"/>
      <c r="B198" s="223"/>
      <c r="C198" s="292"/>
      <c r="D198" s="224"/>
      <c r="E198" s="224"/>
      <c r="F198" s="225"/>
      <c r="G198" s="226">
        <v>29</v>
      </c>
      <c r="H198" s="227" t="s">
        <v>247</v>
      </c>
      <c r="I198" s="227"/>
      <c r="J198" s="227"/>
      <c r="K198" s="227"/>
      <c r="L198" s="227"/>
      <c r="M198" s="227"/>
      <c r="N198" s="227"/>
      <c r="O198" s="227"/>
      <c r="P198" s="227"/>
      <c r="Q198" s="227"/>
      <c r="R198" s="227"/>
      <c r="S198" s="227"/>
      <c r="T198" s="227"/>
      <c r="U198" s="227"/>
      <c r="V198" s="227"/>
      <c r="W198" s="227"/>
      <c r="X198" s="227"/>
      <c r="Y198" s="227"/>
      <c r="Z198" s="227"/>
      <c r="AA198" s="227"/>
      <c r="AB198" s="227"/>
      <c r="AC198" s="227"/>
      <c r="AD198" s="227"/>
      <c r="AE198" s="227"/>
      <c r="AF198" s="227"/>
      <c r="AG198" s="227"/>
      <c r="AH198" s="227"/>
      <c r="AI198" s="227"/>
      <c r="AJ198" s="227"/>
      <c r="AK198" s="227"/>
      <c r="AL198" s="229"/>
      <c r="AM198" s="227"/>
      <c r="AN198" s="227"/>
      <c r="AO198" s="227"/>
      <c r="AP198" s="230"/>
    </row>
    <row r="199" spans="1:42" s="28" customFormat="1" ht="179.25" customHeight="1" x14ac:dyDescent="0.25">
      <c r="A199" s="20"/>
      <c r="B199" s="20"/>
      <c r="C199" s="144" t="s">
        <v>248</v>
      </c>
      <c r="D199" s="374" t="s">
        <v>249</v>
      </c>
      <c r="E199" s="375" t="s">
        <v>250</v>
      </c>
      <c r="F199" s="135" t="s">
        <v>251</v>
      </c>
      <c r="G199" s="29"/>
      <c r="H199" s="827">
        <v>114</v>
      </c>
      <c r="I199" s="138" t="s">
        <v>252</v>
      </c>
      <c r="J199" s="620" t="s">
        <v>36</v>
      </c>
      <c r="K199" s="135">
        <v>30</v>
      </c>
      <c r="L199" s="135" t="s">
        <v>253</v>
      </c>
      <c r="M199" s="38" t="s">
        <v>254</v>
      </c>
      <c r="N199" s="137" t="s">
        <v>255</v>
      </c>
      <c r="O199" s="135" t="s">
        <v>44</v>
      </c>
      <c r="P199" s="367">
        <f>158620000+737538491</f>
        <v>896158491</v>
      </c>
      <c r="Q199" s="109"/>
      <c r="R199" s="109"/>
      <c r="S199" s="109"/>
      <c r="T199" s="109"/>
      <c r="U199" s="109"/>
      <c r="V199" s="109"/>
      <c r="W199" s="109"/>
      <c r="X199" s="109"/>
      <c r="Y199" s="109"/>
      <c r="Z199" s="109"/>
      <c r="AA199" s="109"/>
      <c r="AB199" s="109"/>
      <c r="AC199" s="109"/>
      <c r="AD199" s="109"/>
      <c r="AE199" s="109"/>
      <c r="AF199" s="109"/>
      <c r="AG199" s="109"/>
      <c r="AH199" s="109"/>
      <c r="AI199" s="109"/>
      <c r="AJ199" s="109"/>
      <c r="AK199" s="109"/>
      <c r="AL199" s="368"/>
      <c r="AM199" s="369"/>
      <c r="AN199" s="109"/>
      <c r="AO199" s="370"/>
      <c r="AP199" s="26">
        <f>P199+Q199+R199+S199+T199+U199+V199+W199+X199+Y199+Z199+AA199+AB199+AC199+AD199+AE199+AF199+AG199+AH199+AI199+AJ199+AK199+AL199+AM199+AN199+AO199</f>
        <v>896158491</v>
      </c>
    </row>
    <row r="200" spans="1:42" s="28" customFormat="1" ht="88.5" customHeight="1" x14ac:dyDescent="0.25">
      <c r="A200" s="20"/>
      <c r="B200" s="20"/>
      <c r="C200" s="864" t="s">
        <v>248</v>
      </c>
      <c r="D200" s="964" t="s">
        <v>256</v>
      </c>
      <c r="E200" s="1012" t="s">
        <v>250</v>
      </c>
      <c r="F200" s="876" t="s">
        <v>250</v>
      </c>
      <c r="G200" s="29"/>
      <c r="H200" s="827">
        <v>114</v>
      </c>
      <c r="I200" s="138" t="s">
        <v>252</v>
      </c>
      <c r="J200" s="620" t="s">
        <v>36</v>
      </c>
      <c r="K200" s="810">
        <v>30</v>
      </c>
      <c r="L200" s="876" t="s">
        <v>253</v>
      </c>
      <c r="M200" s="908" t="s">
        <v>257</v>
      </c>
      <c r="N200" s="893" t="s">
        <v>258</v>
      </c>
      <c r="O200" s="135" t="s">
        <v>44</v>
      </c>
      <c r="P200" s="371">
        <v>0</v>
      </c>
      <c r="Q200" s="45">
        <v>0</v>
      </c>
      <c r="R200" s="45">
        <v>0</v>
      </c>
      <c r="S200" s="45">
        <v>0</v>
      </c>
      <c r="T200" s="45">
        <v>0</v>
      </c>
      <c r="U200" s="45">
        <v>0</v>
      </c>
      <c r="V200" s="45">
        <v>0</v>
      </c>
      <c r="W200" s="45"/>
      <c r="X200" s="45"/>
      <c r="Y200" s="45"/>
      <c r="Z200" s="45">
        <v>0</v>
      </c>
      <c r="AA200" s="45"/>
      <c r="AB200" s="45">
        <v>0</v>
      </c>
      <c r="AC200" s="45">
        <v>0</v>
      </c>
      <c r="AD200" s="45"/>
      <c r="AE200" s="45"/>
      <c r="AF200" s="45"/>
      <c r="AG200" s="45"/>
      <c r="AH200" s="45"/>
      <c r="AI200" s="45"/>
      <c r="AJ200" s="45">
        <v>0</v>
      </c>
      <c r="AK200" s="45">
        <v>0</v>
      </c>
      <c r="AL200" s="368">
        <f>175100000+240000000+450000000+300000000</f>
        <v>1165100000</v>
      </c>
      <c r="AM200" s="369"/>
      <c r="AN200" s="45">
        <v>0</v>
      </c>
      <c r="AO200" s="372">
        <v>0</v>
      </c>
      <c r="AP200" s="26">
        <f>P200+Q200+R200+S200+T200+U200+V200+W200+X200+Y200+Z200+AA200+AB200+AC200+AD200+AE200+AF200+AG200+AH200+AI200+AJ200+AK200+AL200+AM200+AN200+AO200</f>
        <v>1165100000</v>
      </c>
    </row>
    <row r="201" spans="1:42" s="28" customFormat="1" ht="68.25" customHeight="1" x14ac:dyDescent="0.25">
      <c r="A201" s="20"/>
      <c r="B201" s="20"/>
      <c r="C201" s="865"/>
      <c r="D201" s="965"/>
      <c r="E201" s="1013"/>
      <c r="F201" s="877"/>
      <c r="G201" s="29"/>
      <c r="H201" s="135">
        <v>115</v>
      </c>
      <c r="I201" s="151" t="s">
        <v>259</v>
      </c>
      <c r="J201" s="32">
        <v>0</v>
      </c>
      <c r="K201" s="373">
        <v>35</v>
      </c>
      <c r="L201" s="877"/>
      <c r="M201" s="908"/>
      <c r="N201" s="894"/>
      <c r="O201" s="152" t="s">
        <v>40</v>
      </c>
      <c r="P201" s="14">
        <f>793100000+566730870</f>
        <v>1359830870</v>
      </c>
      <c r="Q201" s="26">
        <v>0</v>
      </c>
      <c r="R201" s="26">
        <v>0</v>
      </c>
      <c r="S201" s="26">
        <v>0</v>
      </c>
      <c r="T201" s="26">
        <v>0</v>
      </c>
      <c r="U201" s="26">
        <v>0</v>
      </c>
      <c r="V201" s="26">
        <v>0</v>
      </c>
      <c r="W201" s="26"/>
      <c r="X201" s="26"/>
      <c r="Y201" s="26"/>
      <c r="Z201" s="26">
        <v>0</v>
      </c>
      <c r="AA201" s="26"/>
      <c r="AB201" s="26">
        <v>0</v>
      </c>
      <c r="AC201" s="26">
        <v>0</v>
      </c>
      <c r="AD201" s="26"/>
      <c r="AE201" s="26"/>
      <c r="AF201" s="26"/>
      <c r="AG201" s="26"/>
      <c r="AH201" s="26"/>
      <c r="AI201" s="26"/>
      <c r="AJ201" s="26">
        <v>0</v>
      </c>
      <c r="AK201" s="26">
        <v>0</v>
      </c>
      <c r="AL201" s="113">
        <f>400000000-400000000</f>
        <v>0</v>
      </c>
      <c r="AM201" s="39"/>
      <c r="AN201" s="26">
        <v>0</v>
      </c>
      <c r="AO201" s="27">
        <v>0</v>
      </c>
      <c r="AP201" s="26">
        <f>P201+Q201+R201+S201+T201+U201+V201+W201+X201+Y201+Z201+AA201+AB201+AC201+AD201+AE201+AF201+AG201+AH201+AI201+AJ201+AK201+AL201+AM201+AN201+AO201</f>
        <v>1359830870</v>
      </c>
    </row>
    <row r="202" spans="1:42" s="28" customFormat="1" ht="73.5" customHeight="1" x14ac:dyDescent="0.25">
      <c r="A202" s="20"/>
      <c r="B202" s="20"/>
      <c r="C202" s="866"/>
      <c r="D202" s="966"/>
      <c r="E202" s="1014"/>
      <c r="F202" s="887"/>
      <c r="G202" s="31"/>
      <c r="H202" s="135">
        <v>116</v>
      </c>
      <c r="I202" s="151" t="s">
        <v>260</v>
      </c>
      <c r="J202" s="32" t="s">
        <v>36</v>
      </c>
      <c r="K202" s="376">
        <v>11</v>
      </c>
      <c r="L202" s="887"/>
      <c r="M202" s="909"/>
      <c r="N202" s="895"/>
      <c r="O202" s="152" t="s">
        <v>40</v>
      </c>
      <c r="P202" s="377">
        <f>158620000+158211035</f>
        <v>316831035</v>
      </c>
      <c r="Q202" s="26">
        <v>0</v>
      </c>
      <c r="R202" s="26">
        <v>0</v>
      </c>
      <c r="S202" s="26">
        <v>0</v>
      </c>
      <c r="T202" s="26">
        <v>0</v>
      </c>
      <c r="U202" s="26">
        <v>0</v>
      </c>
      <c r="V202" s="26">
        <v>0</v>
      </c>
      <c r="W202" s="26"/>
      <c r="X202" s="26"/>
      <c r="Y202" s="26"/>
      <c r="Z202" s="26">
        <v>0</v>
      </c>
      <c r="AA202" s="26"/>
      <c r="AB202" s="26">
        <v>0</v>
      </c>
      <c r="AC202" s="26">
        <v>0</v>
      </c>
      <c r="AD202" s="26"/>
      <c r="AE202" s="26"/>
      <c r="AF202" s="26"/>
      <c r="AG202" s="26"/>
      <c r="AH202" s="26"/>
      <c r="AI202" s="26"/>
      <c r="AJ202" s="26">
        <v>0</v>
      </c>
      <c r="AK202" s="26">
        <v>0</v>
      </c>
      <c r="AL202" s="113">
        <f>50000000-50000000</f>
        <v>0</v>
      </c>
      <c r="AM202" s="39"/>
      <c r="AN202" s="26">
        <v>0</v>
      </c>
      <c r="AO202" s="27">
        <v>0</v>
      </c>
      <c r="AP202" s="26">
        <f>P202+Q202+R202+S202+T202+U202+V202+W202+X202+Y202+Z202+AA202+AB202+AC202+AD202+AE202+AF202+AG202+AH202+AI202+AJ202+AK202+AL202+AM202+AN202+AO202</f>
        <v>316831035</v>
      </c>
    </row>
    <row r="203" spans="1:42" s="196" customFormat="1" ht="15" x14ac:dyDescent="0.25">
      <c r="A203" s="20"/>
      <c r="B203" s="20"/>
      <c r="C203" s="292"/>
      <c r="D203" s="224"/>
      <c r="E203" s="224"/>
      <c r="F203" s="225"/>
      <c r="G203" s="191"/>
      <c r="H203" s="192"/>
      <c r="I203" s="191"/>
      <c r="J203" s="380"/>
      <c r="K203" s="192"/>
      <c r="L203" s="192"/>
      <c r="M203" s="194"/>
      <c r="N203" s="191"/>
      <c r="O203" s="192"/>
      <c r="P203" s="195">
        <f t="shared" ref="P203:AP203" si="76">SUM(P199:P202)</f>
        <v>2572820396</v>
      </c>
      <c r="Q203" s="195">
        <f t="shared" si="76"/>
        <v>0</v>
      </c>
      <c r="R203" s="195">
        <f t="shared" si="76"/>
        <v>0</v>
      </c>
      <c r="S203" s="195">
        <f t="shared" si="76"/>
        <v>0</v>
      </c>
      <c r="T203" s="195">
        <f t="shared" si="76"/>
        <v>0</v>
      </c>
      <c r="U203" s="195">
        <f t="shared" si="76"/>
        <v>0</v>
      </c>
      <c r="V203" s="195">
        <f t="shared" si="76"/>
        <v>0</v>
      </c>
      <c r="W203" s="195">
        <f t="shared" si="76"/>
        <v>0</v>
      </c>
      <c r="X203" s="195">
        <f t="shared" si="76"/>
        <v>0</v>
      </c>
      <c r="Y203" s="195">
        <f t="shared" si="76"/>
        <v>0</v>
      </c>
      <c r="Z203" s="195">
        <f t="shared" si="76"/>
        <v>0</v>
      </c>
      <c r="AA203" s="195">
        <f t="shared" si="76"/>
        <v>0</v>
      </c>
      <c r="AB203" s="195">
        <f t="shared" si="76"/>
        <v>0</v>
      </c>
      <c r="AC203" s="195">
        <f t="shared" si="76"/>
        <v>0</v>
      </c>
      <c r="AD203" s="195">
        <f t="shared" si="76"/>
        <v>0</v>
      </c>
      <c r="AE203" s="195">
        <f t="shared" si="76"/>
        <v>0</v>
      </c>
      <c r="AF203" s="195">
        <f t="shared" si="76"/>
        <v>0</v>
      </c>
      <c r="AG203" s="195">
        <f t="shared" si="76"/>
        <v>0</v>
      </c>
      <c r="AH203" s="195">
        <f t="shared" si="76"/>
        <v>0</v>
      </c>
      <c r="AI203" s="195">
        <f t="shared" si="76"/>
        <v>0</v>
      </c>
      <c r="AJ203" s="195">
        <f t="shared" si="76"/>
        <v>0</v>
      </c>
      <c r="AK203" s="195">
        <f t="shared" si="76"/>
        <v>0</v>
      </c>
      <c r="AL203" s="195">
        <f t="shared" si="76"/>
        <v>1165100000</v>
      </c>
      <c r="AM203" s="195">
        <f t="shared" si="76"/>
        <v>0</v>
      </c>
      <c r="AN203" s="195">
        <f t="shared" si="76"/>
        <v>0</v>
      </c>
      <c r="AO203" s="195">
        <f t="shared" si="76"/>
        <v>0</v>
      </c>
      <c r="AP203" s="195">
        <f t="shared" si="76"/>
        <v>3737920396</v>
      </c>
    </row>
    <row r="204" spans="1:42" s="28" customFormat="1" ht="15" x14ac:dyDescent="0.25">
      <c r="A204" s="20"/>
      <c r="B204" s="20"/>
      <c r="C204" s="154"/>
      <c r="D204" s="381"/>
      <c r="E204" s="382"/>
      <c r="F204" s="382"/>
      <c r="G204" s="214"/>
      <c r="H204" s="454"/>
      <c r="I204" s="214"/>
      <c r="J204" s="383"/>
      <c r="K204" s="454"/>
      <c r="L204" s="454"/>
      <c r="M204" s="216"/>
      <c r="N204" s="214"/>
      <c r="O204" s="454"/>
      <c r="P204" s="217"/>
      <c r="Q204" s="217"/>
      <c r="R204" s="217"/>
      <c r="S204" s="217"/>
      <c r="T204" s="217"/>
      <c r="U204" s="217"/>
      <c r="V204" s="217"/>
      <c r="W204" s="217"/>
      <c r="X204" s="217"/>
      <c r="Y204" s="217"/>
      <c r="Z204" s="217"/>
      <c r="AA204" s="217"/>
      <c r="AB204" s="217"/>
      <c r="AC204" s="217"/>
      <c r="AD204" s="217"/>
      <c r="AE204" s="217"/>
      <c r="AF204" s="217"/>
      <c r="AG204" s="217"/>
      <c r="AH204" s="217"/>
      <c r="AI204" s="217"/>
      <c r="AJ204" s="217"/>
      <c r="AK204" s="217"/>
      <c r="AL204" s="219"/>
      <c r="AM204" s="217"/>
      <c r="AN204" s="217"/>
      <c r="AO204" s="217"/>
      <c r="AP204" s="217"/>
    </row>
    <row r="205" spans="1:42" s="28" customFormat="1" ht="15" x14ac:dyDescent="0.25">
      <c r="A205" s="20"/>
      <c r="B205" s="20"/>
      <c r="C205" s="292"/>
      <c r="D205" s="224"/>
      <c r="E205" s="224"/>
      <c r="F205" s="225"/>
      <c r="G205" s="226">
        <v>30</v>
      </c>
      <c r="H205" s="227" t="s">
        <v>261</v>
      </c>
      <c r="I205" s="227"/>
      <c r="J205" s="227"/>
      <c r="K205" s="227"/>
      <c r="L205" s="227"/>
      <c r="M205" s="227"/>
      <c r="N205" s="227"/>
      <c r="O205" s="227"/>
      <c r="P205" s="227"/>
      <c r="Q205" s="227"/>
      <c r="R205" s="227"/>
      <c r="S205" s="227"/>
      <c r="T205" s="227"/>
      <c r="U205" s="227"/>
      <c r="V205" s="227"/>
      <c r="W205" s="227"/>
      <c r="X205" s="227"/>
      <c r="Y205" s="227"/>
      <c r="Z205" s="227"/>
      <c r="AA205" s="227"/>
      <c r="AB205" s="227"/>
      <c r="AC205" s="227"/>
      <c r="AD205" s="227"/>
      <c r="AE205" s="227"/>
      <c r="AF205" s="227"/>
      <c r="AG205" s="227"/>
      <c r="AH205" s="227"/>
      <c r="AI205" s="227"/>
      <c r="AJ205" s="227"/>
      <c r="AK205" s="227"/>
      <c r="AL205" s="229"/>
      <c r="AM205" s="227"/>
      <c r="AN205" s="227"/>
      <c r="AO205" s="227"/>
      <c r="AP205" s="230"/>
    </row>
    <row r="206" spans="1:42" s="196" customFormat="1" ht="114.75" customHeight="1" x14ac:dyDescent="0.25">
      <c r="A206" s="20"/>
      <c r="B206" s="20"/>
      <c r="C206" s="144" t="s">
        <v>262</v>
      </c>
      <c r="D206" s="399" t="s">
        <v>263</v>
      </c>
      <c r="E206" s="400" t="s">
        <v>264</v>
      </c>
      <c r="F206" s="349" t="s">
        <v>265</v>
      </c>
      <c r="G206" s="151"/>
      <c r="H206" s="152">
        <v>117</v>
      </c>
      <c r="I206" s="151" t="s">
        <v>266</v>
      </c>
      <c r="J206" s="32" t="s">
        <v>36</v>
      </c>
      <c r="K206" s="384">
        <v>1</v>
      </c>
      <c r="L206" s="384" t="s">
        <v>253</v>
      </c>
      <c r="M206" s="38" t="s">
        <v>267</v>
      </c>
      <c r="N206" s="151" t="s">
        <v>268</v>
      </c>
      <c r="O206" s="385" t="s">
        <v>40</v>
      </c>
      <c r="P206" s="304">
        <v>0</v>
      </c>
      <c r="Q206" s="386">
        <v>0</v>
      </c>
      <c r="R206" s="386">
        <v>0</v>
      </c>
      <c r="S206" s="386">
        <v>0</v>
      </c>
      <c r="T206" s="386">
        <v>0</v>
      </c>
      <c r="U206" s="386">
        <v>0</v>
      </c>
      <c r="V206" s="386">
        <v>0</v>
      </c>
      <c r="W206" s="386"/>
      <c r="X206" s="386"/>
      <c r="Y206" s="386"/>
      <c r="Z206" s="386">
        <v>0</v>
      </c>
      <c r="AA206" s="386"/>
      <c r="AB206" s="386">
        <v>0</v>
      </c>
      <c r="AC206" s="386">
        <v>0</v>
      </c>
      <c r="AD206" s="304"/>
      <c r="AE206" s="304"/>
      <c r="AF206" s="304"/>
      <c r="AG206" s="304"/>
      <c r="AH206" s="304"/>
      <c r="AI206" s="304"/>
      <c r="AJ206" s="386">
        <v>0</v>
      </c>
      <c r="AK206" s="386">
        <v>0</v>
      </c>
      <c r="AL206" s="113">
        <f>51500000+60000000+443025</f>
        <v>111943025</v>
      </c>
      <c r="AM206" s="39"/>
      <c r="AN206" s="386">
        <v>0</v>
      </c>
      <c r="AO206" s="348">
        <v>0</v>
      </c>
      <c r="AP206" s="26">
        <f>P206+Q206+R206+S206+T206+U206+V206+W206+X206+Y206+Z206+AA206+AB206+AC206+AD206+AE206+AF206+AG206+AH206+AI206+AJ206+AK206+AL206+AM206+AN206+AO206</f>
        <v>111943025</v>
      </c>
    </row>
    <row r="207" spans="1:42" s="196" customFormat="1" ht="15" x14ac:dyDescent="0.25">
      <c r="A207" s="20"/>
      <c r="B207" s="20"/>
      <c r="C207" s="292"/>
      <c r="D207" s="224"/>
      <c r="E207" s="224"/>
      <c r="F207" s="225"/>
      <c r="G207" s="191"/>
      <c r="H207" s="192"/>
      <c r="I207" s="191"/>
      <c r="J207" s="380"/>
      <c r="K207" s="380"/>
      <c r="L207" s="380"/>
      <c r="M207" s="194"/>
      <c r="N207" s="191"/>
      <c r="O207" s="192"/>
      <c r="P207" s="195">
        <f>P206</f>
        <v>0</v>
      </c>
      <c r="Q207" s="195">
        <f t="shared" ref="Q207:AK207" si="77">Q206</f>
        <v>0</v>
      </c>
      <c r="R207" s="195">
        <f t="shared" si="77"/>
        <v>0</v>
      </c>
      <c r="S207" s="195">
        <f t="shared" si="77"/>
        <v>0</v>
      </c>
      <c r="T207" s="195">
        <f t="shared" si="77"/>
        <v>0</v>
      </c>
      <c r="U207" s="195">
        <f t="shared" si="77"/>
        <v>0</v>
      </c>
      <c r="V207" s="195">
        <f t="shared" si="77"/>
        <v>0</v>
      </c>
      <c r="W207" s="195">
        <f t="shared" si="77"/>
        <v>0</v>
      </c>
      <c r="X207" s="195">
        <f t="shared" si="77"/>
        <v>0</v>
      </c>
      <c r="Y207" s="195">
        <f t="shared" si="77"/>
        <v>0</v>
      </c>
      <c r="Z207" s="195">
        <f t="shared" si="77"/>
        <v>0</v>
      </c>
      <c r="AA207" s="195">
        <f t="shared" si="77"/>
        <v>0</v>
      </c>
      <c r="AB207" s="195">
        <f t="shared" si="77"/>
        <v>0</v>
      </c>
      <c r="AC207" s="195">
        <f t="shared" si="77"/>
        <v>0</v>
      </c>
      <c r="AD207" s="195">
        <f t="shared" si="77"/>
        <v>0</v>
      </c>
      <c r="AE207" s="195">
        <f t="shared" si="77"/>
        <v>0</v>
      </c>
      <c r="AF207" s="195">
        <f t="shared" si="77"/>
        <v>0</v>
      </c>
      <c r="AG207" s="195">
        <f t="shared" si="77"/>
        <v>0</v>
      </c>
      <c r="AH207" s="195">
        <f t="shared" si="77"/>
        <v>0</v>
      </c>
      <c r="AI207" s="195">
        <f t="shared" si="77"/>
        <v>0</v>
      </c>
      <c r="AJ207" s="195">
        <f t="shared" si="77"/>
        <v>0</v>
      </c>
      <c r="AK207" s="195">
        <f t="shared" si="77"/>
        <v>0</v>
      </c>
      <c r="AL207" s="195">
        <f t="shared" ref="AL207:AP207" si="78">AL206</f>
        <v>111943025</v>
      </c>
      <c r="AM207" s="195">
        <f t="shared" si="78"/>
        <v>0</v>
      </c>
      <c r="AN207" s="195">
        <f t="shared" si="78"/>
        <v>0</v>
      </c>
      <c r="AO207" s="195">
        <f t="shared" si="78"/>
        <v>0</v>
      </c>
      <c r="AP207" s="195">
        <f t="shared" si="78"/>
        <v>111943025</v>
      </c>
    </row>
    <row r="208" spans="1:42" s="28" customFormat="1" ht="15" x14ac:dyDescent="0.25">
      <c r="A208" s="20"/>
      <c r="B208" s="20"/>
      <c r="C208" s="154"/>
      <c r="D208" s="381"/>
      <c r="E208" s="382"/>
      <c r="F208" s="382"/>
      <c r="G208" s="214"/>
      <c r="H208" s="454"/>
      <c r="I208" s="214"/>
      <c r="J208" s="383"/>
      <c r="K208" s="383"/>
      <c r="L208" s="383"/>
      <c r="M208" s="216"/>
      <c r="N208" s="214"/>
      <c r="O208" s="454"/>
      <c r="P208" s="217"/>
      <c r="Q208" s="217"/>
      <c r="R208" s="217"/>
      <c r="S208" s="217"/>
      <c r="T208" s="217"/>
      <c r="U208" s="217"/>
      <c r="V208" s="217"/>
      <c r="W208" s="217"/>
      <c r="X208" s="217"/>
      <c r="Y208" s="217"/>
      <c r="Z208" s="217"/>
      <c r="AA208" s="217"/>
      <c r="AB208" s="217"/>
      <c r="AC208" s="217"/>
      <c r="AD208" s="217"/>
      <c r="AE208" s="217"/>
      <c r="AF208" s="217"/>
      <c r="AG208" s="217"/>
      <c r="AH208" s="217"/>
      <c r="AI208" s="217"/>
      <c r="AJ208" s="217"/>
      <c r="AK208" s="217"/>
      <c r="AL208" s="219"/>
      <c r="AM208" s="220"/>
      <c r="AN208" s="217"/>
      <c r="AO208" s="217"/>
      <c r="AP208" s="217"/>
    </row>
    <row r="209" spans="1:42" s="196" customFormat="1" ht="15" x14ac:dyDescent="0.25">
      <c r="A209" s="20"/>
      <c r="B209" s="20"/>
      <c r="C209" s="292"/>
      <c r="D209" s="224"/>
      <c r="E209" s="224"/>
      <c r="F209" s="225"/>
      <c r="G209" s="308">
        <v>31</v>
      </c>
      <c r="H209" s="327" t="s">
        <v>269</v>
      </c>
      <c r="I209" s="227"/>
      <c r="J209" s="227"/>
      <c r="K209" s="227"/>
      <c r="L209" s="227"/>
      <c r="M209" s="227"/>
      <c r="N209" s="227"/>
      <c r="O209" s="227"/>
      <c r="P209" s="227"/>
      <c r="Q209" s="227"/>
      <c r="R209" s="227"/>
      <c r="S209" s="227"/>
      <c r="T209" s="227"/>
      <c r="U209" s="227"/>
      <c r="V209" s="227"/>
      <c r="W209" s="227"/>
      <c r="X209" s="227"/>
      <c r="Y209" s="227"/>
      <c r="Z209" s="227"/>
      <c r="AA209" s="227"/>
      <c r="AB209" s="227"/>
      <c r="AC209" s="227"/>
      <c r="AD209" s="227"/>
      <c r="AE209" s="227"/>
      <c r="AF209" s="227"/>
      <c r="AG209" s="227"/>
      <c r="AH209" s="227"/>
      <c r="AI209" s="227"/>
      <c r="AJ209" s="227"/>
      <c r="AK209" s="227"/>
      <c r="AL209" s="229"/>
      <c r="AM209" s="227"/>
      <c r="AN209" s="227"/>
      <c r="AO209" s="227"/>
      <c r="AP209" s="227"/>
    </row>
    <row r="210" spans="1:42" s="28" customFormat="1" ht="98.25" customHeight="1" x14ac:dyDescent="0.25">
      <c r="A210" s="20"/>
      <c r="B210" s="20"/>
      <c r="C210" s="144" t="s">
        <v>270</v>
      </c>
      <c r="D210" s="374" t="s">
        <v>271</v>
      </c>
      <c r="E210" s="375" t="s">
        <v>272</v>
      </c>
      <c r="F210" s="135" t="s">
        <v>273</v>
      </c>
      <c r="G210" s="151"/>
      <c r="H210" s="152">
        <v>118</v>
      </c>
      <c r="I210" s="151" t="s">
        <v>274</v>
      </c>
      <c r="J210" s="32">
        <v>16</v>
      </c>
      <c r="K210" s="106">
        <v>6</v>
      </c>
      <c r="L210" s="32" t="s">
        <v>253</v>
      </c>
      <c r="M210" s="38" t="s">
        <v>275</v>
      </c>
      <c r="N210" s="151" t="s">
        <v>276</v>
      </c>
      <c r="O210" s="152" t="s">
        <v>40</v>
      </c>
      <c r="P210" s="377">
        <f>158620000+72215489</f>
        <v>230835489</v>
      </c>
      <c r="Q210" s="26">
        <v>0</v>
      </c>
      <c r="R210" s="26">
        <v>0</v>
      </c>
      <c r="S210" s="26">
        <v>0</v>
      </c>
      <c r="T210" s="26">
        <v>0</v>
      </c>
      <c r="U210" s="26">
        <v>0</v>
      </c>
      <c r="V210" s="26">
        <v>0</v>
      </c>
      <c r="W210" s="26"/>
      <c r="X210" s="26"/>
      <c r="Y210" s="26"/>
      <c r="Z210" s="26">
        <v>0</v>
      </c>
      <c r="AA210" s="26"/>
      <c r="AB210" s="26">
        <v>0</v>
      </c>
      <c r="AC210" s="26">
        <v>0</v>
      </c>
      <c r="AD210" s="26"/>
      <c r="AE210" s="26"/>
      <c r="AF210" s="26"/>
      <c r="AG210" s="26"/>
      <c r="AH210" s="26"/>
      <c r="AI210" s="26"/>
      <c r="AJ210" s="26">
        <v>0</v>
      </c>
      <c r="AK210" s="26">
        <v>0</v>
      </c>
      <c r="AL210" s="113">
        <v>0</v>
      </c>
      <c r="AM210" s="39"/>
      <c r="AN210" s="26">
        <v>0</v>
      </c>
      <c r="AO210" s="27">
        <v>0</v>
      </c>
      <c r="AP210" s="26">
        <f>P210+Q210+R210+S210+T210+U210+V210+W210+X210+Y210+Z210+AA210+AB210+AC210+AD210+AE210+AF210+AG210+AH210+AI210+AJ210+AK210+AL210+AM210+AN210+AO210</f>
        <v>230835489</v>
      </c>
    </row>
    <row r="211" spans="1:42" s="196" customFormat="1" ht="15" x14ac:dyDescent="0.25">
      <c r="A211" s="20"/>
      <c r="B211" s="189"/>
      <c r="C211" s="292"/>
      <c r="D211" s="224"/>
      <c r="E211" s="224"/>
      <c r="F211" s="225"/>
      <c r="G211" s="191"/>
      <c r="H211" s="192"/>
      <c r="I211" s="191"/>
      <c r="J211" s="380"/>
      <c r="K211" s="380"/>
      <c r="L211" s="380"/>
      <c r="M211" s="194"/>
      <c r="N211" s="191"/>
      <c r="O211" s="192"/>
      <c r="P211" s="195">
        <f t="shared" ref="P211:AK211" si="79">SUM(P210)</f>
        <v>230835489</v>
      </c>
      <c r="Q211" s="195">
        <f t="shared" si="79"/>
        <v>0</v>
      </c>
      <c r="R211" s="195">
        <f t="shared" si="79"/>
        <v>0</v>
      </c>
      <c r="S211" s="195">
        <f t="shared" si="79"/>
        <v>0</v>
      </c>
      <c r="T211" s="195">
        <f t="shared" si="79"/>
        <v>0</v>
      </c>
      <c r="U211" s="195">
        <f t="shared" si="79"/>
        <v>0</v>
      </c>
      <c r="V211" s="195">
        <f t="shared" si="79"/>
        <v>0</v>
      </c>
      <c r="W211" s="195">
        <f t="shared" si="79"/>
        <v>0</v>
      </c>
      <c r="X211" s="195">
        <f t="shared" si="79"/>
        <v>0</v>
      </c>
      <c r="Y211" s="195">
        <f t="shared" si="79"/>
        <v>0</v>
      </c>
      <c r="Z211" s="195">
        <f t="shared" si="79"/>
        <v>0</v>
      </c>
      <c r="AA211" s="195">
        <f t="shared" si="79"/>
        <v>0</v>
      </c>
      <c r="AB211" s="195">
        <f t="shared" si="79"/>
        <v>0</v>
      </c>
      <c r="AC211" s="195">
        <f t="shared" si="79"/>
        <v>0</v>
      </c>
      <c r="AD211" s="195">
        <f t="shared" si="79"/>
        <v>0</v>
      </c>
      <c r="AE211" s="195">
        <f t="shared" si="79"/>
        <v>0</v>
      </c>
      <c r="AF211" s="195">
        <f t="shared" si="79"/>
        <v>0</v>
      </c>
      <c r="AG211" s="195">
        <f t="shared" si="79"/>
        <v>0</v>
      </c>
      <c r="AH211" s="195">
        <f t="shared" si="79"/>
        <v>0</v>
      </c>
      <c r="AI211" s="195">
        <f t="shared" si="79"/>
        <v>0</v>
      </c>
      <c r="AJ211" s="195">
        <f t="shared" si="79"/>
        <v>0</v>
      </c>
      <c r="AK211" s="195">
        <f t="shared" si="79"/>
        <v>0</v>
      </c>
      <c r="AL211" s="195">
        <f t="shared" ref="AL211:AP211" si="80">SUM(AL210)</f>
        <v>0</v>
      </c>
      <c r="AM211" s="195">
        <f t="shared" si="80"/>
        <v>0</v>
      </c>
      <c r="AN211" s="195">
        <f t="shared" si="80"/>
        <v>0</v>
      </c>
      <c r="AO211" s="195">
        <f t="shared" si="80"/>
        <v>0</v>
      </c>
      <c r="AP211" s="195">
        <f t="shared" si="80"/>
        <v>230835489</v>
      </c>
    </row>
    <row r="212" spans="1:42" s="196" customFormat="1" ht="15" x14ac:dyDescent="0.25">
      <c r="A212" s="20"/>
      <c r="B212" s="260"/>
      <c r="C212" s="199"/>
      <c r="D212" s="388"/>
      <c r="E212" s="389"/>
      <c r="F212" s="389"/>
      <c r="G212" s="198"/>
      <c r="H212" s="199"/>
      <c r="I212" s="198"/>
      <c r="J212" s="390"/>
      <c r="K212" s="390"/>
      <c r="L212" s="390"/>
      <c r="M212" s="201"/>
      <c r="N212" s="198"/>
      <c r="O212" s="199"/>
      <c r="P212" s="202">
        <f t="shared" ref="P212:AK212" si="81">P211+P207+P203</f>
        <v>2803655885</v>
      </c>
      <c r="Q212" s="202">
        <f t="shared" si="81"/>
        <v>0</v>
      </c>
      <c r="R212" s="202">
        <f t="shared" si="81"/>
        <v>0</v>
      </c>
      <c r="S212" s="202">
        <f t="shared" si="81"/>
        <v>0</v>
      </c>
      <c r="T212" s="202">
        <f t="shared" si="81"/>
        <v>0</v>
      </c>
      <c r="U212" s="202">
        <f t="shared" si="81"/>
        <v>0</v>
      </c>
      <c r="V212" s="202">
        <f t="shared" si="81"/>
        <v>0</v>
      </c>
      <c r="W212" s="202">
        <f t="shared" si="81"/>
        <v>0</v>
      </c>
      <c r="X212" s="202">
        <f t="shared" si="81"/>
        <v>0</v>
      </c>
      <c r="Y212" s="202">
        <f t="shared" si="81"/>
        <v>0</v>
      </c>
      <c r="Z212" s="202">
        <f t="shared" si="81"/>
        <v>0</v>
      </c>
      <c r="AA212" s="202">
        <f t="shared" si="81"/>
        <v>0</v>
      </c>
      <c r="AB212" s="202">
        <f t="shared" si="81"/>
        <v>0</v>
      </c>
      <c r="AC212" s="202">
        <f t="shared" si="81"/>
        <v>0</v>
      </c>
      <c r="AD212" s="202">
        <f t="shared" si="81"/>
        <v>0</v>
      </c>
      <c r="AE212" s="202">
        <f t="shared" si="81"/>
        <v>0</v>
      </c>
      <c r="AF212" s="202">
        <f t="shared" si="81"/>
        <v>0</v>
      </c>
      <c r="AG212" s="202">
        <f t="shared" si="81"/>
        <v>0</v>
      </c>
      <c r="AH212" s="202">
        <f t="shared" si="81"/>
        <v>0</v>
      </c>
      <c r="AI212" s="202">
        <f t="shared" si="81"/>
        <v>0</v>
      </c>
      <c r="AJ212" s="202">
        <f t="shared" si="81"/>
        <v>0</v>
      </c>
      <c r="AK212" s="202">
        <f t="shared" si="81"/>
        <v>0</v>
      </c>
      <c r="AL212" s="202">
        <f t="shared" ref="AL212:AP212" si="82">AL211+AL207+AL203</f>
        <v>1277043025</v>
      </c>
      <c r="AM212" s="202">
        <f t="shared" si="82"/>
        <v>0</v>
      </c>
      <c r="AN212" s="202">
        <f t="shared" si="82"/>
        <v>0</v>
      </c>
      <c r="AO212" s="202">
        <f t="shared" si="82"/>
        <v>0</v>
      </c>
      <c r="AP212" s="202">
        <f t="shared" si="82"/>
        <v>4080698910</v>
      </c>
    </row>
    <row r="213" spans="1:42" s="28" customFormat="1" ht="15" x14ac:dyDescent="0.25">
      <c r="A213" s="20"/>
      <c r="B213" s="214"/>
      <c r="C213" s="154"/>
      <c r="D213" s="381"/>
      <c r="E213" s="382"/>
      <c r="F213" s="382"/>
      <c r="G213" s="214"/>
      <c r="H213" s="454"/>
      <c r="I213" s="214"/>
      <c r="J213" s="383"/>
      <c r="K213" s="383"/>
      <c r="L213" s="383"/>
      <c r="M213" s="216"/>
      <c r="N213" s="214"/>
      <c r="O213" s="454"/>
      <c r="P213" s="217"/>
      <c r="Q213" s="217"/>
      <c r="R213" s="217"/>
      <c r="S213" s="217"/>
      <c r="T213" s="217"/>
      <c r="U213" s="217"/>
      <c r="V213" s="217"/>
      <c r="W213" s="217"/>
      <c r="X213" s="217"/>
      <c r="Y213" s="217"/>
      <c r="Z213" s="217"/>
      <c r="AA213" s="217"/>
      <c r="AB213" s="217"/>
      <c r="AC213" s="217"/>
      <c r="AD213" s="217"/>
      <c r="AE213" s="217"/>
      <c r="AF213" s="217"/>
      <c r="AG213" s="217"/>
      <c r="AH213" s="217"/>
      <c r="AI213" s="217"/>
      <c r="AJ213" s="217"/>
      <c r="AK213" s="217"/>
      <c r="AL213" s="219"/>
      <c r="AM213" s="220"/>
      <c r="AN213" s="217"/>
      <c r="AO213" s="217"/>
      <c r="AP213" s="217"/>
    </row>
    <row r="214" spans="1:42" s="196" customFormat="1" x14ac:dyDescent="0.25">
      <c r="A214" s="20"/>
      <c r="B214" s="291">
        <v>10</v>
      </c>
      <c r="C214" s="181" t="s">
        <v>277</v>
      </c>
      <c r="D214" s="182"/>
      <c r="E214" s="182"/>
      <c r="F214" s="182"/>
      <c r="G214" s="182"/>
      <c r="H214" s="183"/>
      <c r="I214" s="182"/>
      <c r="J214" s="182"/>
      <c r="K214" s="182"/>
      <c r="L214" s="182"/>
      <c r="M214" s="184"/>
      <c r="N214" s="182"/>
      <c r="O214" s="182"/>
      <c r="P214" s="182"/>
      <c r="Q214" s="182"/>
      <c r="R214" s="182"/>
      <c r="S214" s="182"/>
      <c r="T214" s="182"/>
      <c r="U214" s="182"/>
      <c r="V214" s="182"/>
      <c r="W214" s="182"/>
      <c r="X214" s="182"/>
      <c r="Y214" s="182"/>
      <c r="Z214" s="182"/>
      <c r="AA214" s="182"/>
      <c r="AB214" s="182"/>
      <c r="AC214" s="182"/>
      <c r="AD214" s="182"/>
      <c r="AE214" s="182"/>
      <c r="AF214" s="182"/>
      <c r="AG214" s="182"/>
      <c r="AH214" s="182"/>
      <c r="AI214" s="182"/>
      <c r="AJ214" s="182"/>
      <c r="AK214" s="182"/>
      <c r="AL214" s="185"/>
      <c r="AM214" s="182"/>
      <c r="AN214" s="182"/>
      <c r="AO214" s="182"/>
      <c r="AP214" s="186"/>
    </row>
    <row r="215" spans="1:42" s="196" customFormat="1" ht="15" x14ac:dyDescent="0.25">
      <c r="A215" s="20"/>
      <c r="B215" s="391"/>
      <c r="C215" s="392"/>
      <c r="D215" s="393"/>
      <c r="E215" s="393"/>
      <c r="F215" s="393"/>
      <c r="G215" s="394">
        <v>32</v>
      </c>
      <c r="H215" s="269" t="s">
        <v>278</v>
      </c>
      <c r="I215" s="269"/>
      <c r="J215" s="269"/>
      <c r="K215" s="269"/>
      <c r="L215" s="269"/>
      <c r="M215" s="269"/>
      <c r="N215" s="269"/>
      <c r="O215" s="269"/>
      <c r="P215" s="269"/>
      <c r="Q215" s="269"/>
      <c r="R215" s="269"/>
      <c r="S215" s="269"/>
      <c r="T215" s="269"/>
      <c r="U215" s="269"/>
      <c r="V215" s="269"/>
      <c r="W215" s="269"/>
      <c r="X215" s="269"/>
      <c r="Y215" s="269"/>
      <c r="Z215" s="269"/>
      <c r="AA215" s="269"/>
      <c r="AB215" s="269"/>
      <c r="AC215" s="269"/>
      <c r="AD215" s="269"/>
      <c r="AE215" s="269"/>
      <c r="AF215" s="269"/>
      <c r="AG215" s="269"/>
      <c r="AH215" s="269"/>
      <c r="AI215" s="269"/>
      <c r="AJ215" s="269"/>
      <c r="AK215" s="269"/>
      <c r="AL215" s="271"/>
      <c r="AM215" s="269"/>
      <c r="AN215" s="269"/>
      <c r="AO215" s="269"/>
      <c r="AP215" s="272"/>
    </row>
    <row r="216" spans="1:42" s="196" customFormat="1" ht="121.5" customHeight="1" x14ac:dyDescent="0.25">
      <c r="A216" s="20"/>
      <c r="B216" s="19"/>
      <c r="C216" s="135" t="s">
        <v>279</v>
      </c>
      <c r="D216" s="399" t="s">
        <v>280</v>
      </c>
      <c r="E216" s="400" t="s">
        <v>281</v>
      </c>
      <c r="F216" s="349" t="s">
        <v>282</v>
      </c>
      <c r="G216" s="151"/>
      <c r="H216" s="152">
        <v>119</v>
      </c>
      <c r="I216" s="151" t="s">
        <v>283</v>
      </c>
      <c r="J216" s="32">
        <v>10</v>
      </c>
      <c r="K216" s="32">
        <v>9</v>
      </c>
      <c r="L216" s="32" t="s">
        <v>253</v>
      </c>
      <c r="M216" s="38" t="s">
        <v>284</v>
      </c>
      <c r="N216" s="151" t="s">
        <v>285</v>
      </c>
      <c r="O216" s="152" t="s">
        <v>40</v>
      </c>
      <c r="P216" s="386">
        <v>0</v>
      </c>
      <c r="Q216" s="386">
        <v>0</v>
      </c>
      <c r="R216" s="386">
        <v>0</v>
      </c>
      <c r="S216" s="386">
        <v>0</v>
      </c>
      <c r="T216" s="386">
        <v>0</v>
      </c>
      <c r="U216" s="386">
        <v>0</v>
      </c>
      <c r="V216" s="386">
        <v>0</v>
      </c>
      <c r="W216" s="386"/>
      <c r="X216" s="386"/>
      <c r="Y216" s="386"/>
      <c r="Z216" s="386">
        <v>0</v>
      </c>
      <c r="AA216" s="386"/>
      <c r="AB216" s="386">
        <v>0</v>
      </c>
      <c r="AC216" s="386">
        <v>0</v>
      </c>
      <c r="AD216" s="386">
        <v>0</v>
      </c>
      <c r="AE216" s="386">
        <v>0</v>
      </c>
      <c r="AF216" s="386"/>
      <c r="AG216" s="386">
        <v>0</v>
      </c>
      <c r="AH216" s="386">
        <v>0</v>
      </c>
      <c r="AI216" s="386">
        <v>0</v>
      </c>
      <c r="AJ216" s="386">
        <v>0</v>
      </c>
      <c r="AK216" s="386">
        <v>0</v>
      </c>
      <c r="AL216" s="117">
        <v>193900000</v>
      </c>
      <c r="AM216" s="395"/>
      <c r="AN216" s="26">
        <f>236949833+154613084</f>
        <v>391562917</v>
      </c>
      <c r="AO216" s="60">
        <v>0</v>
      </c>
      <c r="AP216" s="26">
        <f>P216+Q216+R216+S216+T216+U216+V216+W216+X216+Y216+Z216+AA216+AB216+AC216+AD216+AE216+AF216+AG216+AH216+AI216+AJ216+AK216+AL216+AM216+AN216+AO216</f>
        <v>585462917</v>
      </c>
    </row>
    <row r="217" spans="1:42" s="48" customFormat="1" ht="20.25" x14ac:dyDescent="0.25">
      <c r="A217" s="20"/>
      <c r="B217" s="19"/>
      <c r="C217" s="848"/>
      <c r="D217" s="224"/>
      <c r="E217" s="224"/>
      <c r="F217" s="225"/>
      <c r="G217" s="191"/>
      <c r="H217" s="192"/>
      <c r="I217" s="191"/>
      <c r="J217" s="380"/>
      <c r="K217" s="380"/>
      <c r="L217" s="380"/>
      <c r="M217" s="194"/>
      <c r="N217" s="191"/>
      <c r="O217" s="192"/>
      <c r="P217" s="195">
        <f t="shared" ref="P217:AN217" si="83">SUM(P216)</f>
        <v>0</v>
      </c>
      <c r="Q217" s="195">
        <f t="shared" si="83"/>
        <v>0</v>
      </c>
      <c r="R217" s="195">
        <f t="shared" si="83"/>
        <v>0</v>
      </c>
      <c r="S217" s="195">
        <f t="shared" si="83"/>
        <v>0</v>
      </c>
      <c r="T217" s="195">
        <f t="shared" si="83"/>
        <v>0</v>
      </c>
      <c r="U217" s="195">
        <f t="shared" si="83"/>
        <v>0</v>
      </c>
      <c r="V217" s="195">
        <f t="shared" si="83"/>
        <v>0</v>
      </c>
      <c r="W217" s="195">
        <f t="shared" si="83"/>
        <v>0</v>
      </c>
      <c r="X217" s="195">
        <f t="shared" si="83"/>
        <v>0</v>
      </c>
      <c r="Y217" s="195">
        <f t="shared" si="83"/>
        <v>0</v>
      </c>
      <c r="Z217" s="195">
        <f t="shared" si="83"/>
        <v>0</v>
      </c>
      <c r="AA217" s="195">
        <f t="shared" si="83"/>
        <v>0</v>
      </c>
      <c r="AB217" s="195">
        <f t="shared" si="83"/>
        <v>0</v>
      </c>
      <c r="AC217" s="195">
        <f t="shared" si="83"/>
        <v>0</v>
      </c>
      <c r="AD217" s="195">
        <f t="shared" si="83"/>
        <v>0</v>
      </c>
      <c r="AE217" s="195">
        <f t="shared" si="83"/>
        <v>0</v>
      </c>
      <c r="AF217" s="195">
        <f t="shared" si="83"/>
        <v>0</v>
      </c>
      <c r="AG217" s="195">
        <f t="shared" si="83"/>
        <v>0</v>
      </c>
      <c r="AH217" s="195">
        <f t="shared" si="83"/>
        <v>0</v>
      </c>
      <c r="AI217" s="195">
        <f t="shared" si="83"/>
        <v>0</v>
      </c>
      <c r="AJ217" s="195">
        <f t="shared" si="83"/>
        <v>0</v>
      </c>
      <c r="AK217" s="195">
        <f t="shared" si="83"/>
        <v>0</v>
      </c>
      <c r="AL217" s="195">
        <f t="shared" si="83"/>
        <v>193900000</v>
      </c>
      <c r="AM217" s="195">
        <f t="shared" si="83"/>
        <v>0</v>
      </c>
      <c r="AN217" s="195">
        <f t="shared" si="83"/>
        <v>391562917</v>
      </c>
      <c r="AO217" s="195">
        <f t="shared" ref="AO217:AP217" si="84">SUM(AO216)</f>
        <v>0</v>
      </c>
      <c r="AP217" s="195">
        <f t="shared" si="84"/>
        <v>585462917</v>
      </c>
    </row>
    <row r="218" spans="1:42" s="48" customFormat="1" ht="20.25" x14ac:dyDescent="0.25">
      <c r="A218" s="20"/>
      <c r="B218" s="19"/>
      <c r="C218" s="154"/>
      <c r="D218" s="381"/>
      <c r="E218" s="382"/>
      <c r="F218" s="382"/>
      <c r="G218" s="214"/>
      <c r="H218" s="454"/>
      <c r="I218" s="214"/>
      <c r="J218" s="383"/>
      <c r="K218" s="383"/>
      <c r="L218" s="396"/>
      <c r="M218" s="279"/>
      <c r="N218" s="265"/>
      <c r="O218" s="454"/>
      <c r="P218" s="217"/>
      <c r="Q218" s="217"/>
      <c r="R218" s="217"/>
      <c r="S218" s="217"/>
      <c r="T218" s="217"/>
      <c r="U218" s="217"/>
      <c r="V218" s="217"/>
      <c r="W218" s="217"/>
      <c r="X218" s="217"/>
      <c r="Y218" s="217"/>
      <c r="Z218" s="217"/>
      <c r="AA218" s="217"/>
      <c r="AB218" s="217"/>
      <c r="AC218" s="217"/>
      <c r="AD218" s="217"/>
      <c r="AE218" s="217"/>
      <c r="AF218" s="217"/>
      <c r="AG218" s="217"/>
      <c r="AH218" s="217"/>
      <c r="AI218" s="217"/>
      <c r="AJ218" s="217"/>
      <c r="AK218" s="217"/>
      <c r="AL218" s="219"/>
      <c r="AM218" s="220"/>
      <c r="AN218" s="217"/>
      <c r="AO218" s="217"/>
      <c r="AP218" s="217"/>
    </row>
    <row r="219" spans="1:42" s="48" customFormat="1" ht="20.25" x14ac:dyDescent="0.25">
      <c r="A219" s="20"/>
      <c r="B219" s="19"/>
      <c r="C219" s="848"/>
      <c r="D219" s="224"/>
      <c r="E219" s="224"/>
      <c r="F219" s="225"/>
      <c r="G219" s="226">
        <v>33</v>
      </c>
      <c r="H219" s="227" t="s">
        <v>286</v>
      </c>
      <c r="I219" s="227"/>
      <c r="J219" s="227"/>
      <c r="K219" s="227"/>
      <c r="L219" s="227"/>
      <c r="M219" s="227"/>
      <c r="N219" s="227"/>
      <c r="O219" s="227"/>
      <c r="P219" s="227"/>
      <c r="Q219" s="227"/>
      <c r="R219" s="227"/>
      <c r="S219" s="227"/>
      <c r="T219" s="227"/>
      <c r="U219" s="227"/>
      <c r="V219" s="227"/>
      <c r="W219" s="227"/>
      <c r="X219" s="227"/>
      <c r="Y219" s="227"/>
      <c r="Z219" s="227"/>
      <c r="AA219" s="227"/>
      <c r="AB219" s="227"/>
      <c r="AC219" s="227"/>
      <c r="AD219" s="227"/>
      <c r="AE219" s="227"/>
      <c r="AF219" s="227"/>
      <c r="AG219" s="227"/>
      <c r="AH219" s="227"/>
      <c r="AI219" s="227"/>
      <c r="AJ219" s="227"/>
      <c r="AK219" s="227"/>
      <c r="AL219" s="229"/>
      <c r="AM219" s="227"/>
      <c r="AN219" s="227"/>
      <c r="AO219" s="227"/>
      <c r="AP219" s="230"/>
    </row>
    <row r="220" spans="1:42" s="196" customFormat="1" ht="56.25" customHeight="1" x14ac:dyDescent="0.25">
      <c r="A220" s="20"/>
      <c r="B220" s="19"/>
      <c r="C220" s="876" t="s">
        <v>287</v>
      </c>
      <c r="D220" s="1008" t="s">
        <v>288</v>
      </c>
      <c r="E220" s="1010" t="s">
        <v>289</v>
      </c>
      <c r="F220" s="948" t="s">
        <v>290</v>
      </c>
      <c r="G220" s="23"/>
      <c r="H220" s="152">
        <v>120</v>
      </c>
      <c r="I220" s="190" t="s">
        <v>291</v>
      </c>
      <c r="J220" s="397">
        <v>0</v>
      </c>
      <c r="K220" s="66">
        <v>3</v>
      </c>
      <c r="L220" s="889" t="s">
        <v>253</v>
      </c>
      <c r="M220" s="907" t="s">
        <v>292</v>
      </c>
      <c r="N220" s="954" t="s">
        <v>293</v>
      </c>
      <c r="O220" s="152" t="s">
        <v>40</v>
      </c>
      <c r="P220" s="386">
        <v>0</v>
      </c>
      <c r="Q220" s="386">
        <v>0</v>
      </c>
      <c r="R220" s="386">
        <v>0</v>
      </c>
      <c r="S220" s="386">
        <v>0</v>
      </c>
      <c r="T220" s="386">
        <v>0</v>
      </c>
      <c r="U220" s="386">
        <v>0</v>
      </c>
      <c r="V220" s="386">
        <v>0</v>
      </c>
      <c r="W220" s="386"/>
      <c r="X220" s="386"/>
      <c r="Y220" s="386"/>
      <c r="Z220" s="386">
        <v>0</v>
      </c>
      <c r="AA220" s="386"/>
      <c r="AB220" s="386">
        <v>0</v>
      </c>
      <c r="AC220" s="386">
        <v>0</v>
      </c>
      <c r="AD220" s="304"/>
      <c r="AE220" s="304"/>
      <c r="AF220" s="304"/>
      <c r="AG220" s="304"/>
      <c r="AH220" s="304"/>
      <c r="AI220" s="304"/>
      <c r="AJ220" s="386">
        <v>0</v>
      </c>
      <c r="AK220" s="386">
        <v>0</v>
      </c>
      <c r="AL220" s="113">
        <f>50000000</f>
        <v>50000000</v>
      </c>
      <c r="AM220" s="14"/>
      <c r="AN220" s="386">
        <v>0</v>
      </c>
      <c r="AO220" s="348">
        <v>0</v>
      </c>
      <c r="AP220" s="26">
        <f>P220+Q220+R220+S220+T220+U220+V220+W220+X220+Y220+Z220+AA220+AB220+AC220+AD220+AE220+AF220+AG220+AH220+AI220+AJ220+AK220+AL220+AM220+AN220+AO220</f>
        <v>50000000</v>
      </c>
    </row>
    <row r="221" spans="1:42" s="196" customFormat="1" ht="57" x14ac:dyDescent="0.25">
      <c r="A221" s="20"/>
      <c r="B221" s="19"/>
      <c r="C221" s="887"/>
      <c r="D221" s="1009"/>
      <c r="E221" s="1011"/>
      <c r="F221" s="949"/>
      <c r="G221" s="31"/>
      <c r="H221" s="152">
        <v>121</v>
      </c>
      <c r="I221" s="190" t="s">
        <v>294</v>
      </c>
      <c r="J221" s="397">
        <v>9</v>
      </c>
      <c r="K221" s="816">
        <v>4</v>
      </c>
      <c r="L221" s="963"/>
      <c r="M221" s="909"/>
      <c r="N221" s="956"/>
      <c r="O221" s="152" t="s">
        <v>40</v>
      </c>
      <c r="P221" s="386">
        <v>0</v>
      </c>
      <c r="Q221" s="386">
        <v>0</v>
      </c>
      <c r="R221" s="386">
        <v>0</v>
      </c>
      <c r="S221" s="386">
        <v>0</v>
      </c>
      <c r="T221" s="386">
        <v>0</v>
      </c>
      <c r="U221" s="386">
        <v>0</v>
      </c>
      <c r="V221" s="386">
        <v>0</v>
      </c>
      <c r="W221" s="386"/>
      <c r="X221" s="386"/>
      <c r="Y221" s="386"/>
      <c r="Z221" s="386">
        <v>0</v>
      </c>
      <c r="AA221" s="386"/>
      <c r="AB221" s="386">
        <v>0</v>
      </c>
      <c r="AC221" s="386">
        <v>0</v>
      </c>
      <c r="AD221" s="304"/>
      <c r="AE221" s="304"/>
      <c r="AF221" s="304"/>
      <c r="AG221" s="304"/>
      <c r="AH221" s="304"/>
      <c r="AI221" s="304"/>
      <c r="AJ221" s="386">
        <v>0</v>
      </c>
      <c r="AK221" s="386">
        <v>0</v>
      </c>
      <c r="AL221" s="113">
        <f>50000000+50000000</f>
        <v>100000000</v>
      </c>
      <c r="AM221" s="14"/>
      <c r="AN221" s="26">
        <v>0</v>
      </c>
      <c r="AO221" s="348">
        <v>0</v>
      </c>
      <c r="AP221" s="26">
        <f>P221+Q221+R221+S221+T221+U221+V221+W221+X221+Y221+Z221+AA221+AB221+AC221+AD221+AE221+AF221+AG221+AH221+AI221+AJ221+AK221+AL221+AM221+AN221+AO221</f>
        <v>100000000</v>
      </c>
    </row>
    <row r="222" spans="1:42" s="196" customFormat="1" ht="15" x14ac:dyDescent="0.25">
      <c r="A222" s="20"/>
      <c r="B222" s="402"/>
      <c r="C222" s="708"/>
      <c r="D222" s="378"/>
      <c r="E222" s="379"/>
      <c r="F222" s="379"/>
      <c r="G222" s="191"/>
      <c r="H222" s="192"/>
      <c r="I222" s="191"/>
      <c r="J222" s="380"/>
      <c r="K222" s="192"/>
      <c r="L222" s="192"/>
      <c r="M222" s="194"/>
      <c r="N222" s="191"/>
      <c r="O222" s="192"/>
      <c r="P222" s="195">
        <f>SUM(P220:P221)</f>
        <v>0</v>
      </c>
      <c r="Q222" s="195">
        <f t="shared" ref="Q222:AK222" si="85">SUM(Q220:Q221)</f>
        <v>0</v>
      </c>
      <c r="R222" s="195">
        <f t="shared" si="85"/>
        <v>0</v>
      </c>
      <c r="S222" s="195">
        <f t="shared" si="85"/>
        <v>0</v>
      </c>
      <c r="T222" s="195">
        <f t="shared" si="85"/>
        <v>0</v>
      </c>
      <c r="U222" s="195">
        <f t="shared" si="85"/>
        <v>0</v>
      </c>
      <c r="V222" s="195">
        <f t="shared" si="85"/>
        <v>0</v>
      </c>
      <c r="W222" s="195">
        <f t="shared" si="85"/>
        <v>0</v>
      </c>
      <c r="X222" s="195">
        <f t="shared" si="85"/>
        <v>0</v>
      </c>
      <c r="Y222" s="195">
        <f t="shared" si="85"/>
        <v>0</v>
      </c>
      <c r="Z222" s="195">
        <f t="shared" si="85"/>
        <v>0</v>
      </c>
      <c r="AA222" s="195">
        <f t="shared" si="85"/>
        <v>0</v>
      </c>
      <c r="AB222" s="195">
        <f t="shared" si="85"/>
        <v>0</v>
      </c>
      <c r="AC222" s="195">
        <f t="shared" si="85"/>
        <v>0</v>
      </c>
      <c r="AD222" s="195">
        <f t="shared" si="85"/>
        <v>0</v>
      </c>
      <c r="AE222" s="195">
        <f t="shared" si="85"/>
        <v>0</v>
      </c>
      <c r="AF222" s="195">
        <f t="shared" si="85"/>
        <v>0</v>
      </c>
      <c r="AG222" s="195">
        <f t="shared" si="85"/>
        <v>0</v>
      </c>
      <c r="AH222" s="195">
        <f t="shared" si="85"/>
        <v>0</v>
      </c>
      <c r="AI222" s="195">
        <f t="shared" si="85"/>
        <v>0</v>
      </c>
      <c r="AJ222" s="195">
        <f t="shared" si="85"/>
        <v>0</v>
      </c>
      <c r="AK222" s="195">
        <f t="shared" si="85"/>
        <v>0</v>
      </c>
      <c r="AL222" s="195">
        <f t="shared" ref="AL222:AP222" si="86">SUM(AL220:AL221)</f>
        <v>150000000</v>
      </c>
      <c r="AM222" s="195">
        <f t="shared" si="86"/>
        <v>0</v>
      </c>
      <c r="AN222" s="195">
        <f t="shared" si="86"/>
        <v>0</v>
      </c>
      <c r="AO222" s="195">
        <f t="shared" si="86"/>
        <v>0</v>
      </c>
      <c r="AP222" s="195">
        <f t="shared" si="86"/>
        <v>150000000</v>
      </c>
    </row>
    <row r="223" spans="1:42" s="28" customFormat="1" ht="15" x14ac:dyDescent="0.25">
      <c r="A223" s="189"/>
      <c r="B223" s="260"/>
      <c r="C223" s="199"/>
      <c r="D223" s="388"/>
      <c r="E223" s="389"/>
      <c r="F223" s="389"/>
      <c r="G223" s="198"/>
      <c r="H223" s="199"/>
      <c r="I223" s="198"/>
      <c r="J223" s="390"/>
      <c r="K223" s="199"/>
      <c r="L223" s="199"/>
      <c r="M223" s="201"/>
      <c r="N223" s="198"/>
      <c r="O223" s="199"/>
      <c r="P223" s="202">
        <f t="shared" ref="P223:AK223" si="87">P222+P217</f>
        <v>0</v>
      </c>
      <c r="Q223" s="202">
        <f t="shared" si="87"/>
        <v>0</v>
      </c>
      <c r="R223" s="202">
        <f t="shared" si="87"/>
        <v>0</v>
      </c>
      <c r="S223" s="202">
        <f t="shared" si="87"/>
        <v>0</v>
      </c>
      <c r="T223" s="202">
        <f t="shared" si="87"/>
        <v>0</v>
      </c>
      <c r="U223" s="202">
        <f t="shared" si="87"/>
        <v>0</v>
      </c>
      <c r="V223" s="202">
        <f t="shared" si="87"/>
        <v>0</v>
      </c>
      <c r="W223" s="202">
        <f t="shared" si="87"/>
        <v>0</v>
      </c>
      <c r="X223" s="202">
        <f t="shared" si="87"/>
        <v>0</v>
      </c>
      <c r="Y223" s="202">
        <f t="shared" si="87"/>
        <v>0</v>
      </c>
      <c r="Z223" s="202">
        <f t="shared" si="87"/>
        <v>0</v>
      </c>
      <c r="AA223" s="202">
        <f t="shared" si="87"/>
        <v>0</v>
      </c>
      <c r="AB223" s="202">
        <f t="shared" si="87"/>
        <v>0</v>
      </c>
      <c r="AC223" s="202">
        <f t="shared" si="87"/>
        <v>0</v>
      </c>
      <c r="AD223" s="202">
        <f t="shared" si="87"/>
        <v>0</v>
      </c>
      <c r="AE223" s="202">
        <f t="shared" si="87"/>
        <v>0</v>
      </c>
      <c r="AF223" s="202">
        <f t="shared" si="87"/>
        <v>0</v>
      </c>
      <c r="AG223" s="202">
        <f t="shared" si="87"/>
        <v>0</v>
      </c>
      <c r="AH223" s="202">
        <f t="shared" si="87"/>
        <v>0</v>
      </c>
      <c r="AI223" s="202">
        <f t="shared" si="87"/>
        <v>0</v>
      </c>
      <c r="AJ223" s="202">
        <f t="shared" si="87"/>
        <v>0</v>
      </c>
      <c r="AK223" s="202">
        <f t="shared" si="87"/>
        <v>0</v>
      </c>
      <c r="AL223" s="202">
        <f t="shared" ref="AL223:AP223" si="88">AL222+AL217</f>
        <v>343900000</v>
      </c>
      <c r="AM223" s="202">
        <f t="shared" si="88"/>
        <v>0</v>
      </c>
      <c r="AN223" s="202">
        <f t="shared" si="88"/>
        <v>391562917</v>
      </c>
      <c r="AO223" s="202">
        <f t="shared" si="88"/>
        <v>0</v>
      </c>
      <c r="AP223" s="202">
        <f t="shared" si="88"/>
        <v>735462917</v>
      </c>
    </row>
    <row r="224" spans="1:42" s="196" customFormat="1" ht="15" x14ac:dyDescent="0.25">
      <c r="A224" s="203"/>
      <c r="B224" s="203"/>
      <c r="C224" s="204"/>
      <c r="D224" s="403"/>
      <c r="E224" s="404"/>
      <c r="F224" s="404"/>
      <c r="G224" s="203"/>
      <c r="H224" s="204"/>
      <c r="I224" s="203"/>
      <c r="J224" s="405"/>
      <c r="K224" s="204"/>
      <c r="L224" s="204"/>
      <c r="M224" s="206"/>
      <c r="N224" s="203"/>
      <c r="O224" s="204"/>
      <c r="P224" s="207">
        <f t="shared" ref="P224:AK224" si="89">P223+P212</f>
        <v>2803655885</v>
      </c>
      <c r="Q224" s="207">
        <f t="shared" si="89"/>
        <v>0</v>
      </c>
      <c r="R224" s="207">
        <f t="shared" si="89"/>
        <v>0</v>
      </c>
      <c r="S224" s="207">
        <f t="shared" si="89"/>
        <v>0</v>
      </c>
      <c r="T224" s="207">
        <f t="shared" si="89"/>
        <v>0</v>
      </c>
      <c r="U224" s="207">
        <f t="shared" si="89"/>
        <v>0</v>
      </c>
      <c r="V224" s="207">
        <f t="shared" si="89"/>
        <v>0</v>
      </c>
      <c r="W224" s="207">
        <f t="shared" si="89"/>
        <v>0</v>
      </c>
      <c r="X224" s="207">
        <f t="shared" si="89"/>
        <v>0</v>
      </c>
      <c r="Y224" s="207">
        <f t="shared" si="89"/>
        <v>0</v>
      </c>
      <c r="Z224" s="207">
        <f t="shared" si="89"/>
        <v>0</v>
      </c>
      <c r="AA224" s="207">
        <f t="shared" si="89"/>
        <v>0</v>
      </c>
      <c r="AB224" s="207">
        <f t="shared" si="89"/>
        <v>0</v>
      </c>
      <c r="AC224" s="207">
        <f t="shared" si="89"/>
        <v>0</v>
      </c>
      <c r="AD224" s="207">
        <f t="shared" si="89"/>
        <v>0</v>
      </c>
      <c r="AE224" s="207">
        <f t="shared" si="89"/>
        <v>0</v>
      </c>
      <c r="AF224" s="207">
        <f t="shared" si="89"/>
        <v>0</v>
      </c>
      <c r="AG224" s="207">
        <f t="shared" si="89"/>
        <v>0</v>
      </c>
      <c r="AH224" s="207">
        <f t="shared" si="89"/>
        <v>0</v>
      </c>
      <c r="AI224" s="207">
        <f t="shared" si="89"/>
        <v>0</v>
      </c>
      <c r="AJ224" s="207">
        <f t="shared" si="89"/>
        <v>0</v>
      </c>
      <c r="AK224" s="207">
        <f t="shared" si="89"/>
        <v>0</v>
      </c>
      <c r="AL224" s="207">
        <f t="shared" ref="AL224:AP224" si="90">AL223+AL212</f>
        <v>1620943025</v>
      </c>
      <c r="AM224" s="207">
        <f t="shared" si="90"/>
        <v>0</v>
      </c>
      <c r="AN224" s="207">
        <f t="shared" si="90"/>
        <v>391562917</v>
      </c>
      <c r="AO224" s="207">
        <f t="shared" si="90"/>
        <v>0</v>
      </c>
      <c r="AP224" s="207">
        <f t="shared" si="90"/>
        <v>4816161827</v>
      </c>
    </row>
    <row r="225" spans="1:42" s="196" customFormat="1" ht="15" x14ac:dyDescent="0.25">
      <c r="A225" s="208"/>
      <c r="B225" s="208"/>
      <c r="C225" s="209"/>
      <c r="D225" s="406"/>
      <c r="E225" s="407"/>
      <c r="F225" s="407"/>
      <c r="G225" s="208"/>
      <c r="H225" s="209"/>
      <c r="I225" s="208"/>
      <c r="J225" s="408"/>
      <c r="K225" s="209"/>
      <c r="L225" s="209"/>
      <c r="M225" s="211"/>
      <c r="N225" s="208"/>
      <c r="O225" s="209"/>
      <c r="P225" s="212">
        <f t="shared" ref="P225:AK225" si="91">P224</f>
        <v>2803655885</v>
      </c>
      <c r="Q225" s="212">
        <f t="shared" si="91"/>
        <v>0</v>
      </c>
      <c r="R225" s="212">
        <f t="shared" si="91"/>
        <v>0</v>
      </c>
      <c r="S225" s="212">
        <f t="shared" si="91"/>
        <v>0</v>
      </c>
      <c r="T225" s="212">
        <f t="shared" si="91"/>
        <v>0</v>
      </c>
      <c r="U225" s="212">
        <f t="shared" si="91"/>
        <v>0</v>
      </c>
      <c r="V225" s="212">
        <f t="shared" si="91"/>
        <v>0</v>
      </c>
      <c r="W225" s="212">
        <f t="shared" si="91"/>
        <v>0</v>
      </c>
      <c r="X225" s="212">
        <f t="shared" si="91"/>
        <v>0</v>
      </c>
      <c r="Y225" s="212">
        <f t="shared" si="91"/>
        <v>0</v>
      </c>
      <c r="Z225" s="212">
        <f t="shared" si="91"/>
        <v>0</v>
      </c>
      <c r="AA225" s="212">
        <f t="shared" si="91"/>
        <v>0</v>
      </c>
      <c r="AB225" s="212">
        <f t="shared" si="91"/>
        <v>0</v>
      </c>
      <c r="AC225" s="212">
        <f t="shared" si="91"/>
        <v>0</v>
      </c>
      <c r="AD225" s="212">
        <f t="shared" si="91"/>
        <v>0</v>
      </c>
      <c r="AE225" s="212">
        <f t="shared" si="91"/>
        <v>0</v>
      </c>
      <c r="AF225" s="212">
        <f t="shared" si="91"/>
        <v>0</v>
      </c>
      <c r="AG225" s="212">
        <f t="shared" si="91"/>
        <v>0</v>
      </c>
      <c r="AH225" s="212">
        <f t="shared" si="91"/>
        <v>0</v>
      </c>
      <c r="AI225" s="212">
        <f t="shared" si="91"/>
        <v>0</v>
      </c>
      <c r="AJ225" s="212">
        <f t="shared" si="91"/>
        <v>0</v>
      </c>
      <c r="AK225" s="212">
        <f t="shared" si="91"/>
        <v>0</v>
      </c>
      <c r="AL225" s="212">
        <f t="shared" ref="AL225:AP225" si="92">AL224</f>
        <v>1620943025</v>
      </c>
      <c r="AM225" s="212">
        <f t="shared" si="92"/>
        <v>0</v>
      </c>
      <c r="AN225" s="212">
        <f t="shared" si="92"/>
        <v>391562917</v>
      </c>
      <c r="AO225" s="212">
        <f t="shared" si="92"/>
        <v>0</v>
      </c>
      <c r="AP225" s="212">
        <f t="shared" si="92"/>
        <v>4816161827</v>
      </c>
    </row>
    <row r="226" spans="1:42" s="28" customFormat="1" ht="15" x14ac:dyDescent="0.25">
      <c r="A226" s="213"/>
      <c r="B226" s="214"/>
      <c r="C226" s="454"/>
      <c r="D226" s="409"/>
      <c r="E226" s="188"/>
      <c r="F226" s="188"/>
      <c r="G226" s="214"/>
      <c r="H226" s="454"/>
      <c r="I226" s="214"/>
      <c r="J226" s="383"/>
      <c r="K226" s="454"/>
      <c r="L226" s="454"/>
      <c r="M226" s="216"/>
      <c r="N226" s="214"/>
      <c r="O226" s="454"/>
      <c r="P226" s="217"/>
      <c r="Q226" s="217"/>
      <c r="R226" s="217"/>
      <c r="S226" s="217"/>
      <c r="T226" s="217"/>
      <c r="U226" s="217"/>
      <c r="V226" s="217"/>
      <c r="W226" s="217"/>
      <c r="X226" s="217"/>
      <c r="Y226" s="217"/>
      <c r="Z226" s="217"/>
      <c r="AA226" s="217"/>
      <c r="AB226" s="217"/>
      <c r="AC226" s="217"/>
      <c r="AD226" s="218"/>
      <c r="AE226" s="218"/>
      <c r="AF226" s="218"/>
      <c r="AG226" s="218"/>
      <c r="AH226" s="218"/>
      <c r="AI226" s="218"/>
      <c r="AJ226" s="217"/>
      <c r="AK226" s="217"/>
      <c r="AL226" s="219"/>
      <c r="AM226" s="220"/>
      <c r="AN226" s="217"/>
      <c r="AO226" s="217"/>
      <c r="AP226" s="221"/>
    </row>
    <row r="227" spans="1:42" s="196" customFormat="1" ht="20.25" x14ac:dyDescent="0.25">
      <c r="A227" s="165" t="s">
        <v>295</v>
      </c>
      <c r="B227" s="166"/>
      <c r="C227" s="167"/>
      <c r="D227" s="166"/>
      <c r="E227" s="166"/>
      <c r="F227" s="166"/>
      <c r="G227" s="166"/>
      <c r="H227" s="167"/>
      <c r="I227" s="166"/>
      <c r="J227" s="166"/>
      <c r="K227" s="166"/>
      <c r="L227" s="166"/>
      <c r="M227" s="168"/>
      <c r="N227" s="166"/>
      <c r="O227" s="167"/>
      <c r="P227" s="166"/>
      <c r="Q227" s="166"/>
      <c r="R227" s="166"/>
      <c r="S227" s="166"/>
      <c r="T227" s="166"/>
      <c r="U227" s="166"/>
      <c r="V227" s="166"/>
      <c r="W227" s="166"/>
      <c r="X227" s="166"/>
      <c r="Y227" s="166"/>
      <c r="Z227" s="166"/>
      <c r="AA227" s="166"/>
      <c r="AB227" s="166"/>
      <c r="AC227" s="166"/>
      <c r="AD227" s="166"/>
      <c r="AE227" s="166"/>
      <c r="AF227" s="166"/>
      <c r="AG227" s="166"/>
      <c r="AH227" s="166"/>
      <c r="AI227" s="166"/>
      <c r="AJ227" s="166"/>
      <c r="AK227" s="166"/>
      <c r="AL227" s="169"/>
      <c r="AM227" s="170"/>
      <c r="AN227" s="166"/>
      <c r="AO227" s="166"/>
      <c r="AP227" s="172" t="s">
        <v>0</v>
      </c>
    </row>
    <row r="228" spans="1:42" s="196" customFormat="1" x14ac:dyDescent="0.25">
      <c r="A228" s="173">
        <v>2</v>
      </c>
      <c r="B228" s="174" t="s">
        <v>119</v>
      </c>
      <c r="C228" s="175"/>
      <c r="D228" s="174"/>
      <c r="E228" s="174"/>
      <c r="F228" s="174"/>
      <c r="G228" s="174"/>
      <c r="H228" s="175"/>
      <c r="I228" s="174"/>
      <c r="J228" s="174"/>
      <c r="K228" s="174"/>
      <c r="L228" s="174"/>
      <c r="M228" s="176"/>
      <c r="N228" s="174"/>
      <c r="O228" s="174"/>
      <c r="P228" s="174"/>
      <c r="Q228" s="174"/>
      <c r="R228" s="174"/>
      <c r="S228" s="174"/>
      <c r="T228" s="174"/>
      <c r="U228" s="174"/>
      <c r="V228" s="174"/>
      <c r="W228" s="174"/>
      <c r="X228" s="174"/>
      <c r="Y228" s="174"/>
      <c r="Z228" s="174"/>
      <c r="AA228" s="174"/>
      <c r="AB228" s="174"/>
      <c r="AC228" s="174"/>
      <c r="AD228" s="174"/>
      <c r="AE228" s="174"/>
      <c r="AF228" s="174"/>
      <c r="AG228" s="174"/>
      <c r="AH228" s="174"/>
      <c r="AI228" s="174"/>
      <c r="AJ228" s="174"/>
      <c r="AK228" s="174"/>
      <c r="AL228" s="177"/>
      <c r="AM228" s="174"/>
      <c r="AN228" s="174"/>
      <c r="AO228" s="174"/>
      <c r="AP228" s="178"/>
    </row>
    <row r="229" spans="1:42" s="196" customFormat="1" x14ac:dyDescent="0.25">
      <c r="A229" s="223"/>
      <c r="B229" s="291">
        <v>2</v>
      </c>
      <c r="C229" s="181" t="s">
        <v>296</v>
      </c>
      <c r="D229" s="182"/>
      <c r="E229" s="182"/>
      <c r="F229" s="182"/>
      <c r="G229" s="182"/>
      <c r="H229" s="183"/>
      <c r="I229" s="182"/>
      <c r="J229" s="182"/>
      <c r="K229" s="182"/>
      <c r="L229" s="182"/>
      <c r="M229" s="184"/>
      <c r="N229" s="182"/>
      <c r="O229" s="182"/>
      <c r="P229" s="182"/>
      <c r="Q229" s="182"/>
      <c r="R229" s="182"/>
      <c r="S229" s="182"/>
      <c r="T229" s="182"/>
      <c r="U229" s="182"/>
      <c r="V229" s="182"/>
      <c r="W229" s="182"/>
      <c r="X229" s="182"/>
      <c r="Y229" s="182"/>
      <c r="Z229" s="182"/>
      <c r="AA229" s="182"/>
      <c r="AB229" s="182"/>
      <c r="AC229" s="182"/>
      <c r="AD229" s="182"/>
      <c r="AE229" s="182"/>
      <c r="AF229" s="182"/>
      <c r="AG229" s="182"/>
      <c r="AH229" s="182"/>
      <c r="AI229" s="182"/>
      <c r="AJ229" s="182"/>
      <c r="AK229" s="182"/>
      <c r="AL229" s="185"/>
      <c r="AM229" s="182"/>
      <c r="AN229" s="182"/>
      <c r="AO229" s="182"/>
      <c r="AP229" s="186"/>
    </row>
    <row r="230" spans="1:42" s="196" customFormat="1" ht="15" x14ac:dyDescent="0.25">
      <c r="A230" s="20"/>
      <c r="B230" s="223"/>
      <c r="C230" s="454"/>
      <c r="D230" s="214"/>
      <c r="E230" s="454"/>
      <c r="F230" s="150"/>
      <c r="G230" s="410">
        <v>8</v>
      </c>
      <c r="H230" s="904" t="s">
        <v>297</v>
      </c>
      <c r="I230" s="904"/>
      <c r="J230" s="904"/>
      <c r="K230" s="904"/>
      <c r="L230" s="904"/>
      <c r="M230" s="904"/>
      <c r="N230" s="904"/>
      <c r="O230" s="904"/>
      <c r="P230" s="904"/>
      <c r="Q230" s="227"/>
      <c r="R230" s="227"/>
      <c r="S230" s="227"/>
      <c r="T230" s="227"/>
      <c r="U230" s="227"/>
      <c r="V230" s="227"/>
      <c r="W230" s="227"/>
      <c r="X230" s="227"/>
      <c r="Y230" s="227"/>
      <c r="Z230" s="227"/>
      <c r="AA230" s="227"/>
      <c r="AB230" s="227"/>
      <c r="AC230" s="227"/>
      <c r="AD230" s="227"/>
      <c r="AE230" s="227"/>
      <c r="AF230" s="227"/>
      <c r="AG230" s="227"/>
      <c r="AH230" s="227"/>
      <c r="AI230" s="227"/>
      <c r="AJ230" s="227"/>
      <c r="AK230" s="227"/>
      <c r="AL230" s="229"/>
      <c r="AM230" s="227"/>
      <c r="AN230" s="227"/>
      <c r="AO230" s="227"/>
      <c r="AP230" s="230"/>
    </row>
    <row r="231" spans="1:42" s="28" customFormat="1" ht="59.25" customHeight="1" x14ac:dyDescent="0.25">
      <c r="A231" s="20"/>
      <c r="B231" s="20"/>
      <c r="C231" s="150">
        <v>5</v>
      </c>
      <c r="D231" s="151" t="s">
        <v>298</v>
      </c>
      <c r="E231" s="152">
        <v>12.9</v>
      </c>
      <c r="F231" s="152">
        <v>8.9</v>
      </c>
      <c r="G231" s="23"/>
      <c r="H231" s="152">
        <v>38</v>
      </c>
      <c r="I231" s="151" t="s">
        <v>299</v>
      </c>
      <c r="J231" s="12">
        <v>3</v>
      </c>
      <c r="K231" s="12">
        <v>4</v>
      </c>
      <c r="L231" s="893" t="s">
        <v>300</v>
      </c>
      <c r="M231" s="907" t="s">
        <v>301</v>
      </c>
      <c r="N231" s="893" t="s">
        <v>302</v>
      </c>
      <c r="O231" s="58" t="s">
        <v>44</v>
      </c>
      <c r="P231" s="26">
        <v>0</v>
      </c>
      <c r="Q231" s="26">
        <v>0</v>
      </c>
      <c r="R231" s="26">
        <v>0</v>
      </c>
      <c r="S231" s="26">
        <v>0</v>
      </c>
      <c r="T231" s="26">
        <v>0</v>
      </c>
      <c r="U231" s="26">
        <v>0</v>
      </c>
      <c r="V231" s="26">
        <v>0</v>
      </c>
      <c r="W231" s="26"/>
      <c r="X231" s="26"/>
      <c r="Y231" s="26"/>
      <c r="Z231" s="26">
        <v>0</v>
      </c>
      <c r="AA231" s="26"/>
      <c r="AB231" s="26">
        <v>0</v>
      </c>
      <c r="AC231" s="26">
        <v>0</v>
      </c>
      <c r="AD231" s="26"/>
      <c r="AE231" s="26"/>
      <c r="AF231" s="26"/>
      <c r="AG231" s="26"/>
      <c r="AH231" s="26"/>
      <c r="AI231" s="26"/>
      <c r="AJ231" s="26">
        <v>0</v>
      </c>
      <c r="AK231" s="26">
        <v>0</v>
      </c>
      <c r="AL231" s="113">
        <f>7500000+20000000+9000000</f>
        <v>36500000</v>
      </c>
      <c r="AM231" s="14"/>
      <c r="AN231" s="26">
        <v>0</v>
      </c>
      <c r="AO231" s="27">
        <v>0</v>
      </c>
      <c r="AP231" s="26">
        <f>P231+Q231+R231+S231+T231+U231+V231+W231+X231+Y231+Z231+AA231+AB231+AC231+AD231+AE231+AF231+AG231+AH231+AI231+AJ231+AK231+AL231+AM231+AN231+AO231</f>
        <v>36500000</v>
      </c>
    </row>
    <row r="232" spans="1:42" s="28" customFormat="1" ht="55.5" customHeight="1" x14ac:dyDescent="0.25">
      <c r="A232" s="20"/>
      <c r="B232" s="20"/>
      <c r="C232" s="150">
        <v>6</v>
      </c>
      <c r="D232" s="151" t="s">
        <v>303</v>
      </c>
      <c r="E232" s="135" t="s">
        <v>304</v>
      </c>
      <c r="F232" s="135" t="s">
        <v>305</v>
      </c>
      <c r="G232" s="29"/>
      <c r="H232" s="152">
        <v>39</v>
      </c>
      <c r="I232" s="23" t="s">
        <v>306</v>
      </c>
      <c r="J232" s="12">
        <v>0</v>
      </c>
      <c r="K232" s="12">
        <v>3</v>
      </c>
      <c r="L232" s="895"/>
      <c r="M232" s="909"/>
      <c r="N232" s="895"/>
      <c r="O232" s="58" t="s">
        <v>44</v>
      </c>
      <c r="P232" s="26"/>
      <c r="Q232" s="26"/>
      <c r="R232" s="26"/>
      <c r="S232" s="26"/>
      <c r="T232" s="26"/>
      <c r="U232" s="26"/>
      <c r="V232" s="26"/>
      <c r="W232" s="26"/>
      <c r="X232" s="26"/>
      <c r="Y232" s="26"/>
      <c r="Z232" s="26"/>
      <c r="AA232" s="26"/>
      <c r="AB232" s="26"/>
      <c r="AC232" s="26"/>
      <c r="AD232" s="26"/>
      <c r="AE232" s="26"/>
      <c r="AF232" s="26"/>
      <c r="AG232" s="26"/>
      <c r="AH232" s="26"/>
      <c r="AI232" s="26"/>
      <c r="AJ232" s="26"/>
      <c r="AK232" s="26"/>
      <c r="AL232" s="113">
        <f>7500000+20000000+10160000</f>
        <v>37660000</v>
      </c>
      <c r="AM232" s="14"/>
      <c r="AN232" s="26"/>
      <c r="AO232" s="27"/>
      <c r="AP232" s="26">
        <f>P232+Q232+R232+S232+T232+U232+V232+W232+X232+Y232+Z232+AA232+AB232+AC232+AD232+AE232+AF232+AG232+AH232+AI232+AJ232+AK232+AL232+AM232+AN232+AO232</f>
        <v>37660000</v>
      </c>
    </row>
    <row r="233" spans="1:42" s="28" customFormat="1" ht="70.5" customHeight="1" x14ac:dyDescent="0.25">
      <c r="A233" s="20"/>
      <c r="B233" s="20"/>
      <c r="C233" s="864">
        <v>5</v>
      </c>
      <c r="D233" s="1005" t="s">
        <v>298</v>
      </c>
      <c r="E233" s="876">
        <v>12.9</v>
      </c>
      <c r="F233" s="864">
        <v>8.9</v>
      </c>
      <c r="G233" s="29"/>
      <c r="H233" s="152">
        <v>40</v>
      </c>
      <c r="I233" s="151" t="s">
        <v>307</v>
      </c>
      <c r="J233" s="12">
        <v>0</v>
      </c>
      <c r="K233" s="12">
        <v>0.35</v>
      </c>
      <c r="L233" s="993" t="s">
        <v>300</v>
      </c>
      <c r="M233" s="907" t="s">
        <v>308</v>
      </c>
      <c r="N233" s="893" t="s">
        <v>309</v>
      </c>
      <c r="O233" s="58" t="s">
        <v>40</v>
      </c>
      <c r="P233" s="26">
        <v>0</v>
      </c>
      <c r="Q233" s="26">
        <v>0</v>
      </c>
      <c r="R233" s="26">
        <v>0</v>
      </c>
      <c r="S233" s="26">
        <v>0</v>
      </c>
      <c r="T233" s="26">
        <v>0</v>
      </c>
      <c r="U233" s="26">
        <v>0</v>
      </c>
      <c r="V233" s="26">
        <v>0</v>
      </c>
      <c r="W233" s="26"/>
      <c r="X233" s="26"/>
      <c r="Y233" s="26"/>
      <c r="Z233" s="26">
        <v>0</v>
      </c>
      <c r="AA233" s="26"/>
      <c r="AB233" s="26">
        <v>0</v>
      </c>
      <c r="AC233" s="26">
        <v>0</v>
      </c>
      <c r="AD233" s="26"/>
      <c r="AE233" s="26"/>
      <c r="AF233" s="26"/>
      <c r="AG233" s="26"/>
      <c r="AH233" s="26"/>
      <c r="AI233" s="26"/>
      <c r="AJ233" s="26">
        <v>0</v>
      </c>
      <c r="AK233" s="26">
        <v>0</v>
      </c>
      <c r="AL233" s="113">
        <f>22000000+22500000</f>
        <v>44500000</v>
      </c>
      <c r="AM233" s="14"/>
      <c r="AN233" s="26">
        <v>0</v>
      </c>
      <c r="AO233" s="27">
        <v>0</v>
      </c>
      <c r="AP233" s="26">
        <f>P233+Q233+R233+S233+T233+U233+V233+W233+X233+Y233+Z233+AA233+AB233+AC233+AD233+AE233+AF233+AG233+AH233+AI233+AJ233+AK233+AL233+AM233+AN233+AO233</f>
        <v>44500000</v>
      </c>
    </row>
    <row r="234" spans="1:42" s="28" customFormat="1" ht="42.75" x14ac:dyDescent="0.25">
      <c r="A234" s="20"/>
      <c r="B234" s="20"/>
      <c r="C234" s="865"/>
      <c r="D234" s="1005"/>
      <c r="E234" s="877"/>
      <c r="F234" s="865"/>
      <c r="G234" s="29"/>
      <c r="H234" s="152">
        <v>41</v>
      </c>
      <c r="I234" s="151" t="s">
        <v>310</v>
      </c>
      <c r="J234" s="12">
        <v>0</v>
      </c>
      <c r="K234" s="12">
        <v>1</v>
      </c>
      <c r="L234" s="994"/>
      <c r="M234" s="908"/>
      <c r="N234" s="894"/>
      <c r="O234" s="58" t="s">
        <v>44</v>
      </c>
      <c r="P234" s="26">
        <v>0</v>
      </c>
      <c r="Q234" s="26">
        <v>0</v>
      </c>
      <c r="R234" s="26">
        <v>0</v>
      </c>
      <c r="S234" s="26">
        <v>0</v>
      </c>
      <c r="T234" s="26">
        <v>0</v>
      </c>
      <c r="U234" s="26">
        <v>0</v>
      </c>
      <c r="V234" s="26">
        <v>0</v>
      </c>
      <c r="W234" s="26"/>
      <c r="X234" s="26"/>
      <c r="Y234" s="26"/>
      <c r="Z234" s="26">
        <v>0</v>
      </c>
      <c r="AA234" s="26"/>
      <c r="AB234" s="26">
        <v>0</v>
      </c>
      <c r="AC234" s="26">
        <v>0</v>
      </c>
      <c r="AD234" s="26"/>
      <c r="AE234" s="26"/>
      <c r="AF234" s="26"/>
      <c r="AG234" s="26"/>
      <c r="AH234" s="26"/>
      <c r="AI234" s="26"/>
      <c r="AJ234" s="26">
        <v>0</v>
      </c>
      <c r="AK234" s="26">
        <v>0</v>
      </c>
      <c r="AL234" s="113">
        <f>27500000-22500000+10000000</f>
        <v>15000000</v>
      </c>
      <c r="AM234" s="14"/>
      <c r="AN234" s="26">
        <v>0</v>
      </c>
      <c r="AO234" s="27">
        <v>0</v>
      </c>
      <c r="AP234" s="26">
        <f>P234+Q234+R234+S234+T234+U234+V234+W234+X234+Y234+Z234+AA234+AB234+AC234+AD234+AE234+AF234+AG234+AH234+AI234+AJ234+AK234+AL234+AM234+AN234+AO234</f>
        <v>15000000</v>
      </c>
    </row>
    <row r="235" spans="1:42" s="28" customFormat="1" ht="53.25" customHeight="1" x14ac:dyDescent="0.25">
      <c r="A235" s="20"/>
      <c r="B235" s="20"/>
      <c r="C235" s="72">
        <v>6</v>
      </c>
      <c r="D235" s="73" t="s">
        <v>303</v>
      </c>
      <c r="E235" s="74" t="s">
        <v>304</v>
      </c>
      <c r="F235" s="74" t="s">
        <v>305</v>
      </c>
      <c r="G235" s="31"/>
      <c r="H235" s="152">
        <v>42</v>
      </c>
      <c r="I235" s="151" t="s">
        <v>311</v>
      </c>
      <c r="J235" s="12">
        <v>1</v>
      </c>
      <c r="K235" s="12">
        <v>1</v>
      </c>
      <c r="L235" s="995"/>
      <c r="M235" s="909"/>
      <c r="N235" s="895"/>
      <c r="O235" s="58" t="s">
        <v>44</v>
      </c>
      <c r="P235" s="26">
        <v>0</v>
      </c>
      <c r="Q235" s="26">
        <v>0</v>
      </c>
      <c r="R235" s="26">
        <v>0</v>
      </c>
      <c r="S235" s="26">
        <v>0</v>
      </c>
      <c r="T235" s="26">
        <v>0</v>
      </c>
      <c r="U235" s="26">
        <v>0</v>
      </c>
      <c r="V235" s="26">
        <v>0</v>
      </c>
      <c r="W235" s="26"/>
      <c r="X235" s="26"/>
      <c r="Y235" s="26"/>
      <c r="Z235" s="26">
        <v>0</v>
      </c>
      <c r="AA235" s="26"/>
      <c r="AB235" s="26">
        <v>0</v>
      </c>
      <c r="AC235" s="26">
        <v>0</v>
      </c>
      <c r="AD235" s="26"/>
      <c r="AE235" s="26"/>
      <c r="AF235" s="26"/>
      <c r="AG235" s="26"/>
      <c r="AH235" s="26"/>
      <c r="AI235" s="26"/>
      <c r="AJ235" s="26">
        <v>0</v>
      </c>
      <c r="AK235" s="26">
        <v>0</v>
      </c>
      <c r="AL235" s="113">
        <f>7500000+20000000+48300000</f>
        <v>75800000</v>
      </c>
      <c r="AM235" s="14"/>
      <c r="AN235" s="26">
        <v>0</v>
      </c>
      <c r="AO235" s="26">
        <v>0</v>
      </c>
      <c r="AP235" s="26">
        <f>P235+Q235+R235+S235+T235+U235+V235+W235+X235+Y235+Z235+AA235+AB235+AC235+AD235+AE235+AF235+AG235+AH235+AI235+AJ235+AK235+AL235+AM235+AN235+AO235</f>
        <v>75800000</v>
      </c>
    </row>
    <row r="236" spans="1:42" s="196" customFormat="1" ht="15" x14ac:dyDescent="0.25">
      <c r="A236" s="20"/>
      <c r="B236" s="20"/>
      <c r="C236" s="150"/>
      <c r="D236" s="151"/>
      <c r="E236" s="152"/>
      <c r="F236" s="152"/>
      <c r="G236" s="191"/>
      <c r="H236" s="192"/>
      <c r="I236" s="191"/>
      <c r="J236" s="303"/>
      <c r="K236" s="303"/>
      <c r="L236" s="303"/>
      <c r="M236" s="194"/>
      <c r="N236" s="191"/>
      <c r="O236" s="192"/>
      <c r="P236" s="195">
        <f t="shared" ref="P236:AO236" si="93">SUM(P231:P235)</f>
        <v>0</v>
      </c>
      <c r="Q236" s="195">
        <f t="shared" si="93"/>
        <v>0</v>
      </c>
      <c r="R236" s="195">
        <f t="shared" si="93"/>
        <v>0</v>
      </c>
      <c r="S236" s="195">
        <f t="shared" si="93"/>
        <v>0</v>
      </c>
      <c r="T236" s="195">
        <f t="shared" si="93"/>
        <v>0</v>
      </c>
      <c r="U236" s="195">
        <f t="shared" si="93"/>
        <v>0</v>
      </c>
      <c r="V236" s="195">
        <f t="shared" si="93"/>
        <v>0</v>
      </c>
      <c r="W236" s="195">
        <f t="shared" si="93"/>
        <v>0</v>
      </c>
      <c r="X236" s="195">
        <f t="shared" si="93"/>
        <v>0</v>
      </c>
      <c r="Y236" s="195">
        <f t="shared" si="93"/>
        <v>0</v>
      </c>
      <c r="Z236" s="195">
        <f t="shared" si="93"/>
        <v>0</v>
      </c>
      <c r="AA236" s="195">
        <f t="shared" si="93"/>
        <v>0</v>
      </c>
      <c r="AB236" s="195">
        <f t="shared" si="93"/>
        <v>0</v>
      </c>
      <c r="AC236" s="195">
        <f t="shared" si="93"/>
        <v>0</v>
      </c>
      <c r="AD236" s="195">
        <f t="shared" si="93"/>
        <v>0</v>
      </c>
      <c r="AE236" s="195">
        <f t="shared" si="93"/>
        <v>0</v>
      </c>
      <c r="AF236" s="195">
        <f t="shared" si="93"/>
        <v>0</v>
      </c>
      <c r="AG236" s="195">
        <f t="shared" si="93"/>
        <v>0</v>
      </c>
      <c r="AH236" s="195">
        <f t="shared" si="93"/>
        <v>0</v>
      </c>
      <c r="AI236" s="195">
        <f t="shared" si="93"/>
        <v>0</v>
      </c>
      <c r="AJ236" s="195">
        <f t="shared" si="93"/>
        <v>0</v>
      </c>
      <c r="AK236" s="195">
        <f t="shared" si="93"/>
        <v>0</v>
      </c>
      <c r="AL236" s="195">
        <f t="shared" si="93"/>
        <v>209460000</v>
      </c>
      <c r="AM236" s="195">
        <f t="shared" si="93"/>
        <v>0</v>
      </c>
      <c r="AN236" s="195">
        <f t="shared" si="93"/>
        <v>0</v>
      </c>
      <c r="AO236" s="195">
        <f t="shared" si="93"/>
        <v>0</v>
      </c>
      <c r="AP236" s="195">
        <f>SUM(AP231:AP235)</f>
        <v>209460000</v>
      </c>
    </row>
    <row r="237" spans="1:42" s="28" customFormat="1" ht="15" x14ac:dyDescent="0.25">
      <c r="A237" s="20"/>
      <c r="B237" s="20"/>
      <c r="C237" s="150"/>
      <c r="D237" s="151"/>
      <c r="E237" s="152"/>
      <c r="F237" s="152"/>
      <c r="G237" s="151"/>
      <c r="H237" s="152"/>
      <c r="I237" s="151"/>
      <c r="J237" s="12"/>
      <c r="K237" s="12"/>
      <c r="L237" s="141"/>
      <c r="M237" s="139"/>
      <c r="N237" s="136"/>
      <c r="O237" s="152"/>
      <c r="P237" s="26"/>
      <c r="Q237" s="26"/>
      <c r="R237" s="26"/>
      <c r="S237" s="26"/>
      <c r="T237" s="26"/>
      <c r="U237" s="26"/>
      <c r="V237" s="26"/>
      <c r="W237" s="26"/>
      <c r="X237" s="26"/>
      <c r="Y237" s="26"/>
      <c r="Z237" s="26"/>
      <c r="AA237" s="26"/>
      <c r="AB237" s="26"/>
      <c r="AC237" s="26"/>
      <c r="AD237" s="26"/>
      <c r="AE237" s="26"/>
      <c r="AF237" s="26"/>
      <c r="AG237" s="26"/>
      <c r="AH237" s="26"/>
      <c r="AI237" s="26"/>
      <c r="AJ237" s="26"/>
      <c r="AK237" s="26"/>
      <c r="AL237" s="118"/>
      <c r="AM237" s="84"/>
      <c r="AN237" s="26"/>
      <c r="AO237" s="27"/>
      <c r="AP237" s="26"/>
    </row>
    <row r="238" spans="1:42" s="196" customFormat="1" ht="15" x14ac:dyDescent="0.25">
      <c r="A238" s="20"/>
      <c r="B238" s="20"/>
      <c r="C238" s="150"/>
      <c r="D238" s="151"/>
      <c r="E238" s="152"/>
      <c r="F238" s="152"/>
      <c r="G238" s="308">
        <v>9</v>
      </c>
      <c r="H238" s="327" t="s">
        <v>312</v>
      </c>
      <c r="I238" s="227"/>
      <c r="J238" s="227"/>
      <c r="K238" s="227"/>
      <c r="L238" s="227"/>
      <c r="M238" s="227"/>
      <c r="N238" s="227"/>
      <c r="O238" s="227"/>
      <c r="P238" s="227"/>
      <c r="Q238" s="227"/>
      <c r="R238" s="227"/>
      <c r="S238" s="227"/>
      <c r="T238" s="227"/>
      <c r="U238" s="227"/>
      <c r="V238" s="227"/>
      <c r="W238" s="227"/>
      <c r="X238" s="227"/>
      <c r="Y238" s="227"/>
      <c r="Z238" s="227"/>
      <c r="AA238" s="227"/>
      <c r="AB238" s="227"/>
      <c r="AC238" s="227"/>
      <c r="AD238" s="227"/>
      <c r="AE238" s="227"/>
      <c r="AF238" s="227"/>
      <c r="AG238" s="227"/>
      <c r="AH238" s="227"/>
      <c r="AI238" s="227"/>
      <c r="AJ238" s="227"/>
      <c r="AK238" s="227"/>
      <c r="AL238" s="229"/>
      <c r="AM238" s="227"/>
      <c r="AN238" s="227"/>
      <c r="AO238" s="227"/>
      <c r="AP238" s="230"/>
    </row>
    <row r="239" spans="1:42" s="196" customFormat="1" ht="48.75" customHeight="1" x14ac:dyDescent="0.25">
      <c r="A239" s="20"/>
      <c r="B239" s="20"/>
      <c r="C239" s="143">
        <v>5</v>
      </c>
      <c r="D239" s="151" t="s">
        <v>298</v>
      </c>
      <c r="E239" s="133">
        <v>12.9</v>
      </c>
      <c r="F239" s="133">
        <v>8.9</v>
      </c>
      <c r="G239" s="876">
        <v>0</v>
      </c>
      <c r="H239" s="6">
        <v>43</v>
      </c>
      <c r="I239" s="151" t="s">
        <v>313</v>
      </c>
      <c r="J239" s="12" t="s">
        <v>36</v>
      </c>
      <c r="K239" s="12">
        <v>3</v>
      </c>
      <c r="L239" s="948" t="s">
        <v>300</v>
      </c>
      <c r="M239" s="907" t="s">
        <v>314</v>
      </c>
      <c r="N239" s="954" t="s">
        <v>315</v>
      </c>
      <c r="O239" s="6" t="s">
        <v>40</v>
      </c>
      <c r="P239" s="386">
        <v>0</v>
      </c>
      <c r="Q239" s="386">
        <v>0</v>
      </c>
      <c r="R239" s="386">
        <v>0</v>
      </c>
      <c r="S239" s="386">
        <v>0</v>
      </c>
      <c r="T239" s="386">
        <v>0</v>
      </c>
      <c r="U239" s="386">
        <v>0</v>
      </c>
      <c r="V239" s="386">
        <v>0</v>
      </c>
      <c r="W239" s="386"/>
      <c r="X239" s="386"/>
      <c r="Y239" s="386"/>
      <c r="Z239" s="386">
        <v>0</v>
      </c>
      <c r="AA239" s="386"/>
      <c r="AB239" s="386">
        <v>0</v>
      </c>
      <c r="AC239" s="386">
        <v>0</v>
      </c>
      <c r="AD239" s="304"/>
      <c r="AE239" s="304"/>
      <c r="AF239" s="304"/>
      <c r="AG239" s="304"/>
      <c r="AH239" s="304"/>
      <c r="AI239" s="304"/>
      <c r="AJ239" s="386">
        <v>0</v>
      </c>
      <c r="AK239" s="386">
        <v>0</v>
      </c>
      <c r="AL239" s="113">
        <f>40000000-10000000+47140000</f>
        <v>77140000</v>
      </c>
      <c r="AM239" s="14"/>
      <c r="AN239" s="386">
        <v>0</v>
      </c>
      <c r="AO239" s="348">
        <v>0</v>
      </c>
      <c r="AP239" s="26">
        <f>P239+Q239+R239+S239+T239+U239+V239+W239+X239+Y239+Z239+AA239+AB239+AC239+AD239+AE239+AF239+AG239+AH239+AI239+AJ239+AK239+AL239+AM239+AN239+AO239</f>
        <v>77140000</v>
      </c>
    </row>
    <row r="240" spans="1:42" s="196" customFormat="1" ht="49.5" customHeight="1" x14ac:dyDescent="0.25">
      <c r="A240" s="20"/>
      <c r="B240" s="20"/>
      <c r="C240" s="143">
        <v>6</v>
      </c>
      <c r="D240" s="151" t="s">
        <v>316</v>
      </c>
      <c r="E240" s="134" t="s">
        <v>304</v>
      </c>
      <c r="F240" s="134" t="s">
        <v>305</v>
      </c>
      <c r="G240" s="877"/>
      <c r="H240" s="6">
        <v>44</v>
      </c>
      <c r="I240" s="151" t="s">
        <v>317</v>
      </c>
      <c r="J240" s="12">
        <v>0</v>
      </c>
      <c r="K240" s="12">
        <v>1</v>
      </c>
      <c r="L240" s="958"/>
      <c r="M240" s="908"/>
      <c r="N240" s="955"/>
      <c r="O240" s="6" t="s">
        <v>44</v>
      </c>
      <c r="P240" s="386">
        <v>0</v>
      </c>
      <c r="Q240" s="386">
        <v>0</v>
      </c>
      <c r="R240" s="386">
        <v>0</v>
      </c>
      <c r="S240" s="386">
        <v>0</v>
      </c>
      <c r="T240" s="386">
        <v>0</v>
      </c>
      <c r="U240" s="386">
        <v>0</v>
      </c>
      <c r="V240" s="386">
        <v>0</v>
      </c>
      <c r="W240" s="386"/>
      <c r="X240" s="386"/>
      <c r="Y240" s="386"/>
      <c r="Z240" s="386">
        <v>0</v>
      </c>
      <c r="AA240" s="386"/>
      <c r="AB240" s="386">
        <v>0</v>
      </c>
      <c r="AC240" s="386">
        <v>0</v>
      </c>
      <c r="AD240" s="304"/>
      <c r="AE240" s="304"/>
      <c r="AF240" s="304"/>
      <c r="AG240" s="304"/>
      <c r="AH240" s="304"/>
      <c r="AI240" s="304"/>
      <c r="AJ240" s="386">
        <v>0</v>
      </c>
      <c r="AK240" s="386">
        <v>0</v>
      </c>
      <c r="AL240" s="113">
        <f>40000000-7000000+20140000</f>
        <v>53140000</v>
      </c>
      <c r="AM240" s="14"/>
      <c r="AN240" s="386">
        <v>0</v>
      </c>
      <c r="AO240" s="348">
        <v>0</v>
      </c>
      <c r="AP240" s="26">
        <f>P240+Q240+R240+S240+T240+U240+V240+W240+X240+Y240+Z240+AA240+AB240+AC240+AD240+AE240+AF240+AG240+AH240+AI240+AJ240+AK240+AL240+AM240+AN240+AO240</f>
        <v>53140000</v>
      </c>
    </row>
    <row r="241" spans="1:46" s="196" customFormat="1" ht="57" x14ac:dyDescent="0.25">
      <c r="A241" s="20"/>
      <c r="B241" s="20"/>
      <c r="C241" s="865">
        <v>7</v>
      </c>
      <c r="D241" s="1005" t="s">
        <v>318</v>
      </c>
      <c r="E241" s="877" t="s">
        <v>319</v>
      </c>
      <c r="F241" s="877">
        <v>27</v>
      </c>
      <c r="G241" s="877"/>
      <c r="H241" s="6">
        <v>45</v>
      </c>
      <c r="I241" s="151" t="s">
        <v>320</v>
      </c>
      <c r="J241" s="12" t="s">
        <v>36</v>
      </c>
      <c r="K241" s="12">
        <v>3</v>
      </c>
      <c r="L241" s="958"/>
      <c r="M241" s="908"/>
      <c r="N241" s="955"/>
      <c r="O241" s="6" t="s">
        <v>40</v>
      </c>
      <c r="P241" s="386"/>
      <c r="Q241" s="386"/>
      <c r="R241" s="386"/>
      <c r="S241" s="386"/>
      <c r="T241" s="386"/>
      <c r="U241" s="386"/>
      <c r="V241" s="386"/>
      <c r="W241" s="386"/>
      <c r="X241" s="386"/>
      <c r="Y241" s="386"/>
      <c r="Z241" s="386"/>
      <c r="AA241" s="386"/>
      <c r="AB241" s="386"/>
      <c r="AC241" s="386"/>
      <c r="AD241" s="304"/>
      <c r="AE241" s="304"/>
      <c r="AF241" s="304"/>
      <c r="AG241" s="304"/>
      <c r="AH241" s="304"/>
      <c r="AI241" s="304"/>
      <c r="AJ241" s="386"/>
      <c r="AK241" s="386"/>
      <c r="AL241" s="113">
        <f>40000000+17000000+12920000</f>
        <v>69920000</v>
      </c>
      <c r="AM241" s="14"/>
      <c r="AN241" s="386"/>
      <c r="AO241" s="348"/>
      <c r="AP241" s="26">
        <f>P241+Q241+R241+S241+T241+U241+V241+W241+X241+Y241+Z241+AA241+AB241+AC241+AD241+AE241+AF241+AG241+AH241+AI241+AJ241+AK241+AL241+AM241+AN241+AO241</f>
        <v>69920000</v>
      </c>
    </row>
    <row r="242" spans="1:46" s="196" customFormat="1" ht="57" x14ac:dyDescent="0.25">
      <c r="A242" s="20"/>
      <c r="B242" s="20"/>
      <c r="C242" s="866"/>
      <c r="D242" s="1005"/>
      <c r="E242" s="887"/>
      <c r="F242" s="887"/>
      <c r="G242" s="887"/>
      <c r="H242" s="6">
        <v>46</v>
      </c>
      <c r="I242" s="151" t="s">
        <v>321</v>
      </c>
      <c r="J242" s="12">
        <v>0</v>
      </c>
      <c r="K242" s="12">
        <v>1</v>
      </c>
      <c r="L242" s="949"/>
      <c r="M242" s="909"/>
      <c r="N242" s="956"/>
      <c r="O242" s="6" t="s">
        <v>44</v>
      </c>
      <c r="P242" s="386">
        <v>0</v>
      </c>
      <c r="Q242" s="386">
        <v>0</v>
      </c>
      <c r="R242" s="386">
        <v>0</v>
      </c>
      <c r="S242" s="386">
        <v>0</v>
      </c>
      <c r="T242" s="386">
        <v>0</v>
      </c>
      <c r="U242" s="386">
        <v>0</v>
      </c>
      <c r="V242" s="386">
        <v>0</v>
      </c>
      <c r="W242" s="386"/>
      <c r="X242" s="386"/>
      <c r="Y242" s="386"/>
      <c r="Z242" s="386">
        <v>0</v>
      </c>
      <c r="AA242" s="386"/>
      <c r="AB242" s="386">
        <v>0</v>
      </c>
      <c r="AC242" s="386">
        <v>0</v>
      </c>
      <c r="AD242" s="304"/>
      <c r="AE242" s="304"/>
      <c r="AF242" s="304"/>
      <c r="AG242" s="304"/>
      <c r="AH242" s="304"/>
      <c r="AI242" s="304"/>
      <c r="AJ242" s="386">
        <v>0</v>
      </c>
      <c r="AK242" s="386">
        <v>0</v>
      </c>
      <c r="AL242" s="113">
        <f>25000000+25000000+165000000</f>
        <v>215000000</v>
      </c>
      <c r="AM242" s="14"/>
      <c r="AN242" s="386">
        <v>0</v>
      </c>
      <c r="AO242" s="348">
        <v>0</v>
      </c>
      <c r="AP242" s="26">
        <f>P242+Q242+R242+S242+T242+U242+V242+W242+X242+Y242+Z242+AA242+AB242+AC242+AD242+AE242+AF242+AG242+AH242+AI242+AJ242+AK242+AL242+AM242+AN242+AO242</f>
        <v>215000000</v>
      </c>
    </row>
    <row r="243" spans="1:46" s="196" customFormat="1" ht="15" x14ac:dyDescent="0.25">
      <c r="A243" s="20"/>
      <c r="B243" s="20"/>
      <c r="C243" s="150"/>
      <c r="D243" s="151"/>
      <c r="E243" s="152"/>
      <c r="F243" s="152"/>
      <c r="G243" s="191"/>
      <c r="H243" s="192"/>
      <c r="I243" s="191"/>
      <c r="J243" s="303"/>
      <c r="K243" s="303"/>
      <c r="L243" s="303"/>
      <c r="M243" s="194"/>
      <c r="N243" s="191"/>
      <c r="O243" s="192"/>
      <c r="P243" s="195">
        <f t="shared" ref="P243:AO243" si="94">SUM(P239:P242)</f>
        <v>0</v>
      </c>
      <c r="Q243" s="195">
        <f t="shared" si="94"/>
        <v>0</v>
      </c>
      <c r="R243" s="195">
        <f t="shared" si="94"/>
        <v>0</v>
      </c>
      <c r="S243" s="195">
        <f t="shared" si="94"/>
        <v>0</v>
      </c>
      <c r="T243" s="195">
        <f t="shared" si="94"/>
        <v>0</v>
      </c>
      <c r="U243" s="195">
        <f t="shared" si="94"/>
        <v>0</v>
      </c>
      <c r="V243" s="195">
        <f t="shared" si="94"/>
        <v>0</v>
      </c>
      <c r="W243" s="195">
        <f t="shared" si="94"/>
        <v>0</v>
      </c>
      <c r="X243" s="195">
        <f t="shared" si="94"/>
        <v>0</v>
      </c>
      <c r="Y243" s="195">
        <f t="shared" si="94"/>
        <v>0</v>
      </c>
      <c r="Z243" s="195">
        <f t="shared" si="94"/>
        <v>0</v>
      </c>
      <c r="AA243" s="195">
        <f t="shared" si="94"/>
        <v>0</v>
      </c>
      <c r="AB243" s="195">
        <f t="shared" si="94"/>
        <v>0</v>
      </c>
      <c r="AC243" s="195">
        <f t="shared" si="94"/>
        <v>0</v>
      </c>
      <c r="AD243" s="195">
        <f t="shared" si="94"/>
        <v>0</v>
      </c>
      <c r="AE243" s="195">
        <f t="shared" si="94"/>
        <v>0</v>
      </c>
      <c r="AF243" s="195">
        <f t="shared" si="94"/>
        <v>0</v>
      </c>
      <c r="AG243" s="195">
        <f t="shared" si="94"/>
        <v>0</v>
      </c>
      <c r="AH243" s="195">
        <f t="shared" si="94"/>
        <v>0</v>
      </c>
      <c r="AI243" s="195">
        <f t="shared" si="94"/>
        <v>0</v>
      </c>
      <c r="AJ243" s="195">
        <f t="shared" si="94"/>
        <v>0</v>
      </c>
      <c r="AK243" s="195">
        <f t="shared" si="94"/>
        <v>0</v>
      </c>
      <c r="AL243" s="195">
        <f t="shared" si="94"/>
        <v>415200000</v>
      </c>
      <c r="AM243" s="195">
        <f t="shared" si="94"/>
        <v>0</v>
      </c>
      <c r="AN243" s="195">
        <f t="shared" si="94"/>
        <v>0</v>
      </c>
      <c r="AO243" s="195">
        <f t="shared" si="94"/>
        <v>0</v>
      </c>
      <c r="AP243" s="195">
        <f>SUM(AP239:AP242)</f>
        <v>415200000</v>
      </c>
    </row>
    <row r="244" spans="1:46" s="412" customFormat="1" ht="15" x14ac:dyDescent="0.25">
      <c r="A244" s="20"/>
      <c r="B244" s="20"/>
      <c r="C244" s="454"/>
      <c r="D244" s="214"/>
      <c r="E244" s="454"/>
      <c r="F244" s="454"/>
      <c r="G244" s="214"/>
      <c r="H244" s="454"/>
      <c r="I244" s="214"/>
      <c r="J244" s="314"/>
      <c r="K244" s="314"/>
      <c r="L244" s="314"/>
      <c r="M244" s="216"/>
      <c r="N244" s="214"/>
      <c r="O244" s="454"/>
      <c r="P244" s="217"/>
      <c r="Q244" s="217"/>
      <c r="R244" s="217"/>
      <c r="S244" s="217"/>
      <c r="T244" s="217"/>
      <c r="U244" s="217"/>
      <c r="V244" s="217"/>
      <c r="W244" s="217"/>
      <c r="X244" s="217"/>
      <c r="Y244" s="217"/>
      <c r="Z244" s="217"/>
      <c r="AA244" s="217"/>
      <c r="AB244" s="217"/>
      <c r="AC244" s="217"/>
      <c r="AD244" s="217"/>
      <c r="AE244" s="217"/>
      <c r="AF244" s="217"/>
      <c r="AG244" s="217"/>
      <c r="AH244" s="217"/>
      <c r="AI244" s="217"/>
      <c r="AJ244" s="217"/>
      <c r="AK244" s="217"/>
      <c r="AL244" s="219"/>
      <c r="AM244" s="220"/>
      <c r="AN244" s="217"/>
      <c r="AO244" s="217"/>
      <c r="AP244" s="217"/>
      <c r="AQ244" s="28"/>
      <c r="AR244" s="28"/>
      <c r="AS244" s="28"/>
      <c r="AT244" s="28"/>
    </row>
    <row r="245" spans="1:46" s="196" customFormat="1" ht="15" x14ac:dyDescent="0.25">
      <c r="A245" s="20"/>
      <c r="B245" s="20"/>
      <c r="C245" s="144"/>
      <c r="D245" s="138"/>
      <c r="E245" s="135"/>
      <c r="F245" s="135"/>
      <c r="G245" s="413">
        <v>10</v>
      </c>
      <c r="H245" s="327" t="s">
        <v>322</v>
      </c>
      <c r="I245" s="227"/>
      <c r="J245" s="227"/>
      <c r="K245" s="227"/>
      <c r="L245" s="227"/>
      <c r="M245" s="227"/>
      <c r="N245" s="227"/>
      <c r="O245" s="227"/>
      <c r="P245" s="227"/>
      <c r="Q245" s="227"/>
      <c r="R245" s="227"/>
      <c r="S245" s="227"/>
      <c r="T245" s="227"/>
      <c r="U245" s="227"/>
      <c r="V245" s="227"/>
      <c r="W245" s="227"/>
      <c r="X245" s="227"/>
      <c r="Y245" s="227"/>
      <c r="Z245" s="227"/>
      <c r="AA245" s="227"/>
      <c r="AB245" s="227"/>
      <c r="AC245" s="227"/>
      <c r="AD245" s="227"/>
      <c r="AE245" s="227"/>
      <c r="AF245" s="227"/>
      <c r="AG245" s="227"/>
      <c r="AH245" s="227"/>
      <c r="AI245" s="227"/>
      <c r="AJ245" s="227"/>
      <c r="AK245" s="227"/>
      <c r="AL245" s="229"/>
      <c r="AM245" s="227"/>
      <c r="AN245" s="227"/>
      <c r="AO245" s="227"/>
      <c r="AP245" s="230"/>
    </row>
    <row r="246" spans="1:46" s="28" customFormat="1" ht="79.5" customHeight="1" x14ac:dyDescent="0.25">
      <c r="A246" s="20"/>
      <c r="B246" s="20"/>
      <c r="C246" s="143">
        <v>5</v>
      </c>
      <c r="D246" s="136" t="s">
        <v>323</v>
      </c>
      <c r="E246" s="133" t="s">
        <v>324</v>
      </c>
      <c r="F246" s="133" t="s">
        <v>325</v>
      </c>
      <c r="G246" s="29"/>
      <c r="H246" s="152">
        <v>47</v>
      </c>
      <c r="I246" s="151" t="s">
        <v>326</v>
      </c>
      <c r="J246" s="12">
        <v>0</v>
      </c>
      <c r="K246" s="12">
        <v>24</v>
      </c>
      <c r="L246" s="1003" t="s">
        <v>300</v>
      </c>
      <c r="M246" s="907" t="s">
        <v>327</v>
      </c>
      <c r="N246" s="893" t="s">
        <v>328</v>
      </c>
      <c r="O246" s="152" t="s">
        <v>40</v>
      </c>
      <c r="P246" s="26"/>
      <c r="Q246" s="26"/>
      <c r="R246" s="26"/>
      <c r="S246" s="26"/>
      <c r="T246" s="26"/>
      <c r="U246" s="26"/>
      <c r="V246" s="26"/>
      <c r="W246" s="26"/>
      <c r="X246" s="26"/>
      <c r="Y246" s="26"/>
      <c r="Z246" s="26"/>
      <c r="AA246" s="26"/>
      <c r="AB246" s="26"/>
      <c r="AC246" s="26"/>
      <c r="AD246" s="26"/>
      <c r="AE246" s="26"/>
      <c r="AF246" s="26"/>
      <c r="AG246" s="26"/>
      <c r="AH246" s="26"/>
      <c r="AI246" s="26"/>
      <c r="AJ246" s="26"/>
      <c r="AK246" s="26"/>
      <c r="AL246" s="113">
        <f>78750000+5625000+83920000</f>
        <v>168295000</v>
      </c>
      <c r="AM246" s="14"/>
      <c r="AN246" s="26"/>
      <c r="AO246" s="27"/>
      <c r="AP246" s="26">
        <f>P246+Q246+R246+S246+T246+U246+V246+W246+X246+Y246+Z246+AA246+AB246+AC246+AD246+AE246+AF246+AG246+AH246+AI246+AJ246+AK246+AL246+AM246+AN246+AO246</f>
        <v>168295000</v>
      </c>
    </row>
    <row r="247" spans="1:46" s="28" customFormat="1" ht="57" customHeight="1" x14ac:dyDescent="0.25">
      <c r="A247" s="20"/>
      <c r="B247" s="20"/>
      <c r="C247" s="145">
        <v>6</v>
      </c>
      <c r="D247" s="29" t="s">
        <v>316</v>
      </c>
      <c r="E247" s="134" t="s">
        <v>304</v>
      </c>
      <c r="F247" s="134" t="s">
        <v>305</v>
      </c>
      <c r="G247" s="29"/>
      <c r="H247" s="152">
        <v>48</v>
      </c>
      <c r="I247" s="151" t="s">
        <v>329</v>
      </c>
      <c r="J247" s="12">
        <v>0</v>
      </c>
      <c r="K247" s="12">
        <v>1</v>
      </c>
      <c r="L247" s="1006"/>
      <c r="M247" s="908"/>
      <c r="N247" s="894"/>
      <c r="O247" s="152" t="s">
        <v>44</v>
      </c>
      <c r="P247" s="26">
        <v>0</v>
      </c>
      <c r="Q247" s="26">
        <v>0</v>
      </c>
      <c r="R247" s="26">
        <v>0</v>
      </c>
      <c r="S247" s="26">
        <v>0</v>
      </c>
      <c r="T247" s="26">
        <v>0</v>
      </c>
      <c r="U247" s="26">
        <v>0</v>
      </c>
      <c r="V247" s="26">
        <v>0</v>
      </c>
      <c r="W247" s="26"/>
      <c r="X247" s="26"/>
      <c r="Y247" s="26"/>
      <c r="Z247" s="26">
        <v>0</v>
      </c>
      <c r="AA247" s="26"/>
      <c r="AB247" s="26">
        <v>0</v>
      </c>
      <c r="AC247" s="26">
        <v>0</v>
      </c>
      <c r="AD247" s="26"/>
      <c r="AE247" s="26"/>
      <c r="AF247" s="26"/>
      <c r="AG247" s="26"/>
      <c r="AH247" s="26"/>
      <c r="AI247" s="26"/>
      <c r="AJ247" s="26">
        <v>0</v>
      </c>
      <c r="AK247" s="26">
        <v>0</v>
      </c>
      <c r="AL247" s="113">
        <f>205625000-5625000</f>
        <v>200000000</v>
      </c>
      <c r="AM247" s="14"/>
      <c r="AN247" s="26">
        <v>0</v>
      </c>
      <c r="AO247" s="27">
        <v>0</v>
      </c>
      <c r="AP247" s="26">
        <f>P247+Q247+R247+S247+T247+U247+V247+W247+X247+Y247+Z247+AA247+AB247+AC247+AD247+AE247+AF247+AG247+AH247+AI247+AJ247+AK247+AL247+AM247+AN247+AO247</f>
        <v>200000000</v>
      </c>
    </row>
    <row r="248" spans="1:46" s="28" customFormat="1" ht="84" customHeight="1" thickBot="1" x14ac:dyDescent="0.3">
      <c r="A248" s="20"/>
      <c r="B248" s="20"/>
      <c r="C248" s="144">
        <v>7</v>
      </c>
      <c r="D248" s="138" t="s">
        <v>318</v>
      </c>
      <c r="E248" s="75">
        <v>31.7</v>
      </c>
      <c r="F248" s="135" t="s">
        <v>330</v>
      </c>
      <c r="G248" s="31"/>
      <c r="H248" s="152">
        <v>49</v>
      </c>
      <c r="I248" s="151" t="s">
        <v>331</v>
      </c>
      <c r="J248" s="12">
        <v>0</v>
      </c>
      <c r="K248" s="12">
        <v>1</v>
      </c>
      <c r="L248" s="1004"/>
      <c r="M248" s="909"/>
      <c r="N248" s="1007"/>
      <c r="O248" s="152" t="s">
        <v>44</v>
      </c>
      <c r="P248" s="26">
        <v>0</v>
      </c>
      <c r="Q248" s="26">
        <v>0</v>
      </c>
      <c r="R248" s="26">
        <v>0</v>
      </c>
      <c r="S248" s="26">
        <v>0</v>
      </c>
      <c r="T248" s="26">
        <v>0</v>
      </c>
      <c r="U248" s="26">
        <v>0</v>
      </c>
      <c r="V248" s="26">
        <v>0</v>
      </c>
      <c r="W248" s="26"/>
      <c r="X248" s="26"/>
      <c r="Y248" s="26"/>
      <c r="Z248" s="26">
        <v>0</v>
      </c>
      <c r="AA248" s="26"/>
      <c r="AB248" s="26">
        <v>0</v>
      </c>
      <c r="AC248" s="26">
        <v>0</v>
      </c>
      <c r="AD248" s="26"/>
      <c r="AE248" s="26"/>
      <c r="AF248" s="26"/>
      <c r="AG248" s="26"/>
      <c r="AH248" s="26"/>
      <c r="AI248" s="26"/>
      <c r="AJ248" s="26">
        <v>0</v>
      </c>
      <c r="AK248" s="26">
        <v>0</v>
      </c>
      <c r="AL248" s="113">
        <f>5625000+20000000+30000000</f>
        <v>55625000</v>
      </c>
      <c r="AM248" s="14"/>
      <c r="AN248" s="26">
        <v>0</v>
      </c>
      <c r="AO248" s="27">
        <v>0</v>
      </c>
      <c r="AP248" s="26">
        <f>P248+Q248+R248+S248+T248+U248+V248+W248+X248+Y248+Z248+AA248+AB248+AC248+AD248+AE248+AF248+AG248+AH248+AI248+AJ248+AK248+AL248+AM248+AN248+AO248</f>
        <v>55625000</v>
      </c>
    </row>
    <row r="249" spans="1:46" s="196" customFormat="1" thickTop="1" x14ac:dyDescent="0.25">
      <c r="A249" s="20"/>
      <c r="B249" s="189"/>
      <c r="C249" s="150"/>
      <c r="D249" s="151"/>
      <c r="E249" s="152"/>
      <c r="F249" s="152"/>
      <c r="G249" s="191"/>
      <c r="H249" s="192"/>
      <c r="I249" s="191"/>
      <c r="J249" s="303"/>
      <c r="K249" s="303"/>
      <c r="L249" s="303"/>
      <c r="M249" s="194"/>
      <c r="N249" s="191"/>
      <c r="O249" s="192"/>
      <c r="P249" s="195">
        <f>SUM(P246:P248)</f>
        <v>0</v>
      </c>
      <c r="Q249" s="195">
        <f t="shared" ref="Q249:AK249" si="95">SUM(Q246:Q248)</f>
        <v>0</v>
      </c>
      <c r="R249" s="195">
        <f t="shared" si="95"/>
        <v>0</v>
      </c>
      <c r="S249" s="195">
        <f t="shared" si="95"/>
        <v>0</v>
      </c>
      <c r="T249" s="195">
        <f t="shared" si="95"/>
        <v>0</v>
      </c>
      <c r="U249" s="195">
        <f t="shared" si="95"/>
        <v>0</v>
      </c>
      <c r="V249" s="195">
        <f t="shared" si="95"/>
        <v>0</v>
      </c>
      <c r="W249" s="195">
        <f t="shared" si="95"/>
        <v>0</v>
      </c>
      <c r="X249" s="195">
        <f t="shared" si="95"/>
        <v>0</v>
      </c>
      <c r="Y249" s="195">
        <f t="shared" si="95"/>
        <v>0</v>
      </c>
      <c r="Z249" s="195">
        <f t="shared" si="95"/>
        <v>0</v>
      </c>
      <c r="AA249" s="195">
        <f t="shared" si="95"/>
        <v>0</v>
      </c>
      <c r="AB249" s="195">
        <f t="shared" si="95"/>
        <v>0</v>
      </c>
      <c r="AC249" s="195">
        <f t="shared" si="95"/>
        <v>0</v>
      </c>
      <c r="AD249" s="195">
        <f t="shared" si="95"/>
        <v>0</v>
      </c>
      <c r="AE249" s="195">
        <f t="shared" si="95"/>
        <v>0</v>
      </c>
      <c r="AF249" s="195">
        <f t="shared" si="95"/>
        <v>0</v>
      </c>
      <c r="AG249" s="195">
        <f t="shared" si="95"/>
        <v>0</v>
      </c>
      <c r="AH249" s="195">
        <f t="shared" si="95"/>
        <v>0</v>
      </c>
      <c r="AI249" s="195">
        <f t="shared" si="95"/>
        <v>0</v>
      </c>
      <c r="AJ249" s="195">
        <f t="shared" si="95"/>
        <v>0</v>
      </c>
      <c r="AK249" s="195">
        <f t="shared" si="95"/>
        <v>0</v>
      </c>
      <c r="AL249" s="195">
        <f t="shared" ref="AL249:AO249" si="96">SUM(AL246:AL248)</f>
        <v>423920000</v>
      </c>
      <c r="AM249" s="195">
        <f t="shared" si="96"/>
        <v>0</v>
      </c>
      <c r="AN249" s="195">
        <f t="shared" si="96"/>
        <v>0</v>
      </c>
      <c r="AO249" s="195">
        <f t="shared" si="96"/>
        <v>0</v>
      </c>
      <c r="AP249" s="195">
        <f>SUM(AP246:AP248)</f>
        <v>423920000</v>
      </c>
    </row>
    <row r="250" spans="1:46" s="196" customFormat="1" ht="15" x14ac:dyDescent="0.25">
      <c r="A250" s="20"/>
      <c r="B250" s="260"/>
      <c r="C250" s="199"/>
      <c r="D250" s="198"/>
      <c r="E250" s="199"/>
      <c r="F250" s="199"/>
      <c r="G250" s="198"/>
      <c r="H250" s="199"/>
      <c r="I250" s="198"/>
      <c r="J250" s="311"/>
      <c r="K250" s="311"/>
      <c r="L250" s="311"/>
      <c r="M250" s="201"/>
      <c r="N250" s="198"/>
      <c r="O250" s="199"/>
      <c r="P250" s="202">
        <f t="shared" ref="P250:AK250" si="97">P249+P243+P236</f>
        <v>0</v>
      </c>
      <c r="Q250" s="202">
        <f t="shared" si="97"/>
        <v>0</v>
      </c>
      <c r="R250" s="202">
        <f t="shared" si="97"/>
        <v>0</v>
      </c>
      <c r="S250" s="202">
        <f t="shared" si="97"/>
        <v>0</v>
      </c>
      <c r="T250" s="202">
        <f t="shared" si="97"/>
        <v>0</v>
      </c>
      <c r="U250" s="202">
        <f t="shared" si="97"/>
        <v>0</v>
      </c>
      <c r="V250" s="202">
        <f t="shared" si="97"/>
        <v>0</v>
      </c>
      <c r="W250" s="202">
        <f t="shared" si="97"/>
        <v>0</v>
      </c>
      <c r="X250" s="202">
        <f t="shared" si="97"/>
        <v>0</v>
      </c>
      <c r="Y250" s="202">
        <f t="shared" si="97"/>
        <v>0</v>
      </c>
      <c r="Z250" s="202">
        <f t="shared" si="97"/>
        <v>0</v>
      </c>
      <c r="AA250" s="202">
        <f t="shared" si="97"/>
        <v>0</v>
      </c>
      <c r="AB250" s="202">
        <f t="shared" si="97"/>
        <v>0</v>
      </c>
      <c r="AC250" s="202">
        <f t="shared" si="97"/>
        <v>0</v>
      </c>
      <c r="AD250" s="202">
        <f t="shared" si="97"/>
        <v>0</v>
      </c>
      <c r="AE250" s="202">
        <f t="shared" si="97"/>
        <v>0</v>
      </c>
      <c r="AF250" s="202">
        <f t="shared" si="97"/>
        <v>0</v>
      </c>
      <c r="AG250" s="202">
        <f t="shared" si="97"/>
        <v>0</v>
      </c>
      <c r="AH250" s="202">
        <f t="shared" si="97"/>
        <v>0</v>
      </c>
      <c r="AI250" s="202">
        <f t="shared" si="97"/>
        <v>0</v>
      </c>
      <c r="AJ250" s="202">
        <f t="shared" si="97"/>
        <v>0</v>
      </c>
      <c r="AK250" s="202">
        <f t="shared" si="97"/>
        <v>0</v>
      </c>
      <c r="AL250" s="202">
        <f t="shared" ref="AL250:AO250" si="98">AL249+AL243+AL236</f>
        <v>1048580000</v>
      </c>
      <c r="AM250" s="202">
        <f t="shared" si="98"/>
        <v>0</v>
      </c>
      <c r="AN250" s="202">
        <f t="shared" si="98"/>
        <v>0</v>
      </c>
      <c r="AO250" s="202">
        <f t="shared" si="98"/>
        <v>0</v>
      </c>
      <c r="AP250" s="202">
        <f>AP249+AP243+AP236</f>
        <v>1048580000</v>
      </c>
    </row>
    <row r="251" spans="1:46" s="28" customFormat="1" ht="15" x14ac:dyDescent="0.25">
      <c r="A251" s="20"/>
      <c r="B251" s="36"/>
      <c r="C251" s="152"/>
      <c r="D251" s="151"/>
      <c r="E251" s="152"/>
      <c r="F251" s="152"/>
      <c r="G251" s="151"/>
      <c r="H251" s="152"/>
      <c r="I251" s="151"/>
      <c r="J251" s="12"/>
      <c r="K251" s="12"/>
      <c r="L251" s="12"/>
      <c r="M251" s="38"/>
      <c r="N251" s="151"/>
      <c r="O251" s="152"/>
      <c r="P251" s="26"/>
      <c r="Q251" s="26"/>
      <c r="R251" s="26"/>
      <c r="S251" s="26"/>
      <c r="T251" s="26"/>
      <c r="U251" s="26"/>
      <c r="V251" s="26"/>
      <c r="W251" s="26"/>
      <c r="X251" s="26"/>
      <c r="Y251" s="26"/>
      <c r="Z251" s="26"/>
      <c r="AA251" s="26"/>
      <c r="AB251" s="26"/>
      <c r="AC251" s="26"/>
      <c r="AD251" s="26"/>
      <c r="AE251" s="26"/>
      <c r="AF251" s="26"/>
      <c r="AG251" s="26"/>
      <c r="AH251" s="26"/>
      <c r="AI251" s="26"/>
      <c r="AJ251" s="26"/>
      <c r="AK251" s="26"/>
      <c r="AL251" s="113"/>
      <c r="AM251" s="26"/>
      <c r="AN251" s="26"/>
      <c r="AO251" s="27"/>
      <c r="AP251" s="27"/>
    </row>
    <row r="252" spans="1:46" s="28" customFormat="1" x14ac:dyDescent="0.25">
      <c r="A252" s="20"/>
      <c r="B252" s="291">
        <v>3</v>
      </c>
      <c r="C252" s="181" t="s">
        <v>332</v>
      </c>
      <c r="D252" s="182"/>
      <c r="E252" s="182"/>
      <c r="F252" s="182"/>
      <c r="G252" s="182"/>
      <c r="H252" s="183"/>
      <c r="I252" s="182"/>
      <c r="J252" s="182"/>
      <c r="K252" s="182"/>
      <c r="L252" s="182"/>
      <c r="M252" s="184"/>
      <c r="N252" s="182"/>
      <c r="O252" s="182"/>
      <c r="P252" s="182"/>
      <c r="Q252" s="182"/>
      <c r="R252" s="182"/>
      <c r="S252" s="182"/>
      <c r="T252" s="182"/>
      <c r="U252" s="182"/>
      <c r="V252" s="182"/>
      <c r="W252" s="182"/>
      <c r="X252" s="182"/>
      <c r="Y252" s="182"/>
      <c r="Z252" s="182"/>
      <c r="AA252" s="182"/>
      <c r="AB252" s="182"/>
      <c r="AC252" s="182"/>
      <c r="AD252" s="182"/>
      <c r="AE252" s="182"/>
      <c r="AF252" s="182"/>
      <c r="AG252" s="182"/>
      <c r="AH252" s="182"/>
      <c r="AI252" s="182"/>
      <c r="AJ252" s="182"/>
      <c r="AK252" s="182"/>
      <c r="AL252" s="185"/>
      <c r="AM252" s="182"/>
      <c r="AN252" s="182"/>
      <c r="AO252" s="182"/>
      <c r="AP252" s="186"/>
    </row>
    <row r="253" spans="1:46" s="28" customFormat="1" ht="15" x14ac:dyDescent="0.25">
      <c r="A253" s="20"/>
      <c r="B253" s="23" t="s">
        <v>0</v>
      </c>
      <c r="C253" s="292"/>
      <c r="D253" s="414"/>
      <c r="E253" s="414"/>
      <c r="F253" s="414"/>
      <c r="G253" s="394">
        <v>11</v>
      </c>
      <c r="H253" s="269" t="s">
        <v>333</v>
      </c>
      <c r="I253" s="269"/>
      <c r="J253" s="269"/>
      <c r="K253" s="269"/>
      <c r="L253" s="269"/>
      <c r="M253" s="269"/>
      <c r="N253" s="269"/>
      <c r="O253" s="269"/>
      <c r="P253" s="269"/>
      <c r="Q253" s="269"/>
      <c r="R253" s="269"/>
      <c r="S253" s="269"/>
      <c r="T253" s="269"/>
      <c r="U253" s="269"/>
      <c r="V253" s="269"/>
      <c r="W253" s="269"/>
      <c r="X253" s="269"/>
      <c r="Y253" s="269"/>
      <c r="Z253" s="269"/>
      <c r="AA253" s="269"/>
      <c r="AB253" s="269"/>
      <c r="AC253" s="269"/>
      <c r="AD253" s="269"/>
      <c r="AE253" s="269"/>
      <c r="AF253" s="269"/>
      <c r="AG253" s="269"/>
      <c r="AH253" s="269"/>
      <c r="AI253" s="269"/>
      <c r="AJ253" s="269"/>
      <c r="AK253" s="269"/>
      <c r="AL253" s="271"/>
      <c r="AM253" s="269"/>
      <c r="AN253" s="269"/>
      <c r="AO253" s="269"/>
      <c r="AP253" s="272"/>
    </row>
    <row r="254" spans="1:46" s="28" customFormat="1" ht="109.5" customHeight="1" x14ac:dyDescent="0.25">
      <c r="A254" s="20"/>
      <c r="B254" s="29"/>
      <c r="C254" s="150" t="s">
        <v>334</v>
      </c>
      <c r="D254" s="151" t="s">
        <v>335</v>
      </c>
      <c r="E254" s="152" t="s">
        <v>336</v>
      </c>
      <c r="F254" s="152" t="s">
        <v>337</v>
      </c>
      <c r="G254" s="135"/>
      <c r="H254" s="152">
        <v>50</v>
      </c>
      <c r="I254" s="151" t="s">
        <v>338</v>
      </c>
      <c r="J254" s="12" t="s">
        <v>36</v>
      </c>
      <c r="K254" s="813">
        <v>5</v>
      </c>
      <c r="L254" s="876" t="s">
        <v>300</v>
      </c>
      <c r="M254" s="907" t="s">
        <v>339</v>
      </c>
      <c r="N254" s="893" t="s">
        <v>340</v>
      </c>
      <c r="O254" s="152" t="s">
        <v>40</v>
      </c>
      <c r="P254" s="26">
        <v>0</v>
      </c>
      <c r="Q254" s="26">
        <v>0</v>
      </c>
      <c r="R254" s="26">
        <v>0</v>
      </c>
      <c r="S254" s="26">
        <v>0</v>
      </c>
      <c r="T254" s="26">
        <v>0</v>
      </c>
      <c r="U254" s="26">
        <v>0</v>
      </c>
      <c r="V254" s="26">
        <v>0</v>
      </c>
      <c r="W254" s="26"/>
      <c r="X254" s="26"/>
      <c r="Y254" s="26"/>
      <c r="Z254" s="26">
        <v>0</v>
      </c>
      <c r="AA254" s="26"/>
      <c r="AB254" s="26">
        <v>0</v>
      </c>
      <c r="AC254" s="26">
        <v>0</v>
      </c>
      <c r="AD254" s="26"/>
      <c r="AE254" s="26"/>
      <c r="AF254" s="26"/>
      <c r="AG254" s="26"/>
      <c r="AH254" s="26"/>
      <c r="AI254" s="26"/>
      <c r="AJ254" s="26">
        <v>0</v>
      </c>
      <c r="AK254" s="26">
        <v>0</v>
      </c>
      <c r="AL254" s="113">
        <f>90000000-30000000+148240000</f>
        <v>208240000</v>
      </c>
      <c r="AM254" s="14"/>
      <c r="AN254" s="26">
        <v>0</v>
      </c>
      <c r="AO254" s="27">
        <v>0</v>
      </c>
      <c r="AP254" s="26">
        <f>P254+Q254+R254+S254+T254+U254+V254+W254+X254+Y254+Z254+AA254+AB254+AC254+AD254+AE254+AF254+AG254+AH254+AI254+AJ254+AK254+AL254+AM254+AN254+AO254</f>
        <v>208240000</v>
      </c>
    </row>
    <row r="255" spans="1:46" s="28" customFormat="1" ht="49.5" customHeight="1" x14ac:dyDescent="0.25">
      <c r="A255" s="20"/>
      <c r="B255" s="29"/>
      <c r="C255" s="150"/>
      <c r="D255" s="151"/>
      <c r="E255" s="152"/>
      <c r="F255" s="152"/>
      <c r="G255" s="135"/>
      <c r="H255" s="150">
        <v>51</v>
      </c>
      <c r="I255" s="151" t="s">
        <v>341</v>
      </c>
      <c r="J255" s="12">
        <v>0</v>
      </c>
      <c r="K255" s="12">
        <v>1</v>
      </c>
      <c r="L255" s="887"/>
      <c r="M255" s="909"/>
      <c r="N255" s="895"/>
      <c r="O255" s="152" t="s">
        <v>44</v>
      </c>
      <c r="P255" s="26"/>
      <c r="Q255" s="26"/>
      <c r="R255" s="26"/>
      <c r="S255" s="26"/>
      <c r="T255" s="26"/>
      <c r="U255" s="26"/>
      <c r="V255" s="26"/>
      <c r="W255" s="26"/>
      <c r="X255" s="26"/>
      <c r="Y255" s="26"/>
      <c r="Z255" s="26"/>
      <c r="AA255" s="26"/>
      <c r="AB255" s="26"/>
      <c r="AC255" s="26"/>
      <c r="AD255" s="26"/>
      <c r="AE255" s="26"/>
      <c r="AF255" s="26"/>
      <c r="AG255" s="26"/>
      <c r="AH255" s="26"/>
      <c r="AI255" s="26"/>
      <c r="AJ255" s="26"/>
      <c r="AK255" s="26"/>
      <c r="AL255" s="113">
        <f>60000000+30000000</f>
        <v>90000000</v>
      </c>
      <c r="AM255" s="14"/>
      <c r="AN255" s="26"/>
      <c r="AO255" s="27"/>
      <c r="AP255" s="26">
        <f>P255+Q255+R255+S255+T255+U255+V255+W255+X255+Y255+Z255+AA255+AB255+AC255+AD255+AE255+AF255+AG255+AH255+AI255+AJ255+AK255+AL255+AM255+AN255+AO255</f>
        <v>90000000</v>
      </c>
    </row>
    <row r="256" spans="1:46" s="196" customFormat="1" ht="15" x14ac:dyDescent="0.25">
      <c r="A256" s="20"/>
      <c r="B256" s="29"/>
      <c r="C256" s="150"/>
      <c r="D256" s="151"/>
      <c r="E256" s="152"/>
      <c r="F256" s="152"/>
      <c r="G256" s="191"/>
      <c r="H256" s="192"/>
      <c r="I256" s="191"/>
      <c r="J256" s="303"/>
      <c r="K256" s="303"/>
      <c r="L256" s="303"/>
      <c r="M256" s="194"/>
      <c r="N256" s="191"/>
      <c r="O256" s="192"/>
      <c r="P256" s="195">
        <f t="shared" ref="P256:AK256" si="99">SUM(P254:P254)</f>
        <v>0</v>
      </c>
      <c r="Q256" s="195">
        <f t="shared" si="99"/>
        <v>0</v>
      </c>
      <c r="R256" s="195">
        <f t="shared" si="99"/>
        <v>0</v>
      </c>
      <c r="S256" s="195">
        <f t="shared" si="99"/>
        <v>0</v>
      </c>
      <c r="T256" s="195">
        <f t="shared" si="99"/>
        <v>0</v>
      </c>
      <c r="U256" s="195">
        <f t="shared" si="99"/>
        <v>0</v>
      </c>
      <c r="V256" s="195">
        <f t="shared" si="99"/>
        <v>0</v>
      </c>
      <c r="W256" s="195">
        <f t="shared" si="99"/>
        <v>0</v>
      </c>
      <c r="X256" s="195">
        <f t="shared" si="99"/>
        <v>0</v>
      </c>
      <c r="Y256" s="195">
        <f t="shared" si="99"/>
        <v>0</v>
      </c>
      <c r="Z256" s="195">
        <f t="shared" si="99"/>
        <v>0</v>
      </c>
      <c r="AA256" s="195">
        <f t="shared" si="99"/>
        <v>0</v>
      </c>
      <c r="AB256" s="195">
        <f t="shared" si="99"/>
        <v>0</v>
      </c>
      <c r="AC256" s="195">
        <f t="shared" si="99"/>
        <v>0</v>
      </c>
      <c r="AD256" s="195">
        <f t="shared" si="99"/>
        <v>0</v>
      </c>
      <c r="AE256" s="195">
        <f t="shared" si="99"/>
        <v>0</v>
      </c>
      <c r="AF256" s="195">
        <f t="shared" si="99"/>
        <v>0</v>
      </c>
      <c r="AG256" s="195">
        <f t="shared" si="99"/>
        <v>0</v>
      </c>
      <c r="AH256" s="195">
        <f t="shared" si="99"/>
        <v>0</v>
      </c>
      <c r="AI256" s="195">
        <f t="shared" si="99"/>
        <v>0</v>
      </c>
      <c r="AJ256" s="195">
        <f t="shared" si="99"/>
        <v>0</v>
      </c>
      <c r="AK256" s="195">
        <f t="shared" si="99"/>
        <v>0</v>
      </c>
      <c r="AL256" s="195">
        <f>SUM(AL254:AL255)</f>
        <v>298240000</v>
      </c>
      <c r="AM256" s="195">
        <f t="shared" ref="AM256:AO256" si="100">SUM(AM254:AM254)</f>
        <v>0</v>
      </c>
      <c r="AN256" s="195">
        <f t="shared" si="100"/>
        <v>0</v>
      </c>
      <c r="AO256" s="195">
        <f t="shared" si="100"/>
        <v>0</v>
      </c>
      <c r="AP256" s="195">
        <f>SUM(AP254:AP255)</f>
        <v>298240000</v>
      </c>
    </row>
    <row r="257" spans="1:42" s="28" customFormat="1" ht="15" x14ac:dyDescent="0.25">
      <c r="A257" s="20"/>
      <c r="B257" s="29"/>
      <c r="C257" s="454"/>
      <c r="D257" s="214"/>
      <c r="E257" s="454"/>
      <c r="F257" s="454"/>
      <c r="G257" s="214"/>
      <c r="H257" s="454"/>
      <c r="I257" s="214"/>
      <c r="J257" s="314"/>
      <c r="K257" s="314"/>
      <c r="L257" s="314"/>
      <c r="M257" s="216"/>
      <c r="N257" s="214"/>
      <c r="O257" s="454"/>
      <c r="P257" s="217"/>
      <c r="Q257" s="217"/>
      <c r="R257" s="217"/>
      <c r="S257" s="217"/>
      <c r="T257" s="217"/>
      <c r="U257" s="217"/>
      <c r="V257" s="217"/>
      <c r="W257" s="217"/>
      <c r="X257" s="217"/>
      <c r="Y257" s="217"/>
      <c r="Z257" s="217"/>
      <c r="AA257" s="217"/>
      <c r="AB257" s="217"/>
      <c r="AC257" s="217"/>
      <c r="AD257" s="217"/>
      <c r="AE257" s="217"/>
      <c r="AF257" s="217"/>
      <c r="AG257" s="217"/>
      <c r="AH257" s="217"/>
      <c r="AI257" s="217"/>
      <c r="AJ257" s="217"/>
      <c r="AK257" s="217"/>
      <c r="AL257" s="346"/>
      <c r="AM257" s="347"/>
      <c r="AN257" s="217"/>
      <c r="AO257" s="217"/>
      <c r="AP257" s="217"/>
    </row>
    <row r="258" spans="1:42" s="196" customFormat="1" ht="15" x14ac:dyDescent="0.25">
      <c r="A258" s="20"/>
      <c r="B258" s="29"/>
      <c r="C258" s="150"/>
      <c r="D258" s="151"/>
      <c r="E258" s="152"/>
      <c r="F258" s="152"/>
      <c r="G258" s="308">
        <v>12</v>
      </c>
      <c r="H258" s="327" t="s">
        <v>342</v>
      </c>
      <c r="I258" s="227"/>
      <c r="J258" s="227"/>
      <c r="K258" s="227"/>
      <c r="L258" s="227"/>
      <c r="M258" s="227"/>
      <c r="N258" s="227"/>
      <c r="O258" s="227"/>
      <c r="P258" s="227"/>
      <c r="Q258" s="227"/>
      <c r="R258" s="415"/>
      <c r="S258" s="415"/>
      <c r="T258" s="415"/>
      <c r="U258" s="415"/>
      <c r="V258" s="415"/>
      <c r="W258" s="415"/>
      <c r="X258" s="415"/>
      <c r="Y258" s="415"/>
      <c r="Z258" s="415"/>
      <c r="AA258" s="415"/>
      <c r="AB258" s="415"/>
      <c r="AC258" s="415"/>
      <c r="AD258" s="415"/>
      <c r="AE258" s="415"/>
      <c r="AF258" s="415"/>
      <c r="AG258" s="415"/>
      <c r="AH258" s="415"/>
      <c r="AI258" s="415"/>
      <c r="AJ258" s="415"/>
      <c r="AK258" s="415"/>
      <c r="AL258" s="229"/>
      <c r="AM258" s="415"/>
      <c r="AN258" s="415"/>
      <c r="AO258" s="415"/>
      <c r="AP258" s="416"/>
    </row>
    <row r="259" spans="1:42" s="196" customFormat="1" ht="108" customHeight="1" x14ac:dyDescent="0.25">
      <c r="A259" s="20"/>
      <c r="B259" s="29"/>
      <c r="C259" s="150" t="s">
        <v>334</v>
      </c>
      <c r="D259" s="151" t="s">
        <v>335</v>
      </c>
      <c r="E259" s="152" t="s">
        <v>336</v>
      </c>
      <c r="F259" s="152" t="s">
        <v>337</v>
      </c>
      <c r="G259" s="133"/>
      <c r="H259" s="6">
        <v>52</v>
      </c>
      <c r="I259" s="190" t="s">
        <v>343</v>
      </c>
      <c r="J259" s="12">
        <v>0</v>
      </c>
      <c r="K259" s="12">
        <v>3</v>
      </c>
      <c r="L259" s="417" t="s">
        <v>300</v>
      </c>
      <c r="M259" s="38" t="s">
        <v>344</v>
      </c>
      <c r="N259" s="151" t="s">
        <v>345</v>
      </c>
      <c r="O259" s="152" t="s">
        <v>44</v>
      </c>
      <c r="P259" s="26">
        <v>0</v>
      </c>
      <c r="Q259" s="26">
        <v>0</v>
      </c>
      <c r="R259" s="26">
        <v>0</v>
      </c>
      <c r="S259" s="26">
        <v>0</v>
      </c>
      <c r="T259" s="26">
        <v>0</v>
      </c>
      <c r="U259" s="26">
        <v>0</v>
      </c>
      <c r="V259" s="26">
        <v>0</v>
      </c>
      <c r="W259" s="26"/>
      <c r="X259" s="26"/>
      <c r="Y259" s="26"/>
      <c r="Z259" s="26">
        <v>0</v>
      </c>
      <c r="AA259" s="26"/>
      <c r="AB259" s="26">
        <v>0</v>
      </c>
      <c r="AC259" s="26">
        <v>0</v>
      </c>
      <c r="AD259" s="304"/>
      <c r="AE259" s="304"/>
      <c r="AF259" s="304"/>
      <c r="AG259" s="304"/>
      <c r="AH259" s="304"/>
      <c r="AI259" s="304"/>
      <c r="AJ259" s="26">
        <v>0</v>
      </c>
      <c r="AK259" s="26">
        <v>0</v>
      </c>
      <c r="AL259" s="113">
        <f>90000000+155080000</f>
        <v>245080000</v>
      </c>
      <c r="AM259" s="14"/>
      <c r="AN259" s="26"/>
      <c r="AO259" s="27">
        <v>0</v>
      </c>
      <c r="AP259" s="26">
        <f>P259+Q259+R259+S259+T259+U259+V259+W259+X259+Y259+Z259+AA259+AB259+AC259+AD259+AE259+AF259+AG259+AH259+AI259+AJ259+AK259+AL259+AM259+AN259+AO259</f>
        <v>245080000</v>
      </c>
    </row>
    <row r="260" spans="1:42" s="418" customFormat="1" ht="20.25" x14ac:dyDescent="0.25">
      <c r="A260" s="20"/>
      <c r="B260" s="29"/>
      <c r="C260" s="150"/>
      <c r="D260" s="151"/>
      <c r="E260" s="152"/>
      <c r="F260" s="152"/>
      <c r="G260" s="191"/>
      <c r="H260" s="192"/>
      <c r="I260" s="191"/>
      <c r="J260" s="303"/>
      <c r="K260" s="303"/>
      <c r="L260" s="303"/>
      <c r="M260" s="194"/>
      <c r="N260" s="191"/>
      <c r="O260" s="192"/>
      <c r="P260" s="195">
        <f t="shared" ref="P260:AP260" si="101">SUM(P259:P259)</f>
        <v>0</v>
      </c>
      <c r="Q260" s="195">
        <f t="shared" si="101"/>
        <v>0</v>
      </c>
      <c r="R260" s="195">
        <f t="shared" si="101"/>
        <v>0</v>
      </c>
      <c r="S260" s="195">
        <f t="shared" si="101"/>
        <v>0</v>
      </c>
      <c r="T260" s="195">
        <f t="shared" si="101"/>
        <v>0</v>
      </c>
      <c r="U260" s="195">
        <f t="shared" si="101"/>
        <v>0</v>
      </c>
      <c r="V260" s="195">
        <f t="shared" si="101"/>
        <v>0</v>
      </c>
      <c r="W260" s="195">
        <f t="shared" si="101"/>
        <v>0</v>
      </c>
      <c r="X260" s="195">
        <f t="shared" si="101"/>
        <v>0</v>
      </c>
      <c r="Y260" s="195">
        <f t="shared" si="101"/>
        <v>0</v>
      </c>
      <c r="Z260" s="195">
        <f t="shared" si="101"/>
        <v>0</v>
      </c>
      <c r="AA260" s="195">
        <f t="shared" si="101"/>
        <v>0</v>
      </c>
      <c r="AB260" s="195">
        <f t="shared" si="101"/>
        <v>0</v>
      </c>
      <c r="AC260" s="195">
        <f t="shared" si="101"/>
        <v>0</v>
      </c>
      <c r="AD260" s="195">
        <f t="shared" si="101"/>
        <v>0</v>
      </c>
      <c r="AE260" s="195">
        <f t="shared" si="101"/>
        <v>0</v>
      </c>
      <c r="AF260" s="195">
        <f t="shared" si="101"/>
        <v>0</v>
      </c>
      <c r="AG260" s="195">
        <f t="shared" si="101"/>
        <v>0</v>
      </c>
      <c r="AH260" s="195">
        <f t="shared" si="101"/>
        <v>0</v>
      </c>
      <c r="AI260" s="195">
        <f t="shared" si="101"/>
        <v>0</v>
      </c>
      <c r="AJ260" s="195">
        <f t="shared" si="101"/>
        <v>0</v>
      </c>
      <c r="AK260" s="195">
        <f t="shared" si="101"/>
        <v>0</v>
      </c>
      <c r="AL260" s="195">
        <f t="shared" si="101"/>
        <v>245080000</v>
      </c>
      <c r="AM260" s="195">
        <f t="shared" si="101"/>
        <v>0</v>
      </c>
      <c r="AN260" s="195">
        <f t="shared" si="101"/>
        <v>0</v>
      </c>
      <c r="AO260" s="195">
        <f t="shared" si="101"/>
        <v>0</v>
      </c>
      <c r="AP260" s="195">
        <f t="shared" si="101"/>
        <v>245080000</v>
      </c>
    </row>
    <row r="261" spans="1:42" s="418" customFormat="1" ht="20.25" x14ac:dyDescent="0.25">
      <c r="A261" s="20"/>
      <c r="B261" s="29"/>
      <c r="C261" s="454"/>
      <c r="D261" s="214"/>
      <c r="E261" s="454"/>
      <c r="F261" s="454"/>
      <c r="G261" s="214"/>
      <c r="H261" s="454"/>
      <c r="I261" s="214"/>
      <c r="J261" s="314"/>
      <c r="K261" s="314"/>
      <c r="L261" s="314"/>
      <c r="M261" s="216"/>
      <c r="N261" s="214"/>
      <c r="O261" s="454"/>
      <c r="P261" s="217"/>
      <c r="Q261" s="217"/>
      <c r="R261" s="217"/>
      <c r="S261" s="217"/>
      <c r="T261" s="217"/>
      <c r="U261" s="217"/>
      <c r="V261" s="217"/>
      <c r="W261" s="217"/>
      <c r="X261" s="217"/>
      <c r="Y261" s="217"/>
      <c r="Z261" s="217"/>
      <c r="AA261" s="217"/>
      <c r="AB261" s="217"/>
      <c r="AC261" s="217"/>
      <c r="AD261" s="217"/>
      <c r="AE261" s="217"/>
      <c r="AF261" s="217"/>
      <c r="AG261" s="217"/>
      <c r="AH261" s="217"/>
      <c r="AI261" s="217"/>
      <c r="AJ261" s="217"/>
      <c r="AK261" s="217"/>
      <c r="AL261" s="219"/>
      <c r="AM261" s="220"/>
      <c r="AN261" s="217"/>
      <c r="AO261" s="217"/>
      <c r="AP261" s="217"/>
    </row>
    <row r="262" spans="1:42" s="418" customFormat="1" ht="20.25" x14ac:dyDescent="0.25">
      <c r="A262" s="20"/>
      <c r="B262" s="29"/>
      <c r="C262" s="150"/>
      <c r="D262" s="151"/>
      <c r="E262" s="152"/>
      <c r="F262" s="152"/>
      <c r="G262" s="226">
        <v>13</v>
      </c>
      <c r="H262" s="326" t="s">
        <v>346</v>
      </c>
      <c r="I262" s="227"/>
      <c r="J262" s="227"/>
      <c r="K262" s="227"/>
      <c r="L262" s="227"/>
      <c r="M262" s="228"/>
      <c r="N262" s="227"/>
      <c r="O262" s="227"/>
      <c r="P262" s="227"/>
      <c r="Q262" s="227"/>
      <c r="R262" s="227"/>
      <c r="S262" s="227"/>
      <c r="T262" s="227"/>
      <c r="U262" s="227"/>
      <c r="V262" s="227"/>
      <c r="W262" s="227"/>
      <c r="X262" s="227"/>
      <c r="Y262" s="227"/>
      <c r="Z262" s="227"/>
      <c r="AA262" s="227"/>
      <c r="AB262" s="227"/>
      <c r="AC262" s="227"/>
      <c r="AD262" s="227"/>
      <c r="AE262" s="227"/>
      <c r="AF262" s="227"/>
      <c r="AG262" s="227"/>
      <c r="AH262" s="227"/>
      <c r="AI262" s="227"/>
      <c r="AJ262" s="227"/>
      <c r="AK262" s="227"/>
      <c r="AL262" s="229"/>
      <c r="AM262" s="293"/>
      <c r="AN262" s="227"/>
      <c r="AO262" s="227"/>
      <c r="AP262" s="230"/>
    </row>
    <row r="263" spans="1:42" s="420" customFormat="1" ht="112.5" customHeight="1" x14ac:dyDescent="0.25">
      <c r="A263" s="20"/>
      <c r="B263" s="29"/>
      <c r="C263" s="150" t="s">
        <v>334</v>
      </c>
      <c r="D263" s="151" t="s">
        <v>335</v>
      </c>
      <c r="E263" s="152" t="s">
        <v>336</v>
      </c>
      <c r="F263" s="152" t="s">
        <v>337</v>
      </c>
      <c r="G263" s="23"/>
      <c r="H263" s="6">
        <v>53</v>
      </c>
      <c r="I263" s="190" t="s">
        <v>347</v>
      </c>
      <c r="J263" s="12">
        <v>0</v>
      </c>
      <c r="K263" s="12">
        <v>1</v>
      </c>
      <c r="L263" s="417" t="s">
        <v>300</v>
      </c>
      <c r="M263" s="38" t="s">
        <v>348</v>
      </c>
      <c r="N263" s="55" t="s">
        <v>349</v>
      </c>
      <c r="O263" s="152" t="s">
        <v>44</v>
      </c>
      <c r="P263" s="26">
        <v>0</v>
      </c>
      <c r="Q263" s="26">
        <v>0</v>
      </c>
      <c r="R263" s="26">
        <v>0</v>
      </c>
      <c r="S263" s="26">
        <v>0</v>
      </c>
      <c r="T263" s="26">
        <v>0</v>
      </c>
      <c r="U263" s="26">
        <v>0</v>
      </c>
      <c r="V263" s="26">
        <v>0</v>
      </c>
      <c r="W263" s="26"/>
      <c r="X263" s="26"/>
      <c r="Y263" s="26"/>
      <c r="Z263" s="26">
        <v>0</v>
      </c>
      <c r="AA263" s="26"/>
      <c r="AB263" s="26">
        <v>0</v>
      </c>
      <c r="AC263" s="26">
        <v>0</v>
      </c>
      <c r="AD263" s="304"/>
      <c r="AE263" s="304"/>
      <c r="AF263" s="304"/>
      <c r="AG263" s="304"/>
      <c r="AH263" s="304"/>
      <c r="AI263" s="304"/>
      <c r="AJ263" s="26">
        <v>0</v>
      </c>
      <c r="AK263" s="26">
        <v>0</v>
      </c>
      <c r="AL263" s="113">
        <f>100000000+60000000+180000000+50100000</f>
        <v>390100000</v>
      </c>
      <c r="AM263" s="39"/>
      <c r="AN263" s="14">
        <f>389502600+88606963</f>
        <v>478109563</v>
      </c>
      <c r="AO263" s="27">
        <v>0</v>
      </c>
      <c r="AP263" s="26">
        <f>P263+Q263+R263+S263+T263+U263+V263+W263+X263+Y263+Z263+AA263+AB263+AC263+AD263+AE263+AF263+AG263+AH263+AI263+AJ263+AK263+AL263+AM263+AN263+AO263</f>
        <v>868209563</v>
      </c>
    </row>
    <row r="264" spans="1:42" s="196" customFormat="1" ht="15" x14ac:dyDescent="0.25">
      <c r="A264" s="20"/>
      <c r="B264" s="31"/>
      <c r="C264" s="150"/>
      <c r="D264" s="151"/>
      <c r="E264" s="152"/>
      <c r="F264" s="152"/>
      <c r="G264" s="191"/>
      <c r="H264" s="192"/>
      <c r="I264" s="191"/>
      <c r="J264" s="303"/>
      <c r="K264" s="303"/>
      <c r="L264" s="303"/>
      <c r="M264" s="194"/>
      <c r="N264" s="191"/>
      <c r="O264" s="192"/>
      <c r="P264" s="195">
        <f t="shared" ref="P264:AK264" si="102">SUM(P263:P263)</f>
        <v>0</v>
      </c>
      <c r="Q264" s="195">
        <f t="shared" si="102"/>
        <v>0</v>
      </c>
      <c r="R264" s="195">
        <f t="shared" si="102"/>
        <v>0</v>
      </c>
      <c r="S264" s="195">
        <f t="shared" si="102"/>
        <v>0</v>
      </c>
      <c r="T264" s="195">
        <f t="shared" si="102"/>
        <v>0</v>
      </c>
      <c r="U264" s="195">
        <f t="shared" si="102"/>
        <v>0</v>
      </c>
      <c r="V264" s="195">
        <f t="shared" si="102"/>
        <v>0</v>
      </c>
      <c r="W264" s="195">
        <f t="shared" si="102"/>
        <v>0</v>
      </c>
      <c r="X264" s="195">
        <f t="shared" si="102"/>
        <v>0</v>
      </c>
      <c r="Y264" s="195">
        <f t="shared" si="102"/>
        <v>0</v>
      </c>
      <c r="Z264" s="195">
        <f t="shared" si="102"/>
        <v>0</v>
      </c>
      <c r="AA264" s="195">
        <f t="shared" si="102"/>
        <v>0</v>
      </c>
      <c r="AB264" s="195">
        <f t="shared" si="102"/>
        <v>0</v>
      </c>
      <c r="AC264" s="195">
        <f t="shared" si="102"/>
        <v>0</v>
      </c>
      <c r="AD264" s="195">
        <f t="shared" si="102"/>
        <v>0</v>
      </c>
      <c r="AE264" s="195">
        <f t="shared" si="102"/>
        <v>0</v>
      </c>
      <c r="AF264" s="195">
        <f t="shared" si="102"/>
        <v>0</v>
      </c>
      <c r="AG264" s="195">
        <f t="shared" si="102"/>
        <v>0</v>
      </c>
      <c r="AH264" s="195">
        <f t="shared" si="102"/>
        <v>0</v>
      </c>
      <c r="AI264" s="195">
        <f t="shared" si="102"/>
        <v>0</v>
      </c>
      <c r="AJ264" s="195">
        <f t="shared" si="102"/>
        <v>0</v>
      </c>
      <c r="AK264" s="195">
        <f t="shared" si="102"/>
        <v>0</v>
      </c>
      <c r="AL264" s="195">
        <f t="shared" ref="AL264:AP264" si="103">SUM(AL263:AL263)</f>
        <v>390100000</v>
      </c>
      <c r="AM264" s="195">
        <f t="shared" si="103"/>
        <v>0</v>
      </c>
      <c r="AN264" s="195">
        <f t="shared" si="103"/>
        <v>478109563</v>
      </c>
      <c r="AO264" s="195">
        <f t="shared" si="103"/>
        <v>0</v>
      </c>
      <c r="AP264" s="195">
        <f t="shared" si="103"/>
        <v>868209563</v>
      </c>
    </row>
    <row r="265" spans="1:42" s="196" customFormat="1" ht="22.5" customHeight="1" x14ac:dyDescent="0.25">
      <c r="A265" s="189"/>
      <c r="B265" s="260"/>
      <c r="C265" s="199"/>
      <c r="D265" s="198"/>
      <c r="E265" s="199"/>
      <c r="F265" s="199"/>
      <c r="G265" s="198"/>
      <c r="H265" s="199"/>
      <c r="I265" s="198"/>
      <c r="J265" s="311"/>
      <c r="K265" s="311"/>
      <c r="L265" s="311"/>
      <c r="M265" s="201"/>
      <c r="N265" s="198"/>
      <c r="O265" s="199"/>
      <c r="P265" s="202">
        <f t="shared" ref="P265:AK265" si="104">P264+P260+P256</f>
        <v>0</v>
      </c>
      <c r="Q265" s="202">
        <f t="shared" si="104"/>
        <v>0</v>
      </c>
      <c r="R265" s="202">
        <f t="shared" si="104"/>
        <v>0</v>
      </c>
      <c r="S265" s="202">
        <f t="shared" si="104"/>
        <v>0</v>
      </c>
      <c r="T265" s="202">
        <f t="shared" si="104"/>
        <v>0</v>
      </c>
      <c r="U265" s="202">
        <f t="shared" si="104"/>
        <v>0</v>
      </c>
      <c r="V265" s="202">
        <f t="shared" si="104"/>
        <v>0</v>
      </c>
      <c r="W265" s="202">
        <f t="shared" si="104"/>
        <v>0</v>
      </c>
      <c r="X265" s="202">
        <f t="shared" si="104"/>
        <v>0</v>
      </c>
      <c r="Y265" s="202">
        <f t="shared" si="104"/>
        <v>0</v>
      </c>
      <c r="Z265" s="202">
        <f t="shared" si="104"/>
        <v>0</v>
      </c>
      <c r="AA265" s="202">
        <f t="shared" si="104"/>
        <v>0</v>
      </c>
      <c r="AB265" s="202">
        <f t="shared" si="104"/>
        <v>0</v>
      </c>
      <c r="AC265" s="202">
        <f t="shared" si="104"/>
        <v>0</v>
      </c>
      <c r="AD265" s="202">
        <f t="shared" si="104"/>
        <v>0</v>
      </c>
      <c r="AE265" s="202">
        <f t="shared" si="104"/>
        <v>0</v>
      </c>
      <c r="AF265" s="202">
        <f t="shared" si="104"/>
        <v>0</v>
      </c>
      <c r="AG265" s="202">
        <f t="shared" si="104"/>
        <v>0</v>
      </c>
      <c r="AH265" s="202">
        <f t="shared" si="104"/>
        <v>0</v>
      </c>
      <c r="AI265" s="202">
        <f t="shared" si="104"/>
        <v>0</v>
      </c>
      <c r="AJ265" s="202">
        <f t="shared" si="104"/>
        <v>0</v>
      </c>
      <c r="AK265" s="202">
        <f t="shared" si="104"/>
        <v>0</v>
      </c>
      <c r="AL265" s="202">
        <f t="shared" ref="AL265:AO265" si="105">AL264+AL260+AL256</f>
        <v>933420000</v>
      </c>
      <c r="AM265" s="202">
        <f t="shared" si="105"/>
        <v>0</v>
      </c>
      <c r="AN265" s="202">
        <f t="shared" si="105"/>
        <v>478109563</v>
      </c>
      <c r="AO265" s="202">
        <f t="shared" si="105"/>
        <v>0</v>
      </c>
      <c r="AP265" s="202">
        <f>AP264+AP260+AP256</f>
        <v>1411529563</v>
      </c>
    </row>
    <row r="266" spans="1:42" s="196" customFormat="1" ht="22.5" customHeight="1" x14ac:dyDescent="0.25">
      <c r="A266" s="203"/>
      <c r="B266" s="203"/>
      <c r="C266" s="204"/>
      <c r="D266" s="203"/>
      <c r="E266" s="204"/>
      <c r="F266" s="204"/>
      <c r="G266" s="203"/>
      <c r="H266" s="204"/>
      <c r="I266" s="203"/>
      <c r="J266" s="313"/>
      <c r="K266" s="313"/>
      <c r="L266" s="313"/>
      <c r="M266" s="206"/>
      <c r="N266" s="203"/>
      <c r="O266" s="204"/>
      <c r="P266" s="207">
        <f t="shared" ref="P266:AK266" si="106">P265+P250</f>
        <v>0</v>
      </c>
      <c r="Q266" s="207">
        <f t="shared" si="106"/>
        <v>0</v>
      </c>
      <c r="R266" s="207">
        <f t="shared" si="106"/>
        <v>0</v>
      </c>
      <c r="S266" s="207">
        <f t="shared" si="106"/>
        <v>0</v>
      </c>
      <c r="T266" s="207">
        <f t="shared" si="106"/>
        <v>0</v>
      </c>
      <c r="U266" s="207">
        <f t="shared" si="106"/>
        <v>0</v>
      </c>
      <c r="V266" s="207">
        <f t="shared" si="106"/>
        <v>0</v>
      </c>
      <c r="W266" s="207">
        <f t="shared" si="106"/>
        <v>0</v>
      </c>
      <c r="X266" s="207">
        <f t="shared" si="106"/>
        <v>0</v>
      </c>
      <c r="Y266" s="207">
        <f t="shared" si="106"/>
        <v>0</v>
      </c>
      <c r="Z266" s="207">
        <f t="shared" si="106"/>
        <v>0</v>
      </c>
      <c r="AA266" s="207">
        <f t="shared" si="106"/>
        <v>0</v>
      </c>
      <c r="AB266" s="207">
        <f t="shared" si="106"/>
        <v>0</v>
      </c>
      <c r="AC266" s="207">
        <f t="shared" si="106"/>
        <v>0</v>
      </c>
      <c r="AD266" s="207">
        <f t="shared" si="106"/>
        <v>0</v>
      </c>
      <c r="AE266" s="207">
        <f t="shared" si="106"/>
        <v>0</v>
      </c>
      <c r="AF266" s="207">
        <f t="shared" si="106"/>
        <v>0</v>
      </c>
      <c r="AG266" s="207">
        <f t="shared" si="106"/>
        <v>0</v>
      </c>
      <c r="AH266" s="207">
        <f t="shared" si="106"/>
        <v>0</v>
      </c>
      <c r="AI266" s="207">
        <f t="shared" si="106"/>
        <v>0</v>
      </c>
      <c r="AJ266" s="207">
        <f t="shared" si="106"/>
        <v>0</v>
      </c>
      <c r="AK266" s="207">
        <f t="shared" si="106"/>
        <v>0</v>
      </c>
      <c r="AL266" s="207">
        <f t="shared" ref="AL266:AP266" si="107">AL265+AL250</f>
        <v>1982000000</v>
      </c>
      <c r="AM266" s="207">
        <f t="shared" si="107"/>
        <v>0</v>
      </c>
      <c r="AN266" s="207">
        <f t="shared" si="107"/>
        <v>478109563</v>
      </c>
      <c r="AO266" s="207">
        <f t="shared" si="107"/>
        <v>0</v>
      </c>
      <c r="AP266" s="207">
        <f t="shared" si="107"/>
        <v>2460109563</v>
      </c>
    </row>
    <row r="267" spans="1:42" s="196" customFormat="1" ht="22.5" customHeight="1" x14ac:dyDescent="0.25">
      <c r="A267" s="208"/>
      <c r="B267" s="208"/>
      <c r="C267" s="209"/>
      <c r="D267" s="208"/>
      <c r="E267" s="209"/>
      <c r="F267" s="209"/>
      <c r="G267" s="208"/>
      <c r="H267" s="209"/>
      <c r="I267" s="208"/>
      <c r="J267" s="325"/>
      <c r="K267" s="325"/>
      <c r="L267" s="325"/>
      <c r="M267" s="211"/>
      <c r="N267" s="208"/>
      <c r="O267" s="209"/>
      <c r="P267" s="212">
        <f t="shared" ref="P267:AK267" si="108">P266</f>
        <v>0</v>
      </c>
      <c r="Q267" s="212">
        <f t="shared" si="108"/>
        <v>0</v>
      </c>
      <c r="R267" s="212">
        <f t="shared" si="108"/>
        <v>0</v>
      </c>
      <c r="S267" s="212">
        <f t="shared" si="108"/>
        <v>0</v>
      </c>
      <c r="T267" s="212">
        <f t="shared" si="108"/>
        <v>0</v>
      </c>
      <c r="U267" s="212">
        <f t="shared" si="108"/>
        <v>0</v>
      </c>
      <c r="V267" s="212">
        <f t="shared" si="108"/>
        <v>0</v>
      </c>
      <c r="W267" s="212">
        <f t="shared" si="108"/>
        <v>0</v>
      </c>
      <c r="X267" s="212">
        <f t="shared" si="108"/>
        <v>0</v>
      </c>
      <c r="Y267" s="212">
        <f t="shared" si="108"/>
        <v>0</v>
      </c>
      <c r="Z267" s="212">
        <f t="shared" si="108"/>
        <v>0</v>
      </c>
      <c r="AA267" s="212">
        <f t="shared" si="108"/>
        <v>0</v>
      </c>
      <c r="AB267" s="212">
        <f t="shared" si="108"/>
        <v>0</v>
      </c>
      <c r="AC267" s="212">
        <f t="shared" si="108"/>
        <v>0</v>
      </c>
      <c r="AD267" s="212">
        <f t="shared" si="108"/>
        <v>0</v>
      </c>
      <c r="AE267" s="212">
        <f t="shared" si="108"/>
        <v>0</v>
      </c>
      <c r="AF267" s="212">
        <f t="shared" si="108"/>
        <v>0</v>
      </c>
      <c r="AG267" s="212">
        <f t="shared" si="108"/>
        <v>0</v>
      </c>
      <c r="AH267" s="212">
        <f t="shared" si="108"/>
        <v>0</v>
      </c>
      <c r="AI267" s="212">
        <f t="shared" si="108"/>
        <v>0</v>
      </c>
      <c r="AJ267" s="212">
        <f t="shared" si="108"/>
        <v>0</v>
      </c>
      <c r="AK267" s="212">
        <f t="shared" si="108"/>
        <v>0</v>
      </c>
      <c r="AL267" s="212">
        <f t="shared" ref="AL267:AP267" si="109">AL266</f>
        <v>1982000000</v>
      </c>
      <c r="AM267" s="212">
        <f t="shared" si="109"/>
        <v>0</v>
      </c>
      <c r="AN267" s="212">
        <f t="shared" si="109"/>
        <v>478109563</v>
      </c>
      <c r="AO267" s="212">
        <f t="shared" si="109"/>
        <v>0</v>
      </c>
      <c r="AP267" s="212">
        <f t="shared" si="109"/>
        <v>2460109563</v>
      </c>
    </row>
    <row r="268" spans="1:42" s="28" customFormat="1" ht="15" x14ac:dyDescent="0.25">
      <c r="A268" s="213"/>
      <c r="B268" s="214"/>
      <c r="C268" s="454"/>
      <c r="D268" s="214"/>
      <c r="E268" s="454"/>
      <c r="F268" s="454"/>
      <c r="G268" s="214"/>
      <c r="H268" s="454"/>
      <c r="I268" s="214"/>
      <c r="J268" s="314"/>
      <c r="K268" s="314"/>
      <c r="L268" s="314"/>
      <c r="M268" s="216"/>
      <c r="N268" s="214"/>
      <c r="O268" s="454"/>
      <c r="P268" s="217"/>
      <c r="Q268" s="217"/>
      <c r="R268" s="217"/>
      <c r="S268" s="217"/>
      <c r="T268" s="217"/>
      <c r="U268" s="217"/>
      <c r="V268" s="217"/>
      <c r="W268" s="217"/>
      <c r="X268" s="217"/>
      <c r="Y268" s="217"/>
      <c r="Z268" s="217"/>
      <c r="AA268" s="217"/>
      <c r="AB268" s="217"/>
      <c r="AC268" s="217"/>
      <c r="AD268" s="218"/>
      <c r="AE268" s="218"/>
      <c r="AF268" s="218"/>
      <c r="AG268" s="218"/>
      <c r="AH268" s="218"/>
      <c r="AI268" s="218"/>
      <c r="AJ268" s="217"/>
      <c r="AK268" s="217"/>
      <c r="AL268" s="219"/>
      <c r="AM268" s="220"/>
      <c r="AN268" s="220"/>
      <c r="AO268" s="220"/>
      <c r="AP268" s="220"/>
    </row>
    <row r="269" spans="1:42" s="196" customFormat="1" ht="21" customHeight="1" x14ac:dyDescent="0.25">
      <c r="A269" s="165" t="s">
        <v>350</v>
      </c>
      <c r="B269" s="421"/>
      <c r="C269" s="422"/>
      <c r="D269" s="421"/>
      <c r="E269" s="421"/>
      <c r="F269" s="421"/>
      <c r="G269" s="421"/>
      <c r="H269" s="422"/>
      <c r="I269" s="421"/>
      <c r="J269" s="421"/>
      <c r="K269" s="421"/>
      <c r="L269" s="421"/>
      <c r="M269" s="423"/>
      <c r="N269" s="421"/>
      <c r="O269" s="422"/>
      <c r="P269" s="421"/>
      <c r="Q269" s="421"/>
      <c r="R269" s="421"/>
      <c r="S269" s="421"/>
      <c r="T269" s="421"/>
      <c r="U269" s="421"/>
      <c r="V269" s="421"/>
      <c r="W269" s="421"/>
      <c r="X269" s="421"/>
      <c r="Y269" s="421"/>
      <c r="Z269" s="421"/>
      <c r="AA269" s="421"/>
      <c r="AB269" s="421"/>
      <c r="AC269" s="421"/>
      <c r="AD269" s="421"/>
      <c r="AE269" s="421"/>
      <c r="AF269" s="421"/>
      <c r="AG269" s="421"/>
      <c r="AH269" s="421"/>
      <c r="AI269" s="421"/>
      <c r="AJ269" s="421"/>
      <c r="AK269" s="421"/>
      <c r="AL269" s="424"/>
      <c r="AM269" s="425"/>
      <c r="AN269" s="421"/>
      <c r="AO269" s="421"/>
      <c r="AP269" s="426"/>
    </row>
    <row r="270" spans="1:42" s="196" customFormat="1" ht="21" customHeight="1" x14ac:dyDescent="0.25">
      <c r="A270" s="173">
        <v>1</v>
      </c>
      <c r="B270" s="174" t="s">
        <v>142</v>
      </c>
      <c r="C270" s="175"/>
      <c r="D270" s="174"/>
      <c r="E270" s="174"/>
      <c r="F270" s="174"/>
      <c r="G270" s="174"/>
      <c r="H270" s="175"/>
      <c r="I270" s="174"/>
      <c r="J270" s="174"/>
      <c r="K270" s="174"/>
      <c r="L270" s="174"/>
      <c r="M270" s="176"/>
      <c r="N270" s="174"/>
      <c r="O270" s="174"/>
      <c r="P270" s="174"/>
      <c r="Q270" s="174"/>
      <c r="R270" s="174"/>
      <c r="S270" s="174"/>
      <c r="T270" s="174"/>
      <c r="U270" s="174"/>
      <c r="V270" s="174"/>
      <c r="W270" s="174"/>
      <c r="X270" s="174"/>
      <c r="Y270" s="174"/>
      <c r="Z270" s="174"/>
      <c r="AA270" s="174"/>
      <c r="AB270" s="174"/>
      <c r="AC270" s="174"/>
      <c r="AD270" s="174"/>
      <c r="AE270" s="174"/>
      <c r="AF270" s="174"/>
      <c r="AG270" s="174"/>
      <c r="AH270" s="174"/>
      <c r="AI270" s="174"/>
      <c r="AJ270" s="174"/>
      <c r="AK270" s="174"/>
      <c r="AL270" s="177"/>
      <c r="AM270" s="174"/>
      <c r="AN270" s="174"/>
      <c r="AO270" s="174"/>
      <c r="AP270" s="178"/>
    </row>
    <row r="271" spans="1:42" s="196" customFormat="1" ht="21" customHeight="1" x14ac:dyDescent="0.25">
      <c r="A271" s="223"/>
      <c r="B271" s="316">
        <v>1</v>
      </c>
      <c r="C271" s="181" t="s">
        <v>143</v>
      </c>
      <c r="D271" s="182"/>
      <c r="E271" s="182"/>
      <c r="F271" s="182"/>
      <c r="G271" s="182"/>
      <c r="H271" s="183"/>
      <c r="I271" s="182"/>
      <c r="J271" s="182"/>
      <c r="K271" s="182"/>
      <c r="L271" s="182"/>
      <c r="M271" s="184"/>
      <c r="N271" s="182"/>
      <c r="O271" s="182"/>
      <c r="P271" s="182"/>
      <c r="Q271" s="182"/>
      <c r="R271" s="182"/>
      <c r="S271" s="182"/>
      <c r="T271" s="182"/>
      <c r="U271" s="182"/>
      <c r="V271" s="182"/>
      <c r="W271" s="182"/>
      <c r="X271" s="182"/>
      <c r="Y271" s="182"/>
      <c r="Z271" s="182"/>
      <c r="AA271" s="182"/>
      <c r="AB271" s="182"/>
      <c r="AC271" s="182"/>
      <c r="AD271" s="182"/>
      <c r="AE271" s="182"/>
      <c r="AF271" s="182"/>
      <c r="AG271" s="182"/>
      <c r="AH271" s="182"/>
      <c r="AI271" s="182"/>
      <c r="AJ271" s="182"/>
      <c r="AK271" s="182"/>
      <c r="AL271" s="185"/>
      <c r="AM271" s="182"/>
      <c r="AN271" s="182"/>
      <c r="AO271" s="182"/>
      <c r="AP271" s="186"/>
    </row>
    <row r="272" spans="1:42" s="196" customFormat="1" x14ac:dyDescent="0.25">
      <c r="A272" s="20"/>
      <c r="B272" s="223"/>
      <c r="C272" s="153"/>
      <c r="D272" s="265"/>
      <c r="E272" s="153"/>
      <c r="F272" s="143"/>
      <c r="G272" s="410">
        <v>1</v>
      </c>
      <c r="H272" s="317" t="s">
        <v>351</v>
      </c>
      <c r="I272" s="227"/>
      <c r="J272" s="227"/>
      <c r="K272" s="227"/>
      <c r="L272" s="227"/>
      <c r="M272" s="228"/>
      <c r="N272" s="227"/>
      <c r="O272" s="227"/>
      <c r="P272" s="227"/>
      <c r="Q272" s="227"/>
      <c r="R272" s="227"/>
      <c r="S272" s="227"/>
      <c r="T272" s="227"/>
      <c r="U272" s="227"/>
      <c r="V272" s="227"/>
      <c r="W272" s="227"/>
      <c r="X272" s="227"/>
      <c r="Y272" s="227"/>
      <c r="Z272" s="227"/>
      <c r="AA272" s="227"/>
      <c r="AB272" s="227"/>
      <c r="AC272" s="227"/>
      <c r="AD272" s="227"/>
      <c r="AE272" s="227"/>
      <c r="AF272" s="227"/>
      <c r="AG272" s="227"/>
      <c r="AH272" s="227"/>
      <c r="AI272" s="227"/>
      <c r="AJ272" s="227"/>
      <c r="AK272" s="227"/>
      <c r="AL272" s="229"/>
      <c r="AM272" s="227"/>
      <c r="AN272" s="227"/>
      <c r="AO272" s="227"/>
      <c r="AP272" s="230"/>
    </row>
    <row r="273" spans="1:42" s="28" customFormat="1" ht="53.25" customHeight="1" x14ac:dyDescent="0.25">
      <c r="A273" s="20"/>
      <c r="B273" s="19"/>
      <c r="C273" s="134">
        <v>1</v>
      </c>
      <c r="D273" s="137" t="s">
        <v>352</v>
      </c>
      <c r="E273" s="427" t="s">
        <v>36</v>
      </c>
      <c r="F273" s="428">
        <v>15000</v>
      </c>
      <c r="G273" s="101"/>
      <c r="H273" s="152">
        <v>1</v>
      </c>
      <c r="I273" s="151" t="s">
        <v>353</v>
      </c>
      <c r="J273" s="12">
        <v>0</v>
      </c>
      <c r="K273" s="12">
        <v>1</v>
      </c>
      <c r="L273" s="993" t="s">
        <v>354</v>
      </c>
      <c r="M273" s="907" t="s">
        <v>355</v>
      </c>
      <c r="N273" s="893" t="s">
        <v>356</v>
      </c>
      <c r="O273" s="152" t="s">
        <v>44</v>
      </c>
      <c r="P273" s="26">
        <v>0</v>
      </c>
      <c r="Q273" s="26">
        <v>0</v>
      </c>
      <c r="R273" s="26">
        <v>0</v>
      </c>
      <c r="S273" s="26">
        <v>0</v>
      </c>
      <c r="T273" s="26">
        <v>0</v>
      </c>
      <c r="U273" s="26">
        <v>0</v>
      </c>
      <c r="V273" s="26">
        <v>0</v>
      </c>
      <c r="W273" s="26"/>
      <c r="X273" s="26"/>
      <c r="Y273" s="26"/>
      <c r="Z273" s="26">
        <v>0</v>
      </c>
      <c r="AA273" s="26"/>
      <c r="AB273" s="26">
        <v>0</v>
      </c>
      <c r="AC273" s="26">
        <v>0</v>
      </c>
      <c r="AD273" s="26"/>
      <c r="AE273" s="26"/>
      <c r="AF273" s="26"/>
      <c r="AG273" s="26"/>
      <c r="AH273" s="26"/>
      <c r="AI273" s="26"/>
      <c r="AJ273" s="26">
        <v>0</v>
      </c>
      <c r="AK273" s="26">
        <v>0</v>
      </c>
      <c r="AL273" s="429">
        <f>22500000+10000000</f>
        <v>32500000</v>
      </c>
      <c r="AM273" s="430"/>
      <c r="AN273" s="26">
        <v>0</v>
      </c>
      <c r="AO273" s="27">
        <v>0</v>
      </c>
      <c r="AP273" s="26">
        <f>P273+Q273+R273+S273+T273+U273+V273+W273+X273+Y273+Z273+AA273+AB273+AC273+AD273+AE273+AF273+AG273+AH273+AI273+AJ273+AK273+AL273+AM273+AN273+AO273</f>
        <v>32500000</v>
      </c>
    </row>
    <row r="274" spans="1:42" s="28" customFormat="1" ht="55.5" customHeight="1" x14ac:dyDescent="0.25">
      <c r="A274" s="20"/>
      <c r="B274" s="19"/>
      <c r="C274" s="134">
        <v>2</v>
      </c>
      <c r="D274" s="137" t="s">
        <v>357</v>
      </c>
      <c r="E274" s="134" t="s">
        <v>358</v>
      </c>
      <c r="F274" s="134" t="s">
        <v>358</v>
      </c>
      <c r="G274" s="102"/>
      <c r="H274" s="152">
        <v>2</v>
      </c>
      <c r="I274" s="151" t="s">
        <v>359</v>
      </c>
      <c r="J274" s="12">
        <v>3</v>
      </c>
      <c r="K274" s="12">
        <v>4</v>
      </c>
      <c r="L274" s="994"/>
      <c r="M274" s="908"/>
      <c r="N274" s="894"/>
      <c r="O274" s="152" t="s">
        <v>44</v>
      </c>
      <c r="P274" s="26">
        <v>0</v>
      </c>
      <c r="Q274" s="26">
        <v>0</v>
      </c>
      <c r="R274" s="26">
        <v>0</v>
      </c>
      <c r="S274" s="26">
        <v>0</v>
      </c>
      <c r="T274" s="26">
        <v>0</v>
      </c>
      <c r="U274" s="26">
        <v>0</v>
      </c>
      <c r="V274" s="26">
        <v>0</v>
      </c>
      <c r="W274" s="26"/>
      <c r="X274" s="26"/>
      <c r="Y274" s="26"/>
      <c r="Z274" s="26">
        <v>0</v>
      </c>
      <c r="AA274" s="26"/>
      <c r="AB274" s="26">
        <v>0</v>
      </c>
      <c r="AC274" s="26">
        <v>0</v>
      </c>
      <c r="AD274" s="26"/>
      <c r="AE274" s="26"/>
      <c r="AF274" s="26"/>
      <c r="AG274" s="26"/>
      <c r="AH274" s="26"/>
      <c r="AI274" s="26"/>
      <c r="AJ274" s="26">
        <v>0</v>
      </c>
      <c r="AK274" s="26">
        <v>0</v>
      </c>
      <c r="AL274" s="429">
        <f>7500000+10000000</f>
        <v>17500000</v>
      </c>
      <c r="AM274" s="430"/>
      <c r="AN274" s="26">
        <v>0</v>
      </c>
      <c r="AO274" s="27">
        <v>0</v>
      </c>
      <c r="AP274" s="26">
        <f>P274+Q274+R274+S274+T274+U274+V274+W274+X274+Y274+Z274+AA274+AB274+AC274+AD274+AE274+AF274+AG274+AH274+AI274+AJ274+AK274+AL274+AM274+AN274+AO274</f>
        <v>17500000</v>
      </c>
    </row>
    <row r="275" spans="1:42" s="28" customFormat="1" ht="57" x14ac:dyDescent="0.25">
      <c r="A275" s="20"/>
      <c r="B275" s="19"/>
      <c r="C275" s="134"/>
      <c r="D275" s="137"/>
      <c r="E275" s="134"/>
      <c r="F275" s="134"/>
      <c r="G275" s="102"/>
      <c r="H275" s="152">
        <v>3</v>
      </c>
      <c r="I275" s="151" t="s">
        <v>360</v>
      </c>
      <c r="J275" s="12">
        <v>1</v>
      </c>
      <c r="K275" s="12">
        <v>1</v>
      </c>
      <c r="L275" s="994"/>
      <c r="M275" s="908"/>
      <c r="N275" s="894"/>
      <c r="O275" s="152" t="s">
        <v>44</v>
      </c>
      <c r="P275" s="26">
        <v>0</v>
      </c>
      <c r="Q275" s="26">
        <v>0</v>
      </c>
      <c r="R275" s="26">
        <v>0</v>
      </c>
      <c r="S275" s="26">
        <v>0</v>
      </c>
      <c r="T275" s="26">
        <v>0</v>
      </c>
      <c r="U275" s="26">
        <v>0</v>
      </c>
      <c r="V275" s="26">
        <v>0</v>
      </c>
      <c r="W275" s="26"/>
      <c r="X275" s="26"/>
      <c r="Y275" s="26"/>
      <c r="Z275" s="26">
        <v>0</v>
      </c>
      <c r="AA275" s="26"/>
      <c r="AB275" s="26">
        <v>0</v>
      </c>
      <c r="AC275" s="26">
        <v>0</v>
      </c>
      <c r="AD275" s="26"/>
      <c r="AE275" s="26"/>
      <c r="AF275" s="26"/>
      <c r="AG275" s="26"/>
      <c r="AH275" s="26"/>
      <c r="AI275" s="26"/>
      <c r="AJ275" s="26">
        <v>0</v>
      </c>
      <c r="AK275" s="26">
        <v>0</v>
      </c>
      <c r="AL275" s="429">
        <f>11250000-250000</f>
        <v>11000000</v>
      </c>
      <c r="AM275" s="430"/>
      <c r="AN275" s="26">
        <v>0</v>
      </c>
      <c r="AO275" s="27">
        <v>0</v>
      </c>
      <c r="AP275" s="26">
        <f>P275+Q275+R275+S275+T275+U275+V275+W275+X275+Y275+Z275+AA275+AB275+AC275+AD275+AE275+AF275+AG275+AH275+AI275+AJ275+AK275+AL275+AM275+AN275+AO275</f>
        <v>11000000</v>
      </c>
    </row>
    <row r="276" spans="1:42" s="28" customFormat="1" ht="57" x14ac:dyDescent="0.25">
      <c r="A276" s="20"/>
      <c r="B276" s="19"/>
      <c r="C276" s="134"/>
      <c r="D276" s="137"/>
      <c r="E276" s="134"/>
      <c r="F276" s="134"/>
      <c r="G276" s="102"/>
      <c r="H276" s="767">
        <v>4</v>
      </c>
      <c r="I276" s="766" t="s">
        <v>927</v>
      </c>
      <c r="J276" s="12">
        <v>0</v>
      </c>
      <c r="K276" s="12">
        <v>1</v>
      </c>
      <c r="L276" s="994"/>
      <c r="M276" s="908"/>
      <c r="N276" s="894"/>
      <c r="O276" s="152" t="s">
        <v>44</v>
      </c>
      <c r="P276" s="26"/>
      <c r="Q276" s="26"/>
      <c r="R276" s="26"/>
      <c r="S276" s="26"/>
      <c r="T276" s="26"/>
      <c r="U276" s="26"/>
      <c r="V276" s="26"/>
      <c r="W276" s="26"/>
      <c r="X276" s="26"/>
      <c r="Y276" s="26"/>
      <c r="Z276" s="26"/>
      <c r="AA276" s="26"/>
      <c r="AB276" s="26"/>
      <c r="AC276" s="26"/>
      <c r="AD276" s="26"/>
      <c r="AE276" s="26"/>
      <c r="AF276" s="26"/>
      <c r="AG276" s="26"/>
      <c r="AH276" s="26"/>
      <c r="AI276" s="26"/>
      <c r="AJ276" s="26"/>
      <c r="AK276" s="26"/>
      <c r="AL276" s="429">
        <v>20000000</v>
      </c>
      <c r="AM276" s="430"/>
      <c r="AN276" s="26"/>
      <c r="AO276" s="27"/>
      <c r="AP276" s="26">
        <f>P276+Q276+R276+S276+T276+U276+V276+W276+X276+Y276+Z276+AA276+AB276+AC276+AD276+AE276+AF276+AG276+AH276+AI276+AJ276+AK276+AL276+AM276+AN276+AO276</f>
        <v>20000000</v>
      </c>
    </row>
    <row r="277" spans="1:42" s="28" customFormat="1" ht="81" customHeight="1" x14ac:dyDescent="0.25">
      <c r="A277" s="20"/>
      <c r="B277" s="19"/>
      <c r="C277" s="134">
        <v>3</v>
      </c>
      <c r="D277" s="137" t="s">
        <v>361</v>
      </c>
      <c r="E277" s="134" t="s">
        <v>362</v>
      </c>
      <c r="F277" s="134" t="s">
        <v>147</v>
      </c>
      <c r="G277" s="102"/>
      <c r="H277" s="152">
        <v>5</v>
      </c>
      <c r="I277" s="151" t="s">
        <v>363</v>
      </c>
      <c r="J277" s="12">
        <v>3</v>
      </c>
      <c r="K277" s="12">
        <v>2</v>
      </c>
      <c r="L277" s="994"/>
      <c r="M277" s="908"/>
      <c r="N277" s="894"/>
      <c r="O277" s="152" t="s">
        <v>40</v>
      </c>
      <c r="P277" s="26">
        <v>0</v>
      </c>
      <c r="Q277" s="26">
        <v>0</v>
      </c>
      <c r="R277" s="26">
        <v>0</v>
      </c>
      <c r="S277" s="26">
        <v>0</v>
      </c>
      <c r="T277" s="26">
        <v>0</v>
      </c>
      <c r="U277" s="26">
        <v>0</v>
      </c>
      <c r="V277" s="26">
        <v>0</v>
      </c>
      <c r="W277" s="26"/>
      <c r="X277" s="26"/>
      <c r="Y277" s="26"/>
      <c r="Z277" s="26">
        <v>0</v>
      </c>
      <c r="AA277" s="26"/>
      <c r="AB277" s="26">
        <v>0</v>
      </c>
      <c r="AC277" s="26">
        <v>0</v>
      </c>
      <c r="AD277" s="26"/>
      <c r="AE277" s="26"/>
      <c r="AF277" s="26"/>
      <c r="AG277" s="26"/>
      <c r="AH277" s="26"/>
      <c r="AI277" s="26"/>
      <c r="AJ277" s="26">
        <v>0</v>
      </c>
      <c r="AK277" s="26">
        <v>0</v>
      </c>
      <c r="AL277" s="429">
        <f>7500000+10500000+50000000</f>
        <v>68000000</v>
      </c>
      <c r="AM277" s="430"/>
      <c r="AN277" s="26">
        <v>0</v>
      </c>
      <c r="AO277" s="27">
        <v>0</v>
      </c>
      <c r="AP277" s="26">
        <f>P277+Q277+R277+S277+T277+U277+V277+W277+X277+Y277+Z277+AA277+AB277+AC277+AD277+AE277+AF277+AG277+AH277+AI277+AJ277+AK277+AL277+AM277+AN277+AO277</f>
        <v>68000000</v>
      </c>
    </row>
    <row r="278" spans="1:42" s="419" customFormat="1" ht="71.25" x14ac:dyDescent="0.25">
      <c r="A278" s="20"/>
      <c r="B278" s="19"/>
      <c r="C278" s="135"/>
      <c r="D278" s="31"/>
      <c r="E278" s="135"/>
      <c r="F278" s="135"/>
      <c r="G278" s="105"/>
      <c r="H278" s="152">
        <v>6</v>
      </c>
      <c r="I278" s="151" t="s">
        <v>364</v>
      </c>
      <c r="J278" s="12">
        <v>3</v>
      </c>
      <c r="K278" s="12">
        <v>12</v>
      </c>
      <c r="L278" s="995"/>
      <c r="M278" s="909"/>
      <c r="N278" s="895"/>
      <c r="O278" s="152" t="s">
        <v>44</v>
      </c>
      <c r="P278" s="26">
        <v>0</v>
      </c>
      <c r="Q278" s="26">
        <v>0</v>
      </c>
      <c r="R278" s="26">
        <v>0</v>
      </c>
      <c r="S278" s="26">
        <v>0</v>
      </c>
      <c r="T278" s="26">
        <v>0</v>
      </c>
      <c r="U278" s="26">
        <v>0</v>
      </c>
      <c r="V278" s="26">
        <v>0</v>
      </c>
      <c r="W278" s="26"/>
      <c r="X278" s="26"/>
      <c r="Y278" s="26"/>
      <c r="Z278" s="26">
        <v>0</v>
      </c>
      <c r="AA278" s="26"/>
      <c r="AB278" s="26">
        <v>0</v>
      </c>
      <c r="AC278" s="26">
        <v>0</v>
      </c>
      <c r="AD278" s="26"/>
      <c r="AE278" s="26"/>
      <c r="AF278" s="26"/>
      <c r="AG278" s="26"/>
      <c r="AH278" s="26"/>
      <c r="AI278" s="26"/>
      <c r="AJ278" s="26">
        <v>0</v>
      </c>
      <c r="AK278" s="26">
        <v>0</v>
      </c>
      <c r="AL278" s="113">
        <f>11250000-250000</f>
        <v>11000000</v>
      </c>
      <c r="AM278" s="431"/>
      <c r="AN278" s="26">
        <v>0</v>
      </c>
      <c r="AO278" s="27">
        <v>0</v>
      </c>
      <c r="AP278" s="26">
        <f>P278+Q278+R278+S278+T278+U278+V278+W278+X278+Y278+Z278+AA278+AB278+AC278+AD278+AE278+AF278+AG278+AH278+AI278+AJ278+AK278+AL278+AM278+AN278+AO278</f>
        <v>11000000</v>
      </c>
    </row>
    <row r="279" spans="1:42" s="196" customFormat="1" ht="15" x14ac:dyDescent="0.25">
      <c r="A279" s="20"/>
      <c r="B279" s="20"/>
      <c r="C279" s="150"/>
      <c r="D279" s="151"/>
      <c r="E279" s="152"/>
      <c r="F279" s="152"/>
      <c r="G279" s="191"/>
      <c r="H279" s="192"/>
      <c r="I279" s="191"/>
      <c r="J279" s="303"/>
      <c r="K279" s="303"/>
      <c r="L279" s="303"/>
      <c r="M279" s="194"/>
      <c r="N279" s="191"/>
      <c r="O279" s="192"/>
      <c r="P279" s="195">
        <f t="shared" ref="P279:AP279" si="110">SUM(P273:P278)</f>
        <v>0</v>
      </c>
      <c r="Q279" s="195">
        <f t="shared" si="110"/>
        <v>0</v>
      </c>
      <c r="R279" s="195">
        <f t="shared" si="110"/>
        <v>0</v>
      </c>
      <c r="S279" s="195">
        <f t="shared" si="110"/>
        <v>0</v>
      </c>
      <c r="T279" s="195">
        <f t="shared" si="110"/>
        <v>0</v>
      </c>
      <c r="U279" s="195">
        <f t="shared" si="110"/>
        <v>0</v>
      </c>
      <c r="V279" s="195">
        <f t="shared" si="110"/>
        <v>0</v>
      </c>
      <c r="W279" s="195">
        <f t="shared" si="110"/>
        <v>0</v>
      </c>
      <c r="X279" s="195">
        <f t="shared" si="110"/>
        <v>0</v>
      </c>
      <c r="Y279" s="195">
        <f t="shared" si="110"/>
        <v>0</v>
      </c>
      <c r="Z279" s="195">
        <f t="shared" si="110"/>
        <v>0</v>
      </c>
      <c r="AA279" s="195">
        <f t="shared" si="110"/>
        <v>0</v>
      </c>
      <c r="AB279" s="195">
        <f t="shared" si="110"/>
        <v>0</v>
      </c>
      <c r="AC279" s="195">
        <f t="shared" si="110"/>
        <v>0</v>
      </c>
      <c r="AD279" s="195">
        <f t="shared" si="110"/>
        <v>0</v>
      </c>
      <c r="AE279" s="195">
        <f t="shared" si="110"/>
        <v>0</v>
      </c>
      <c r="AF279" s="195">
        <f t="shared" si="110"/>
        <v>0</v>
      </c>
      <c r="AG279" s="195">
        <f t="shared" si="110"/>
        <v>0</v>
      </c>
      <c r="AH279" s="195">
        <f t="shared" si="110"/>
        <v>0</v>
      </c>
      <c r="AI279" s="195">
        <f t="shared" si="110"/>
        <v>0</v>
      </c>
      <c r="AJ279" s="195">
        <f t="shared" si="110"/>
        <v>0</v>
      </c>
      <c r="AK279" s="195">
        <f t="shared" si="110"/>
        <v>0</v>
      </c>
      <c r="AL279" s="195">
        <f t="shared" si="110"/>
        <v>160000000</v>
      </c>
      <c r="AM279" s="195">
        <f t="shared" si="110"/>
        <v>0</v>
      </c>
      <c r="AN279" s="195">
        <f t="shared" si="110"/>
        <v>0</v>
      </c>
      <c r="AO279" s="195">
        <f t="shared" si="110"/>
        <v>0</v>
      </c>
      <c r="AP279" s="195">
        <f t="shared" si="110"/>
        <v>160000000</v>
      </c>
    </row>
    <row r="280" spans="1:42" s="28" customFormat="1" ht="15" x14ac:dyDescent="0.25">
      <c r="A280" s="20"/>
      <c r="B280" s="20"/>
      <c r="C280" s="454"/>
      <c r="D280" s="214"/>
      <c r="E280" s="454"/>
      <c r="F280" s="454"/>
      <c r="G280" s="214"/>
      <c r="H280" s="454"/>
      <c r="I280" s="214"/>
      <c r="J280" s="314"/>
      <c r="K280" s="314"/>
      <c r="L280" s="314"/>
      <c r="M280" s="216"/>
      <c r="N280" s="214"/>
      <c r="O280" s="454"/>
      <c r="P280" s="217"/>
      <c r="Q280" s="217"/>
      <c r="R280" s="217"/>
      <c r="S280" s="217"/>
      <c r="T280" s="217"/>
      <c r="U280" s="217"/>
      <c r="V280" s="217"/>
      <c r="W280" s="217"/>
      <c r="X280" s="217"/>
      <c r="Y280" s="217"/>
      <c r="Z280" s="217"/>
      <c r="AA280" s="217"/>
      <c r="AB280" s="217"/>
      <c r="AC280" s="217"/>
      <c r="AD280" s="218"/>
      <c r="AE280" s="218"/>
      <c r="AF280" s="218"/>
      <c r="AG280" s="218"/>
      <c r="AH280" s="218"/>
      <c r="AI280" s="218"/>
      <c r="AJ280" s="217"/>
      <c r="AK280" s="217"/>
      <c r="AL280" s="219"/>
      <c r="AM280" s="220"/>
      <c r="AN280" s="217"/>
      <c r="AO280" s="217"/>
      <c r="AP280" s="238"/>
    </row>
    <row r="281" spans="1:42" s="196" customFormat="1" x14ac:dyDescent="0.25">
      <c r="A281" s="20"/>
      <c r="B281" s="20"/>
      <c r="C281" s="150"/>
      <c r="D281" s="151"/>
      <c r="E281" s="152"/>
      <c r="F281" s="152"/>
      <c r="G281" s="308">
        <v>2</v>
      </c>
      <c r="H281" s="432" t="s">
        <v>144</v>
      </c>
      <c r="I281" s="227"/>
      <c r="J281" s="227"/>
      <c r="K281" s="227"/>
      <c r="L281" s="227"/>
      <c r="M281" s="228"/>
      <c r="N281" s="227"/>
      <c r="O281" s="227"/>
      <c r="P281" s="227"/>
      <c r="Q281" s="227"/>
      <c r="R281" s="227"/>
      <c r="S281" s="227"/>
      <c r="T281" s="227"/>
      <c r="U281" s="227"/>
      <c r="V281" s="227"/>
      <c r="W281" s="227"/>
      <c r="X281" s="227"/>
      <c r="Y281" s="227"/>
      <c r="Z281" s="227"/>
      <c r="AA281" s="227"/>
      <c r="AB281" s="227"/>
      <c r="AC281" s="227"/>
      <c r="AD281" s="227"/>
      <c r="AE281" s="227"/>
      <c r="AF281" s="227"/>
      <c r="AG281" s="227"/>
      <c r="AH281" s="227"/>
      <c r="AI281" s="227"/>
      <c r="AJ281" s="227"/>
      <c r="AK281" s="227"/>
      <c r="AL281" s="229"/>
      <c r="AM281" s="227"/>
      <c r="AN281" s="227"/>
      <c r="AO281" s="227"/>
      <c r="AP281" s="230"/>
    </row>
    <row r="282" spans="1:42" s="28" customFormat="1" ht="99.75" customHeight="1" x14ac:dyDescent="0.25">
      <c r="A282" s="20"/>
      <c r="B282" s="20"/>
      <c r="C282" s="150">
        <v>2</v>
      </c>
      <c r="D282" s="151" t="s">
        <v>357</v>
      </c>
      <c r="E282" s="152" t="s">
        <v>358</v>
      </c>
      <c r="F282" s="152" t="s">
        <v>358</v>
      </c>
      <c r="G282" s="23"/>
      <c r="H282" s="152">
        <v>8</v>
      </c>
      <c r="I282" s="151" t="s">
        <v>365</v>
      </c>
      <c r="J282" s="12">
        <v>1</v>
      </c>
      <c r="K282" s="12">
        <v>2</v>
      </c>
      <c r="L282" s="1003" t="s">
        <v>366</v>
      </c>
      <c r="M282" s="907" t="s">
        <v>367</v>
      </c>
      <c r="N282" s="893" t="s">
        <v>368</v>
      </c>
      <c r="O282" s="152" t="s">
        <v>40</v>
      </c>
      <c r="P282" s="26">
        <v>0</v>
      </c>
      <c r="Q282" s="26">
        <v>0</v>
      </c>
      <c r="R282" s="26">
        <v>0</v>
      </c>
      <c r="S282" s="26">
        <v>0</v>
      </c>
      <c r="T282" s="26">
        <v>0</v>
      </c>
      <c r="U282" s="26">
        <v>0</v>
      </c>
      <c r="V282" s="26">
        <v>0</v>
      </c>
      <c r="W282" s="26"/>
      <c r="X282" s="26"/>
      <c r="Y282" s="26"/>
      <c r="Z282" s="26">
        <v>0</v>
      </c>
      <c r="AA282" s="26"/>
      <c r="AB282" s="26">
        <v>0</v>
      </c>
      <c r="AC282" s="26">
        <v>0</v>
      </c>
      <c r="AD282" s="26"/>
      <c r="AE282" s="26"/>
      <c r="AF282" s="26"/>
      <c r="AG282" s="26"/>
      <c r="AH282" s="26"/>
      <c r="AI282" s="26"/>
      <c r="AJ282" s="26">
        <v>0</v>
      </c>
      <c r="AK282" s="26">
        <v>0</v>
      </c>
      <c r="AL282" s="113">
        <f>46600000+20000000</f>
        <v>66600000</v>
      </c>
      <c r="AM282" s="39"/>
      <c r="AN282" s="26">
        <v>0</v>
      </c>
      <c r="AO282" s="27">
        <v>0</v>
      </c>
      <c r="AP282" s="26">
        <f>P282+Q282+R282+S282+T282+U282+V282+W282+X282+Y282+Z282+AA282+AB282+AC282+AD282+AE282+AF282+AG282+AH282+AI282+AJ282+AK282+AL282+AM282+AN282+AO282</f>
        <v>66600000</v>
      </c>
    </row>
    <row r="283" spans="1:42" s="28" customFormat="1" ht="66" customHeight="1" x14ac:dyDescent="0.25">
      <c r="A283" s="20"/>
      <c r="B283" s="20"/>
      <c r="C283" s="150">
        <v>2</v>
      </c>
      <c r="D283" s="151" t="s">
        <v>357</v>
      </c>
      <c r="E283" s="152" t="s">
        <v>358</v>
      </c>
      <c r="F283" s="152" t="s">
        <v>358</v>
      </c>
      <c r="G283" s="31"/>
      <c r="H283" s="152">
        <v>7</v>
      </c>
      <c r="I283" s="151" t="s">
        <v>369</v>
      </c>
      <c r="J283" s="12">
        <v>0</v>
      </c>
      <c r="K283" s="12">
        <v>1</v>
      </c>
      <c r="L283" s="1004"/>
      <c r="M283" s="909"/>
      <c r="N283" s="895"/>
      <c r="O283" s="152" t="s">
        <v>44</v>
      </c>
      <c r="P283" s="26">
        <v>0</v>
      </c>
      <c r="Q283" s="26">
        <v>0</v>
      </c>
      <c r="R283" s="26">
        <v>0</v>
      </c>
      <c r="S283" s="26">
        <v>0</v>
      </c>
      <c r="T283" s="26">
        <v>0</v>
      </c>
      <c r="U283" s="26">
        <v>0</v>
      </c>
      <c r="V283" s="26">
        <v>0</v>
      </c>
      <c r="W283" s="26"/>
      <c r="X283" s="26"/>
      <c r="Y283" s="26"/>
      <c r="Z283" s="26">
        <v>0</v>
      </c>
      <c r="AA283" s="26"/>
      <c r="AB283" s="26">
        <v>0</v>
      </c>
      <c r="AC283" s="26">
        <v>0</v>
      </c>
      <c r="AD283" s="26"/>
      <c r="AE283" s="26"/>
      <c r="AF283" s="26"/>
      <c r="AG283" s="26"/>
      <c r="AH283" s="26"/>
      <c r="AI283" s="26"/>
      <c r="AJ283" s="26">
        <v>0</v>
      </c>
      <c r="AK283" s="66">
        <v>0</v>
      </c>
      <c r="AL283" s="113">
        <f>12200000+30000000</f>
        <v>42200000</v>
      </c>
      <c r="AM283" s="39"/>
      <c r="AN283" s="26">
        <v>0</v>
      </c>
      <c r="AO283" s="27"/>
      <c r="AP283" s="26">
        <f>P283+Q283+R283+S283+T283+U283+V283+W283+X283+Y283+Z283+AA283+AB283+AC283+AD283+AE283+AF283+AG283+AH283+AI283+AJ283+AK283+AL283+AM283+AN283+AO283</f>
        <v>42200000</v>
      </c>
    </row>
    <row r="284" spans="1:42" s="196" customFormat="1" ht="15" x14ac:dyDescent="0.25">
      <c r="A284" s="20"/>
      <c r="B284" s="20"/>
      <c r="C284" s="150"/>
      <c r="D284" s="190"/>
      <c r="E284" s="397"/>
      <c r="F284" s="397"/>
      <c r="G284" s="191"/>
      <c r="H284" s="192"/>
      <c r="I284" s="191"/>
      <c r="J284" s="191"/>
      <c r="K284" s="191"/>
      <c r="L284" s="191"/>
      <c r="M284" s="194"/>
      <c r="N284" s="191"/>
      <c r="O284" s="192"/>
      <c r="P284" s="309">
        <f t="shared" ref="P284:AP284" si="111">SUM(P282:P283)</f>
        <v>0</v>
      </c>
      <c r="Q284" s="309">
        <f t="shared" si="111"/>
        <v>0</v>
      </c>
      <c r="R284" s="309">
        <f t="shared" si="111"/>
        <v>0</v>
      </c>
      <c r="S284" s="309">
        <f t="shared" si="111"/>
        <v>0</v>
      </c>
      <c r="T284" s="309">
        <f t="shared" si="111"/>
        <v>0</v>
      </c>
      <c r="U284" s="309">
        <f t="shared" si="111"/>
        <v>0</v>
      </c>
      <c r="V284" s="309">
        <f t="shared" si="111"/>
        <v>0</v>
      </c>
      <c r="W284" s="309">
        <f t="shared" si="111"/>
        <v>0</v>
      </c>
      <c r="X284" s="309">
        <f t="shared" si="111"/>
        <v>0</v>
      </c>
      <c r="Y284" s="309">
        <f t="shared" si="111"/>
        <v>0</v>
      </c>
      <c r="Z284" s="309">
        <f t="shared" si="111"/>
        <v>0</v>
      </c>
      <c r="AA284" s="309">
        <f t="shared" si="111"/>
        <v>0</v>
      </c>
      <c r="AB284" s="309">
        <f t="shared" si="111"/>
        <v>0</v>
      </c>
      <c r="AC284" s="309">
        <f t="shared" si="111"/>
        <v>0</v>
      </c>
      <c r="AD284" s="309">
        <f t="shared" si="111"/>
        <v>0</v>
      </c>
      <c r="AE284" s="309">
        <f t="shared" si="111"/>
        <v>0</v>
      </c>
      <c r="AF284" s="309">
        <f t="shared" si="111"/>
        <v>0</v>
      </c>
      <c r="AG284" s="309">
        <f t="shared" si="111"/>
        <v>0</v>
      </c>
      <c r="AH284" s="309">
        <f t="shared" si="111"/>
        <v>0</v>
      </c>
      <c r="AI284" s="309">
        <f t="shared" si="111"/>
        <v>0</v>
      </c>
      <c r="AJ284" s="309">
        <f t="shared" si="111"/>
        <v>0</v>
      </c>
      <c r="AK284" s="309">
        <f t="shared" si="111"/>
        <v>0</v>
      </c>
      <c r="AL284" s="309">
        <f t="shared" si="111"/>
        <v>108800000</v>
      </c>
      <c r="AM284" s="309">
        <f t="shared" si="111"/>
        <v>0</v>
      </c>
      <c r="AN284" s="309">
        <f t="shared" si="111"/>
        <v>0</v>
      </c>
      <c r="AO284" s="309">
        <f t="shared" si="111"/>
        <v>0</v>
      </c>
      <c r="AP284" s="309">
        <f t="shared" si="111"/>
        <v>108800000</v>
      </c>
    </row>
    <row r="285" spans="1:42" s="28" customFormat="1" ht="15" x14ac:dyDescent="0.25">
      <c r="A285" s="20"/>
      <c r="B285" s="20"/>
      <c r="C285" s="454"/>
      <c r="D285" s="214"/>
      <c r="E285" s="383"/>
      <c r="F285" s="383"/>
      <c r="G285" s="214"/>
      <c r="H285" s="454"/>
      <c r="I285" s="214"/>
      <c r="J285" s="214"/>
      <c r="K285" s="214"/>
      <c r="L285" s="214"/>
      <c r="M285" s="216"/>
      <c r="N285" s="214"/>
      <c r="O285" s="454"/>
      <c r="P285" s="433"/>
      <c r="Q285" s="433"/>
      <c r="R285" s="433"/>
      <c r="S285" s="433"/>
      <c r="T285" s="433"/>
      <c r="U285" s="433"/>
      <c r="V285" s="433"/>
      <c r="W285" s="433"/>
      <c r="X285" s="433"/>
      <c r="Y285" s="433"/>
      <c r="Z285" s="433"/>
      <c r="AA285" s="433"/>
      <c r="AB285" s="433"/>
      <c r="AC285" s="433"/>
      <c r="AD285" s="434"/>
      <c r="AE285" s="434"/>
      <c r="AF285" s="434"/>
      <c r="AG285" s="434"/>
      <c r="AH285" s="434"/>
      <c r="AI285" s="434"/>
      <c r="AJ285" s="433"/>
      <c r="AK285" s="433"/>
      <c r="AL285" s="435"/>
      <c r="AM285" s="436"/>
      <c r="AN285" s="433"/>
      <c r="AO285" s="433"/>
      <c r="AP285" s="433"/>
    </row>
    <row r="286" spans="1:42" s="196" customFormat="1" x14ac:dyDescent="0.25">
      <c r="A286" s="20"/>
      <c r="B286" s="20"/>
      <c r="C286" s="150"/>
      <c r="D286" s="190"/>
      <c r="E286" s="397"/>
      <c r="F286" s="397"/>
      <c r="G286" s="308">
        <v>3</v>
      </c>
      <c r="H286" s="432" t="s">
        <v>370</v>
      </c>
      <c r="I286" s="227"/>
      <c r="J286" s="227"/>
      <c r="K286" s="227"/>
      <c r="L286" s="227"/>
      <c r="M286" s="228"/>
      <c r="N286" s="227"/>
      <c r="O286" s="227"/>
      <c r="P286" s="227"/>
      <c r="Q286" s="227"/>
      <c r="R286" s="227"/>
      <c r="S286" s="227"/>
      <c r="T286" s="227"/>
      <c r="U286" s="227"/>
      <c r="V286" s="227"/>
      <c r="W286" s="227"/>
      <c r="X286" s="227"/>
      <c r="Y286" s="227"/>
      <c r="Z286" s="227"/>
      <c r="AA286" s="227"/>
      <c r="AB286" s="227"/>
      <c r="AC286" s="227"/>
      <c r="AD286" s="227"/>
      <c r="AE286" s="227"/>
      <c r="AF286" s="227"/>
      <c r="AG286" s="227"/>
      <c r="AH286" s="227"/>
      <c r="AI286" s="227"/>
      <c r="AJ286" s="227"/>
      <c r="AK286" s="227"/>
      <c r="AL286" s="229"/>
      <c r="AM286" s="227"/>
      <c r="AN286" s="227"/>
      <c r="AO286" s="227"/>
      <c r="AP286" s="230"/>
    </row>
    <row r="287" spans="1:42" s="28" customFormat="1" ht="147" customHeight="1" x14ac:dyDescent="0.25">
      <c r="A287" s="20"/>
      <c r="B287" s="20"/>
      <c r="C287" s="150" t="s">
        <v>371</v>
      </c>
      <c r="D287" s="151" t="s">
        <v>372</v>
      </c>
      <c r="E287" s="152" t="s">
        <v>373</v>
      </c>
      <c r="F287" s="152" t="s">
        <v>374</v>
      </c>
      <c r="G287" s="23"/>
      <c r="H287" s="152">
        <v>14</v>
      </c>
      <c r="I287" s="151" t="s">
        <v>375</v>
      </c>
      <c r="J287" s="12">
        <v>2</v>
      </c>
      <c r="K287" s="12">
        <v>6</v>
      </c>
      <c r="L287" s="12" t="s">
        <v>354</v>
      </c>
      <c r="M287" s="38" t="s">
        <v>376</v>
      </c>
      <c r="N287" s="151" t="s">
        <v>377</v>
      </c>
      <c r="O287" s="152" t="s">
        <v>44</v>
      </c>
      <c r="P287" s="26">
        <v>0</v>
      </c>
      <c r="Q287" s="26">
        <v>0</v>
      </c>
      <c r="R287" s="26">
        <v>0</v>
      </c>
      <c r="S287" s="26">
        <v>0</v>
      </c>
      <c r="T287" s="26">
        <v>0</v>
      </c>
      <c r="U287" s="26">
        <v>0</v>
      </c>
      <c r="V287" s="26">
        <v>0</v>
      </c>
      <c r="W287" s="26"/>
      <c r="X287" s="26"/>
      <c r="Y287" s="26"/>
      <c r="Z287" s="26">
        <v>0</v>
      </c>
      <c r="AA287" s="26"/>
      <c r="AB287" s="26">
        <v>0</v>
      </c>
      <c r="AC287" s="26">
        <v>0</v>
      </c>
      <c r="AD287" s="26"/>
      <c r="AE287" s="26"/>
      <c r="AF287" s="26"/>
      <c r="AG287" s="26"/>
      <c r="AH287" s="26"/>
      <c r="AI287" s="26"/>
      <c r="AJ287" s="26">
        <v>0</v>
      </c>
      <c r="AK287" s="26">
        <v>0</v>
      </c>
      <c r="AL287" s="114">
        <f>380191884.6692+75115288+1400000+219592885</f>
        <v>676300057.66919994</v>
      </c>
      <c r="AM287" s="41"/>
      <c r="AN287" s="26">
        <v>0</v>
      </c>
      <c r="AO287" s="60">
        <v>0</v>
      </c>
      <c r="AP287" s="26">
        <f>P287+Q287+R287+S287+T287+U287+V287+W287+X287+Y287+Z287+AA287+AB287+AC287+AD287+AE287+AF287+AG287+AH287+AI287+AJ287+AK287+AL287+AM287+AN287+AO287</f>
        <v>676300057.66919994</v>
      </c>
    </row>
    <row r="288" spans="1:42" s="28" customFormat="1" ht="76.5" customHeight="1" x14ac:dyDescent="0.25">
      <c r="A288" s="20"/>
      <c r="B288" s="20"/>
      <c r="C288" s="150">
        <v>3</v>
      </c>
      <c r="D288" s="151" t="s">
        <v>361</v>
      </c>
      <c r="E288" s="152" t="s">
        <v>362</v>
      </c>
      <c r="F288" s="152" t="s">
        <v>147</v>
      </c>
      <c r="G288" s="29"/>
      <c r="H288" s="152">
        <v>15</v>
      </c>
      <c r="I288" s="23" t="s">
        <v>378</v>
      </c>
      <c r="J288" s="12">
        <v>0</v>
      </c>
      <c r="K288" s="12">
        <v>2</v>
      </c>
      <c r="L288" s="993" t="s">
        <v>354</v>
      </c>
      <c r="M288" s="908" t="s">
        <v>379</v>
      </c>
      <c r="N288" s="894" t="s">
        <v>380</v>
      </c>
      <c r="O288" s="152" t="s">
        <v>44</v>
      </c>
      <c r="P288" s="26"/>
      <c r="Q288" s="26"/>
      <c r="R288" s="26"/>
      <c r="S288" s="26"/>
      <c r="T288" s="26"/>
      <c r="U288" s="26"/>
      <c r="V288" s="26"/>
      <c r="W288" s="26"/>
      <c r="X288" s="26"/>
      <c r="Y288" s="26"/>
      <c r="Z288" s="26"/>
      <c r="AA288" s="26"/>
      <c r="AB288" s="26"/>
      <c r="AC288" s="26"/>
      <c r="AD288" s="26"/>
      <c r="AE288" s="26"/>
      <c r="AF288" s="26"/>
      <c r="AG288" s="26"/>
      <c r="AH288" s="26"/>
      <c r="AI288" s="26"/>
      <c r="AJ288" s="26"/>
      <c r="AK288" s="26"/>
      <c r="AL288" s="114">
        <f>169400000+148407115</f>
        <v>317807115</v>
      </c>
      <c r="AM288" s="41"/>
      <c r="AN288" s="26"/>
      <c r="AO288" s="27"/>
      <c r="AP288" s="26">
        <f>P288+Q288+R288+S288+T288+U288+V288+W288+X288+Y288+Z288+AA288+AB288+AC288+AD288+AE288+AF288+AG288+AH288+AI288+AJ288+AK288+AL288+AM288+AN288+AO288</f>
        <v>317807115</v>
      </c>
    </row>
    <row r="289" spans="1:42" s="28" customFormat="1" ht="83.25" customHeight="1" x14ac:dyDescent="0.25">
      <c r="A289" s="20"/>
      <c r="B289" s="20"/>
      <c r="C289" s="150"/>
      <c r="D289" s="151"/>
      <c r="E289" s="152"/>
      <c r="F289" s="152"/>
      <c r="G289" s="29"/>
      <c r="H289" s="152">
        <v>16</v>
      </c>
      <c r="I289" s="23" t="s">
        <v>381</v>
      </c>
      <c r="J289" s="12">
        <v>7</v>
      </c>
      <c r="K289" s="12">
        <v>3</v>
      </c>
      <c r="L289" s="994"/>
      <c r="M289" s="908"/>
      <c r="N289" s="894"/>
      <c r="O289" s="152" t="s">
        <v>40</v>
      </c>
      <c r="P289" s="26"/>
      <c r="Q289" s="26"/>
      <c r="R289" s="26"/>
      <c r="S289" s="26"/>
      <c r="T289" s="26"/>
      <c r="U289" s="26"/>
      <c r="V289" s="26"/>
      <c r="W289" s="26"/>
      <c r="X289" s="26"/>
      <c r="Y289" s="26"/>
      <c r="Z289" s="26"/>
      <c r="AA289" s="26"/>
      <c r="AB289" s="26"/>
      <c r="AC289" s="26"/>
      <c r="AD289" s="26"/>
      <c r="AE289" s="26"/>
      <c r="AF289" s="26"/>
      <c r="AG289" s="26"/>
      <c r="AH289" s="26"/>
      <c r="AI289" s="26"/>
      <c r="AJ289" s="26"/>
      <c r="AK289" s="26"/>
      <c r="AL289" s="114">
        <v>6000000</v>
      </c>
      <c r="AM289" s="41"/>
      <c r="AN289" s="26"/>
      <c r="AO289" s="27"/>
      <c r="AP289" s="26">
        <f>P289+Q289+R289+S289+T289+U289+V289+W289+X289+Y289+Z289+AA289+AB289+AC289+AD289+AE289+AF289+AG289+AH289+AI289+AJ289+AK289+AL289+AM289+AN289+AO289</f>
        <v>6000000</v>
      </c>
    </row>
    <row r="290" spans="1:42" s="28" customFormat="1" ht="57" customHeight="1" x14ac:dyDescent="0.25">
      <c r="A290" s="20"/>
      <c r="B290" s="20"/>
      <c r="C290" s="150"/>
      <c r="D290" s="151"/>
      <c r="E290" s="152"/>
      <c r="F290" s="152"/>
      <c r="G290" s="29"/>
      <c r="H290" s="152">
        <v>18</v>
      </c>
      <c r="I290" s="151" t="s">
        <v>382</v>
      </c>
      <c r="J290" s="12">
        <v>0</v>
      </c>
      <c r="K290" s="12">
        <v>7</v>
      </c>
      <c r="L290" s="994"/>
      <c r="M290" s="908"/>
      <c r="N290" s="894"/>
      <c r="O290" s="152" t="s">
        <v>40</v>
      </c>
      <c r="P290" s="26"/>
      <c r="Q290" s="26"/>
      <c r="R290" s="26"/>
      <c r="S290" s="26"/>
      <c r="T290" s="26"/>
      <c r="U290" s="26"/>
      <c r="V290" s="26"/>
      <c r="W290" s="26"/>
      <c r="X290" s="26"/>
      <c r="Y290" s="26"/>
      <c r="Z290" s="26"/>
      <c r="AA290" s="26"/>
      <c r="AB290" s="26"/>
      <c r="AC290" s="26"/>
      <c r="AD290" s="26"/>
      <c r="AE290" s="26"/>
      <c r="AF290" s="26"/>
      <c r="AG290" s="26"/>
      <c r="AH290" s="26"/>
      <c r="AI290" s="26"/>
      <c r="AJ290" s="26"/>
      <c r="AK290" s="26"/>
      <c r="AL290" s="115">
        <f>10000000-1400000</f>
        <v>8600000</v>
      </c>
      <c r="AM290" s="11"/>
      <c r="AN290" s="26"/>
      <c r="AO290" s="27"/>
      <c r="AP290" s="26">
        <f>P290+Q290+R290+S290+T290+U290+V290+W290+X290+Y290+Z290+AA290+AB290+AC290+AD290+AE290+AF290+AG290+AH290+AI290+AJ290+AK290+AL290+AM290+AN290+AO290</f>
        <v>8600000</v>
      </c>
    </row>
    <row r="291" spans="1:42" s="28" customFormat="1" ht="104.25" customHeight="1" x14ac:dyDescent="0.25">
      <c r="A291" s="20"/>
      <c r="B291" s="20"/>
      <c r="C291" s="150">
        <v>4</v>
      </c>
      <c r="D291" s="151" t="s">
        <v>383</v>
      </c>
      <c r="E291" s="152" t="s">
        <v>384</v>
      </c>
      <c r="F291" s="152" t="s">
        <v>385</v>
      </c>
      <c r="G291" s="29"/>
      <c r="H291" s="152">
        <v>19</v>
      </c>
      <c r="I291" s="151" t="s">
        <v>386</v>
      </c>
      <c r="J291" s="12">
        <v>20</v>
      </c>
      <c r="K291" s="815">
        <v>9</v>
      </c>
      <c r="L291" s="994"/>
      <c r="M291" s="908"/>
      <c r="N291" s="894"/>
      <c r="O291" s="152" t="s">
        <v>40</v>
      </c>
      <c r="P291" s="26">
        <v>0</v>
      </c>
      <c r="Q291" s="26">
        <v>0</v>
      </c>
      <c r="R291" s="26">
        <v>0</v>
      </c>
      <c r="S291" s="26">
        <v>0</v>
      </c>
      <c r="T291" s="26">
        <v>0</v>
      </c>
      <c r="U291" s="26">
        <v>0</v>
      </c>
      <c r="V291" s="26">
        <v>0</v>
      </c>
      <c r="W291" s="26"/>
      <c r="X291" s="26"/>
      <c r="Y291" s="26"/>
      <c r="Z291" s="26">
        <v>0</v>
      </c>
      <c r="AA291" s="26"/>
      <c r="AB291" s="26">
        <v>0</v>
      </c>
      <c r="AC291" s="26">
        <v>0</v>
      </c>
      <c r="AD291" s="26"/>
      <c r="AE291" s="26"/>
      <c r="AF291" s="26"/>
      <c r="AG291" s="26"/>
      <c r="AH291" s="26"/>
      <c r="AI291" s="26"/>
      <c r="AJ291" s="26">
        <v>0</v>
      </c>
      <c r="AK291" s="26">
        <v>0</v>
      </c>
      <c r="AL291" s="115">
        <v>7000000</v>
      </c>
      <c r="AM291" s="11"/>
      <c r="AN291" s="26">
        <v>0</v>
      </c>
      <c r="AO291" s="27">
        <v>0</v>
      </c>
      <c r="AP291" s="26">
        <f>P291+Q291+R291+S291+T291+U291+V291+W291+X291+Y291+Z291+AA291+AB291+AC291+AD291+AE291+AF291+AG291+AH291+AI291+AJ291+AK291+AL291+AM291+AN291+AO291</f>
        <v>7000000</v>
      </c>
    </row>
    <row r="292" spans="1:42" s="28" customFormat="1" ht="83.25" customHeight="1" x14ac:dyDescent="0.25">
      <c r="A292" s="20"/>
      <c r="B292" s="20"/>
      <c r="C292" s="150">
        <v>1</v>
      </c>
      <c r="D292" s="151" t="s">
        <v>352</v>
      </c>
      <c r="E292" s="76" t="s">
        <v>36</v>
      </c>
      <c r="F292" s="77">
        <v>15000</v>
      </c>
      <c r="G292" s="29"/>
      <c r="H292" s="152">
        <v>20</v>
      </c>
      <c r="I292" s="151" t="s">
        <v>387</v>
      </c>
      <c r="J292" s="12" t="s">
        <v>36</v>
      </c>
      <c r="K292" s="815">
        <v>70</v>
      </c>
      <c r="L292" s="995"/>
      <c r="M292" s="909"/>
      <c r="N292" s="895"/>
      <c r="O292" s="152" t="s">
        <v>40</v>
      </c>
      <c r="P292" s="26">
        <v>0</v>
      </c>
      <c r="Q292" s="26">
        <v>0</v>
      </c>
      <c r="R292" s="26">
        <v>0</v>
      </c>
      <c r="S292" s="26">
        <v>0</v>
      </c>
      <c r="T292" s="26">
        <v>0</v>
      </c>
      <c r="U292" s="26">
        <v>0</v>
      </c>
      <c r="V292" s="26">
        <v>0</v>
      </c>
      <c r="W292" s="26"/>
      <c r="X292" s="26"/>
      <c r="Y292" s="26"/>
      <c r="Z292" s="26">
        <v>0</v>
      </c>
      <c r="AA292" s="26"/>
      <c r="AB292" s="26">
        <v>0</v>
      </c>
      <c r="AC292" s="26">
        <v>0</v>
      </c>
      <c r="AD292" s="26"/>
      <c r="AE292" s="26"/>
      <c r="AF292" s="26"/>
      <c r="AG292" s="26"/>
      <c r="AH292" s="26"/>
      <c r="AI292" s="26"/>
      <c r="AJ292" s="26">
        <v>0</v>
      </c>
      <c r="AK292" s="26">
        <v>0</v>
      </c>
      <c r="AL292" s="115">
        <v>7000000</v>
      </c>
      <c r="AM292" s="11"/>
      <c r="AN292" s="26">
        <v>0</v>
      </c>
      <c r="AO292" s="27">
        <v>0</v>
      </c>
      <c r="AP292" s="26">
        <f>P292+Q292+R292+S292+T292+U292+V292+W292+X292+Y292+Z292+AA292+AB292+AC292+AD292+AE292+AF292+AG292+AH292+AI292+AJ292+AK292+AL292+AM292+AN292+AO292</f>
        <v>7000000</v>
      </c>
    </row>
    <row r="293" spans="1:42" s="196" customFormat="1" ht="20.25" customHeight="1" x14ac:dyDescent="0.25">
      <c r="A293" s="20"/>
      <c r="B293" s="189"/>
      <c r="C293" s="305"/>
      <c r="D293" s="214"/>
      <c r="E293" s="841"/>
      <c r="F293" s="836"/>
      <c r="G293" s="191"/>
      <c r="H293" s="192"/>
      <c r="I293" s="191"/>
      <c r="J293" s="191"/>
      <c r="K293" s="191"/>
      <c r="L293" s="191"/>
      <c r="M293" s="194"/>
      <c r="N293" s="437"/>
      <c r="O293" s="192"/>
      <c r="P293" s="309">
        <f>SUM(P287:P292)</f>
        <v>0</v>
      </c>
      <c r="Q293" s="309">
        <f t="shared" ref="Q293:AK293" si="112">SUM(Q287:Q292)</f>
        <v>0</v>
      </c>
      <c r="R293" s="309">
        <f t="shared" si="112"/>
        <v>0</v>
      </c>
      <c r="S293" s="309">
        <f t="shared" si="112"/>
        <v>0</v>
      </c>
      <c r="T293" s="309">
        <f t="shared" si="112"/>
        <v>0</v>
      </c>
      <c r="U293" s="309">
        <f t="shared" si="112"/>
        <v>0</v>
      </c>
      <c r="V293" s="309">
        <f t="shared" si="112"/>
        <v>0</v>
      </c>
      <c r="W293" s="309">
        <f t="shared" si="112"/>
        <v>0</v>
      </c>
      <c r="X293" s="309">
        <f t="shared" si="112"/>
        <v>0</v>
      </c>
      <c r="Y293" s="309">
        <f t="shared" si="112"/>
        <v>0</v>
      </c>
      <c r="Z293" s="309">
        <f t="shared" si="112"/>
        <v>0</v>
      </c>
      <c r="AA293" s="309">
        <f t="shared" si="112"/>
        <v>0</v>
      </c>
      <c r="AB293" s="309">
        <f t="shared" si="112"/>
        <v>0</v>
      </c>
      <c r="AC293" s="309">
        <f t="shared" si="112"/>
        <v>0</v>
      </c>
      <c r="AD293" s="309">
        <f t="shared" si="112"/>
        <v>0</v>
      </c>
      <c r="AE293" s="309">
        <f t="shared" si="112"/>
        <v>0</v>
      </c>
      <c r="AF293" s="309">
        <f t="shared" si="112"/>
        <v>0</v>
      </c>
      <c r="AG293" s="309">
        <f t="shared" si="112"/>
        <v>0</v>
      </c>
      <c r="AH293" s="309">
        <f t="shared" si="112"/>
        <v>0</v>
      </c>
      <c r="AI293" s="309">
        <f t="shared" si="112"/>
        <v>0</v>
      </c>
      <c r="AJ293" s="309">
        <f t="shared" si="112"/>
        <v>0</v>
      </c>
      <c r="AK293" s="309">
        <f t="shared" si="112"/>
        <v>0</v>
      </c>
      <c r="AL293" s="309">
        <f t="shared" ref="AL293:AP293" si="113">SUM(AL287:AL292)</f>
        <v>1022707172.6691999</v>
      </c>
      <c r="AM293" s="309">
        <f t="shared" si="113"/>
        <v>0</v>
      </c>
      <c r="AN293" s="309">
        <f t="shared" si="113"/>
        <v>0</v>
      </c>
      <c r="AO293" s="309">
        <f t="shared" si="113"/>
        <v>0</v>
      </c>
      <c r="AP293" s="309">
        <f t="shared" si="113"/>
        <v>1022707172.6691999</v>
      </c>
    </row>
    <row r="294" spans="1:42" s="196" customFormat="1" ht="24" customHeight="1" x14ac:dyDescent="0.25">
      <c r="A294" s="189"/>
      <c r="B294" s="198"/>
      <c r="C294" s="262"/>
      <c r="D294" s="198"/>
      <c r="E294" s="199"/>
      <c r="F294" s="199"/>
      <c r="G294" s="198"/>
      <c r="H294" s="199"/>
      <c r="I294" s="198"/>
      <c r="J294" s="198"/>
      <c r="K294" s="198"/>
      <c r="L294" s="198"/>
      <c r="M294" s="201"/>
      <c r="N294" s="198"/>
      <c r="O294" s="199"/>
      <c r="P294" s="438">
        <f t="shared" ref="P294:AK294" si="114">P293+P284+P279</f>
        <v>0</v>
      </c>
      <c r="Q294" s="438">
        <f t="shared" si="114"/>
        <v>0</v>
      </c>
      <c r="R294" s="438">
        <f t="shared" si="114"/>
        <v>0</v>
      </c>
      <c r="S294" s="438">
        <f t="shared" si="114"/>
        <v>0</v>
      </c>
      <c r="T294" s="438">
        <f t="shared" si="114"/>
        <v>0</v>
      </c>
      <c r="U294" s="438">
        <f t="shared" si="114"/>
        <v>0</v>
      </c>
      <c r="V294" s="438">
        <f t="shared" si="114"/>
        <v>0</v>
      </c>
      <c r="W294" s="438">
        <f t="shared" si="114"/>
        <v>0</v>
      </c>
      <c r="X294" s="438">
        <f t="shared" si="114"/>
        <v>0</v>
      </c>
      <c r="Y294" s="438">
        <f t="shared" si="114"/>
        <v>0</v>
      </c>
      <c r="Z294" s="438">
        <f t="shared" si="114"/>
        <v>0</v>
      </c>
      <c r="AA294" s="438">
        <f t="shared" si="114"/>
        <v>0</v>
      </c>
      <c r="AB294" s="438">
        <f t="shared" si="114"/>
        <v>0</v>
      </c>
      <c r="AC294" s="438">
        <f t="shared" si="114"/>
        <v>0</v>
      </c>
      <c r="AD294" s="438">
        <f t="shared" si="114"/>
        <v>0</v>
      </c>
      <c r="AE294" s="438">
        <f t="shared" si="114"/>
        <v>0</v>
      </c>
      <c r="AF294" s="438">
        <f t="shared" si="114"/>
        <v>0</v>
      </c>
      <c r="AG294" s="438">
        <f t="shared" si="114"/>
        <v>0</v>
      </c>
      <c r="AH294" s="438">
        <f t="shared" si="114"/>
        <v>0</v>
      </c>
      <c r="AI294" s="438">
        <f t="shared" si="114"/>
        <v>0</v>
      </c>
      <c r="AJ294" s="438">
        <f t="shared" si="114"/>
        <v>0</v>
      </c>
      <c r="AK294" s="438">
        <f t="shared" si="114"/>
        <v>0</v>
      </c>
      <c r="AL294" s="438">
        <f t="shared" ref="AL294:AP294" si="115">AL293+AL284+AL279</f>
        <v>1291507172.6691999</v>
      </c>
      <c r="AM294" s="438">
        <f t="shared" si="115"/>
        <v>0</v>
      </c>
      <c r="AN294" s="438">
        <f t="shared" si="115"/>
        <v>0</v>
      </c>
      <c r="AO294" s="438">
        <f t="shared" si="115"/>
        <v>0</v>
      </c>
      <c r="AP294" s="438">
        <f t="shared" si="115"/>
        <v>1291507172.6691999</v>
      </c>
    </row>
    <row r="295" spans="1:42" s="28" customFormat="1" ht="23.25" customHeight="1" x14ac:dyDescent="0.25">
      <c r="A295" s="690"/>
      <c r="B295" s="690"/>
      <c r="C295" s="439"/>
      <c r="D295" s="440"/>
      <c r="E295" s="440"/>
      <c r="F295" s="440"/>
      <c r="G295" s="440"/>
      <c r="H295" s="439"/>
      <c r="I295" s="440"/>
      <c r="J295" s="440"/>
      <c r="K295" s="440"/>
      <c r="L295" s="440"/>
      <c r="M295" s="441"/>
      <c r="N295" s="440"/>
      <c r="O295" s="440"/>
      <c r="P295" s="440">
        <f t="shared" ref="P295:AK295" si="116">P294</f>
        <v>0</v>
      </c>
      <c r="Q295" s="440">
        <f t="shared" si="116"/>
        <v>0</v>
      </c>
      <c r="R295" s="440">
        <f t="shared" si="116"/>
        <v>0</v>
      </c>
      <c r="S295" s="440">
        <f t="shared" si="116"/>
        <v>0</v>
      </c>
      <c r="T295" s="440">
        <f t="shared" si="116"/>
        <v>0</v>
      </c>
      <c r="U295" s="440">
        <f t="shared" si="116"/>
        <v>0</v>
      </c>
      <c r="V295" s="440">
        <f t="shared" si="116"/>
        <v>0</v>
      </c>
      <c r="W295" s="440">
        <f t="shared" si="116"/>
        <v>0</v>
      </c>
      <c r="X295" s="440">
        <f t="shared" si="116"/>
        <v>0</v>
      </c>
      <c r="Y295" s="440">
        <f t="shared" si="116"/>
        <v>0</v>
      </c>
      <c r="Z295" s="440">
        <f t="shared" si="116"/>
        <v>0</v>
      </c>
      <c r="AA295" s="440">
        <f t="shared" si="116"/>
        <v>0</v>
      </c>
      <c r="AB295" s="440">
        <f t="shared" si="116"/>
        <v>0</v>
      </c>
      <c r="AC295" s="440">
        <f t="shared" si="116"/>
        <v>0</v>
      </c>
      <c r="AD295" s="440">
        <f t="shared" si="116"/>
        <v>0</v>
      </c>
      <c r="AE295" s="440">
        <f t="shared" si="116"/>
        <v>0</v>
      </c>
      <c r="AF295" s="440">
        <f t="shared" si="116"/>
        <v>0</v>
      </c>
      <c r="AG295" s="440">
        <f t="shared" si="116"/>
        <v>0</v>
      </c>
      <c r="AH295" s="440">
        <f t="shared" si="116"/>
        <v>0</v>
      </c>
      <c r="AI295" s="440">
        <f t="shared" si="116"/>
        <v>0</v>
      </c>
      <c r="AJ295" s="440">
        <f t="shared" si="116"/>
        <v>0</v>
      </c>
      <c r="AK295" s="440">
        <f t="shared" si="116"/>
        <v>0</v>
      </c>
      <c r="AL295" s="440">
        <f t="shared" ref="AL295:AP295" si="117">AL294</f>
        <v>1291507172.6691999</v>
      </c>
      <c r="AM295" s="440">
        <f t="shared" si="117"/>
        <v>0</v>
      </c>
      <c r="AN295" s="440">
        <f t="shared" si="117"/>
        <v>0</v>
      </c>
      <c r="AO295" s="440">
        <f t="shared" si="117"/>
        <v>0</v>
      </c>
      <c r="AP295" s="822">
        <f t="shared" si="117"/>
        <v>1291507172.6691999</v>
      </c>
    </row>
    <row r="296" spans="1:42" s="28" customFormat="1" ht="15" x14ac:dyDescent="0.25">
      <c r="A296" s="214"/>
      <c r="B296" s="214"/>
      <c r="C296" s="454"/>
      <c r="D296" s="214"/>
      <c r="E296" s="454"/>
      <c r="F296" s="454"/>
      <c r="G296" s="214"/>
      <c r="H296" s="454"/>
      <c r="I296" s="214"/>
      <c r="J296" s="214"/>
      <c r="K296" s="214"/>
      <c r="L296" s="214"/>
      <c r="M296" s="216"/>
      <c r="N296" s="214"/>
      <c r="O296" s="454"/>
      <c r="P296" s="433"/>
      <c r="Q296" s="433"/>
      <c r="R296" s="433"/>
      <c r="S296" s="433"/>
      <c r="T296" s="433"/>
      <c r="U296" s="433"/>
      <c r="V296" s="433"/>
      <c r="W296" s="433"/>
      <c r="X296" s="433"/>
      <c r="Y296" s="433"/>
      <c r="Z296" s="433"/>
      <c r="AA296" s="433"/>
      <c r="AB296" s="433"/>
      <c r="AC296" s="433"/>
      <c r="AD296" s="434"/>
      <c r="AE296" s="434"/>
      <c r="AF296" s="434"/>
      <c r="AG296" s="434"/>
      <c r="AH296" s="434"/>
      <c r="AI296" s="434"/>
      <c r="AJ296" s="433"/>
      <c r="AK296" s="433"/>
      <c r="AL296" s="435"/>
      <c r="AM296" s="433"/>
      <c r="AN296" s="433"/>
      <c r="AO296" s="433"/>
      <c r="AP296" s="433"/>
    </row>
    <row r="297" spans="1:42" s="196" customFormat="1" ht="22.5" customHeight="1" x14ac:dyDescent="0.25">
      <c r="A297" s="173">
        <v>2</v>
      </c>
      <c r="B297" s="174" t="s">
        <v>119</v>
      </c>
      <c r="C297" s="175"/>
      <c r="D297" s="174"/>
      <c r="E297" s="174"/>
      <c r="F297" s="174"/>
      <c r="G297" s="174"/>
      <c r="H297" s="175"/>
      <c r="I297" s="174"/>
      <c r="J297" s="174"/>
      <c r="K297" s="174"/>
      <c r="L297" s="174"/>
      <c r="M297" s="176"/>
      <c r="N297" s="174"/>
      <c r="O297" s="174"/>
      <c r="P297" s="174"/>
      <c r="Q297" s="174"/>
      <c r="R297" s="174"/>
      <c r="S297" s="174"/>
      <c r="T297" s="174"/>
      <c r="U297" s="174"/>
      <c r="V297" s="174"/>
      <c r="W297" s="174"/>
      <c r="X297" s="174"/>
      <c r="Y297" s="174"/>
      <c r="Z297" s="174"/>
      <c r="AA297" s="174"/>
      <c r="AB297" s="174"/>
      <c r="AC297" s="174"/>
      <c r="AD297" s="174"/>
      <c r="AE297" s="174"/>
      <c r="AF297" s="174"/>
      <c r="AG297" s="174"/>
      <c r="AH297" s="174"/>
      <c r="AI297" s="174"/>
      <c r="AJ297" s="174"/>
      <c r="AK297" s="174"/>
      <c r="AL297" s="177"/>
      <c r="AM297" s="174"/>
      <c r="AN297" s="174"/>
      <c r="AO297" s="174"/>
      <c r="AP297" s="178"/>
    </row>
    <row r="298" spans="1:42" s="196" customFormat="1" ht="22.5" customHeight="1" x14ac:dyDescent="0.25">
      <c r="A298" s="223"/>
      <c r="B298" s="291">
        <v>2</v>
      </c>
      <c r="C298" s="181" t="s">
        <v>296</v>
      </c>
      <c r="D298" s="182"/>
      <c r="E298" s="182"/>
      <c r="F298" s="182"/>
      <c r="G298" s="182"/>
      <c r="H298" s="183"/>
      <c r="I298" s="182"/>
      <c r="J298" s="182"/>
      <c r="K298" s="182"/>
      <c r="L298" s="182"/>
      <c r="M298" s="184"/>
      <c r="N298" s="182"/>
      <c r="O298" s="182"/>
      <c r="P298" s="182"/>
      <c r="Q298" s="182"/>
      <c r="R298" s="182"/>
      <c r="S298" s="182"/>
      <c r="T298" s="182"/>
      <c r="U298" s="182"/>
      <c r="V298" s="182"/>
      <c r="W298" s="182"/>
      <c r="X298" s="182"/>
      <c r="Y298" s="182"/>
      <c r="Z298" s="182"/>
      <c r="AA298" s="182"/>
      <c r="AB298" s="182"/>
      <c r="AC298" s="182"/>
      <c r="AD298" s="182"/>
      <c r="AE298" s="182"/>
      <c r="AF298" s="182"/>
      <c r="AG298" s="182"/>
      <c r="AH298" s="182"/>
      <c r="AI298" s="182"/>
      <c r="AJ298" s="182"/>
      <c r="AK298" s="182"/>
      <c r="AL298" s="185"/>
      <c r="AM298" s="182"/>
      <c r="AN298" s="182"/>
      <c r="AO298" s="182"/>
      <c r="AP298" s="186"/>
    </row>
    <row r="299" spans="1:42" s="196" customFormat="1" ht="23.25" customHeight="1" x14ac:dyDescent="0.25">
      <c r="A299" s="20"/>
      <c r="B299" s="223"/>
      <c r="C299" s="454"/>
      <c r="D299" s="214"/>
      <c r="E299" s="454"/>
      <c r="F299" s="150"/>
      <c r="G299" s="410">
        <v>4</v>
      </c>
      <c r="H299" s="317" t="s">
        <v>388</v>
      </c>
      <c r="I299" s="227"/>
      <c r="J299" s="227"/>
      <c r="K299" s="227"/>
      <c r="L299" s="227"/>
      <c r="M299" s="228"/>
      <c r="N299" s="227"/>
      <c r="O299" s="227"/>
      <c r="P299" s="227"/>
      <c r="Q299" s="227"/>
      <c r="R299" s="227"/>
      <c r="S299" s="227"/>
      <c r="T299" s="227"/>
      <c r="U299" s="227"/>
      <c r="V299" s="227"/>
      <c r="W299" s="227"/>
      <c r="X299" s="227"/>
      <c r="Y299" s="227"/>
      <c r="Z299" s="227"/>
      <c r="AA299" s="227"/>
      <c r="AB299" s="227"/>
      <c r="AC299" s="227"/>
      <c r="AD299" s="227"/>
      <c r="AE299" s="227"/>
      <c r="AF299" s="227"/>
      <c r="AG299" s="227"/>
      <c r="AH299" s="227"/>
      <c r="AI299" s="227"/>
      <c r="AJ299" s="227"/>
      <c r="AK299" s="227"/>
      <c r="AL299" s="229"/>
      <c r="AM299" s="227"/>
      <c r="AN299" s="227"/>
      <c r="AO299" s="227"/>
      <c r="AP299" s="230"/>
    </row>
    <row r="300" spans="1:42" s="28" customFormat="1" ht="117" customHeight="1" x14ac:dyDescent="0.25">
      <c r="A300" s="20"/>
      <c r="B300" s="20"/>
      <c r="C300" s="150" t="s">
        <v>389</v>
      </c>
      <c r="D300" s="151" t="s">
        <v>390</v>
      </c>
      <c r="E300" s="152" t="s">
        <v>391</v>
      </c>
      <c r="F300" s="152" t="s">
        <v>392</v>
      </c>
      <c r="G300" s="151"/>
      <c r="H300" s="152">
        <v>21</v>
      </c>
      <c r="I300" s="151" t="s">
        <v>393</v>
      </c>
      <c r="J300" s="12">
        <v>20</v>
      </c>
      <c r="K300" s="815">
        <v>100</v>
      </c>
      <c r="L300" s="993" t="s">
        <v>90</v>
      </c>
      <c r="M300" s="907" t="s">
        <v>394</v>
      </c>
      <c r="N300" s="876" t="s">
        <v>395</v>
      </c>
      <c r="O300" s="152" t="s">
        <v>40</v>
      </c>
      <c r="P300" s="26">
        <v>0</v>
      </c>
      <c r="Q300" s="26">
        <v>0</v>
      </c>
      <c r="R300" s="26">
        <v>0</v>
      </c>
      <c r="S300" s="26">
        <v>0</v>
      </c>
      <c r="T300" s="26">
        <v>0</v>
      </c>
      <c r="U300" s="26">
        <v>0</v>
      </c>
      <c r="V300" s="26">
        <v>0</v>
      </c>
      <c r="W300" s="26"/>
      <c r="X300" s="26"/>
      <c r="Y300" s="26"/>
      <c r="Z300" s="26">
        <v>0</v>
      </c>
      <c r="AA300" s="26"/>
      <c r="AB300" s="26">
        <v>0</v>
      </c>
      <c r="AC300" s="26">
        <v>0</v>
      </c>
      <c r="AD300" s="26"/>
      <c r="AE300" s="26"/>
      <c r="AF300" s="26"/>
      <c r="AG300" s="26"/>
      <c r="AH300" s="26"/>
      <c r="AI300" s="26"/>
      <c r="AJ300" s="26">
        <v>0</v>
      </c>
      <c r="AK300" s="26">
        <v>0</v>
      </c>
      <c r="AL300" s="115">
        <v>50000000</v>
      </c>
      <c r="AM300" s="11"/>
      <c r="AN300" s="26">
        <v>0</v>
      </c>
      <c r="AO300" s="27">
        <v>0</v>
      </c>
      <c r="AP300" s="26">
        <f>P300+Q300+R300+S300+T300+U300+V300+W300+X300+Y300+Z300+AA300+AB300+AC300+AD300+AE300+AF300+AG300+AH300+AI300+AJ300+AK300+AL300+AM300+AN300+AO300</f>
        <v>50000000</v>
      </c>
    </row>
    <row r="301" spans="1:42" s="28" customFormat="1" ht="129.75" customHeight="1" x14ac:dyDescent="0.25">
      <c r="A301" s="20"/>
      <c r="B301" s="20"/>
      <c r="C301" s="150" t="s">
        <v>389</v>
      </c>
      <c r="D301" s="151" t="s">
        <v>390</v>
      </c>
      <c r="E301" s="152" t="s">
        <v>391</v>
      </c>
      <c r="F301" s="152" t="s">
        <v>392</v>
      </c>
      <c r="G301" s="151"/>
      <c r="H301" s="150">
        <v>22</v>
      </c>
      <c r="I301" s="151" t="s">
        <v>396</v>
      </c>
      <c r="J301" s="12">
        <v>0</v>
      </c>
      <c r="K301" s="12">
        <v>1</v>
      </c>
      <c r="L301" s="994"/>
      <c r="M301" s="908"/>
      <c r="N301" s="877"/>
      <c r="O301" s="152" t="s">
        <v>40</v>
      </c>
      <c r="P301" s="26"/>
      <c r="Q301" s="26"/>
      <c r="R301" s="26"/>
      <c r="S301" s="26"/>
      <c r="T301" s="26"/>
      <c r="U301" s="26"/>
      <c r="V301" s="26"/>
      <c r="W301" s="26"/>
      <c r="X301" s="26"/>
      <c r="Y301" s="26"/>
      <c r="Z301" s="26"/>
      <c r="AA301" s="26"/>
      <c r="AB301" s="26"/>
      <c r="AC301" s="26"/>
      <c r="AD301" s="26"/>
      <c r="AE301" s="26"/>
      <c r="AF301" s="26"/>
      <c r="AG301" s="26"/>
      <c r="AH301" s="26"/>
      <c r="AI301" s="26"/>
      <c r="AJ301" s="26"/>
      <c r="AK301" s="26"/>
      <c r="AL301" s="115">
        <v>50000000</v>
      </c>
      <c r="AM301" s="11"/>
      <c r="AN301" s="26"/>
      <c r="AO301" s="27"/>
      <c r="AP301" s="26">
        <f>P301+Q301+R301+S301+T301+U301+V301+W301+X301+Y301+Z301+AA301+AB301+AC301+AD301+AE301+AF301+AG301+AH301+AI301+AJ301+AK301+AL301+AM301+AN301+AO301</f>
        <v>50000000</v>
      </c>
    </row>
    <row r="302" spans="1:42" s="28" customFormat="1" ht="126.75" customHeight="1" x14ac:dyDescent="0.25">
      <c r="A302" s="20"/>
      <c r="B302" s="20"/>
      <c r="C302" s="150" t="s">
        <v>389</v>
      </c>
      <c r="D302" s="151" t="s">
        <v>390</v>
      </c>
      <c r="E302" s="152" t="s">
        <v>391</v>
      </c>
      <c r="F302" s="152" t="s">
        <v>392</v>
      </c>
      <c r="G302" s="151"/>
      <c r="H302" s="150">
        <v>23</v>
      </c>
      <c r="I302" s="151" t="s">
        <v>397</v>
      </c>
      <c r="J302" s="12">
        <v>0</v>
      </c>
      <c r="K302" s="12">
        <v>1</v>
      </c>
      <c r="L302" s="994"/>
      <c r="M302" s="908"/>
      <c r="N302" s="877"/>
      <c r="O302" s="152" t="s">
        <v>44</v>
      </c>
      <c r="P302" s="26"/>
      <c r="Q302" s="26"/>
      <c r="R302" s="26"/>
      <c r="S302" s="26"/>
      <c r="T302" s="26"/>
      <c r="U302" s="26"/>
      <c r="V302" s="26"/>
      <c r="W302" s="26"/>
      <c r="X302" s="26"/>
      <c r="Y302" s="26"/>
      <c r="Z302" s="26"/>
      <c r="AA302" s="26"/>
      <c r="AB302" s="26"/>
      <c r="AC302" s="26"/>
      <c r="AD302" s="26"/>
      <c r="AE302" s="26"/>
      <c r="AF302" s="26"/>
      <c r="AG302" s="26"/>
      <c r="AH302" s="26"/>
      <c r="AI302" s="26"/>
      <c r="AJ302" s="26"/>
      <c r="AK302" s="26"/>
      <c r="AL302" s="115">
        <v>200000000</v>
      </c>
      <c r="AM302" s="11"/>
      <c r="AN302" s="26"/>
      <c r="AO302" s="27"/>
      <c r="AP302" s="26">
        <f>P302+Q302+R302+S302+T302+U302+V302+W302+X302+Y302+Z302+AA302+AB302+AC302+AD302+AE302+AF302+AG302+AH302+AI302+AJ302+AK302+AL302+AM302+AN302+AO302</f>
        <v>200000000</v>
      </c>
    </row>
    <row r="303" spans="1:42" s="28" customFormat="1" ht="125.25" customHeight="1" x14ac:dyDescent="0.25">
      <c r="A303" s="20"/>
      <c r="B303" s="20"/>
      <c r="C303" s="150" t="s">
        <v>389</v>
      </c>
      <c r="D303" s="151" t="s">
        <v>390</v>
      </c>
      <c r="E303" s="152" t="s">
        <v>391</v>
      </c>
      <c r="F303" s="152" t="s">
        <v>392</v>
      </c>
      <c r="G303" s="151"/>
      <c r="H303" s="150">
        <v>24</v>
      </c>
      <c r="I303" s="151" t="s">
        <v>398</v>
      </c>
      <c r="J303" s="12">
        <v>0</v>
      </c>
      <c r="K303" s="12">
        <v>1</v>
      </c>
      <c r="L303" s="995"/>
      <c r="M303" s="909"/>
      <c r="N303" s="887"/>
      <c r="O303" s="152" t="s">
        <v>40</v>
      </c>
      <c r="P303" s="26"/>
      <c r="Q303" s="26"/>
      <c r="R303" s="26"/>
      <c r="S303" s="26"/>
      <c r="T303" s="26"/>
      <c r="U303" s="26"/>
      <c r="V303" s="26"/>
      <c r="W303" s="26"/>
      <c r="X303" s="26"/>
      <c r="Y303" s="26"/>
      <c r="Z303" s="26"/>
      <c r="AA303" s="26"/>
      <c r="AB303" s="26"/>
      <c r="AC303" s="26"/>
      <c r="AD303" s="26"/>
      <c r="AE303" s="26"/>
      <c r="AF303" s="26"/>
      <c r="AG303" s="26"/>
      <c r="AH303" s="26"/>
      <c r="AI303" s="26"/>
      <c r="AJ303" s="26"/>
      <c r="AK303" s="26"/>
      <c r="AL303" s="115">
        <v>50000000</v>
      </c>
      <c r="AM303" s="11"/>
      <c r="AN303" s="26"/>
      <c r="AO303" s="27"/>
      <c r="AP303" s="26">
        <f>P303+Q303+R303+S303+T303+U303+V303+W303+X303+Y303+Z303+AA303+AB303+AC303+AD303+AE303+AF303+AG303+AH303+AI303+AJ303+AK303+AL303+AM303+AN303+AO303</f>
        <v>50000000</v>
      </c>
    </row>
    <row r="304" spans="1:42" s="28" customFormat="1" ht="21" customHeight="1" x14ac:dyDescent="0.25">
      <c r="A304" s="20"/>
      <c r="B304" s="20"/>
      <c r="C304" s="1045"/>
      <c r="D304" s="850"/>
      <c r="E304" s="851"/>
      <c r="F304" s="852"/>
      <c r="G304" s="1046"/>
      <c r="H304" s="1047"/>
      <c r="I304" s="1048"/>
      <c r="J304" s="1049"/>
      <c r="K304" s="1049"/>
      <c r="L304" s="1050"/>
      <c r="M304" s="1051"/>
      <c r="N304" s="1052"/>
      <c r="O304" s="1053"/>
      <c r="P304" s="1054">
        <f>SUM(P300:P303)</f>
        <v>0</v>
      </c>
      <c r="Q304" s="1054">
        <f t="shared" ref="Q304:AK304" si="118">SUM(Q300:Q303)</f>
        <v>0</v>
      </c>
      <c r="R304" s="1054">
        <f t="shared" si="118"/>
        <v>0</v>
      </c>
      <c r="S304" s="1054">
        <f t="shared" si="118"/>
        <v>0</v>
      </c>
      <c r="T304" s="1054">
        <f t="shared" si="118"/>
        <v>0</v>
      </c>
      <c r="U304" s="1054">
        <f t="shared" si="118"/>
        <v>0</v>
      </c>
      <c r="V304" s="1054">
        <f t="shared" si="118"/>
        <v>0</v>
      </c>
      <c r="W304" s="1054">
        <f t="shared" si="118"/>
        <v>0</v>
      </c>
      <c r="X304" s="1054">
        <f t="shared" si="118"/>
        <v>0</v>
      </c>
      <c r="Y304" s="1054">
        <f t="shared" si="118"/>
        <v>0</v>
      </c>
      <c r="Z304" s="1054">
        <f t="shared" si="118"/>
        <v>0</v>
      </c>
      <c r="AA304" s="1054">
        <f t="shared" si="118"/>
        <v>0</v>
      </c>
      <c r="AB304" s="1054">
        <f t="shared" si="118"/>
        <v>0</v>
      </c>
      <c r="AC304" s="1054">
        <f t="shared" si="118"/>
        <v>0</v>
      </c>
      <c r="AD304" s="1054">
        <f t="shared" si="118"/>
        <v>0</v>
      </c>
      <c r="AE304" s="1054">
        <f t="shared" si="118"/>
        <v>0</v>
      </c>
      <c r="AF304" s="1054">
        <f t="shared" si="118"/>
        <v>0</v>
      </c>
      <c r="AG304" s="1054">
        <f t="shared" si="118"/>
        <v>0</v>
      </c>
      <c r="AH304" s="1054">
        <f t="shared" si="118"/>
        <v>0</v>
      </c>
      <c r="AI304" s="1054">
        <f t="shared" si="118"/>
        <v>0</v>
      </c>
      <c r="AJ304" s="1054">
        <f t="shared" si="118"/>
        <v>0</v>
      </c>
      <c r="AK304" s="1054">
        <f t="shared" si="118"/>
        <v>0</v>
      </c>
      <c r="AL304" s="1054">
        <f t="shared" ref="AL304:AP304" si="119">SUM(AL300:AL303)</f>
        <v>350000000</v>
      </c>
      <c r="AM304" s="1054">
        <f t="shared" si="119"/>
        <v>0</v>
      </c>
      <c r="AN304" s="1054">
        <f t="shared" si="119"/>
        <v>0</v>
      </c>
      <c r="AO304" s="1054">
        <f t="shared" si="119"/>
        <v>0</v>
      </c>
      <c r="AP304" s="1054">
        <f t="shared" si="119"/>
        <v>350000000</v>
      </c>
    </row>
    <row r="305" spans="1:42" s="28" customFormat="1" ht="21" customHeight="1" x14ac:dyDescent="0.25">
      <c r="A305" s="22"/>
      <c r="B305" s="22"/>
      <c r="C305" s="305"/>
      <c r="D305" s="214"/>
      <c r="E305" s="841"/>
      <c r="F305" s="841"/>
      <c r="G305" s="214"/>
      <c r="H305" s="841"/>
      <c r="I305" s="214"/>
      <c r="J305" s="314"/>
      <c r="K305" s="314"/>
      <c r="L305" s="314"/>
      <c r="M305" s="216"/>
      <c r="N305" s="841"/>
      <c r="O305" s="841"/>
      <c r="P305" s="217"/>
      <c r="Q305" s="217"/>
      <c r="R305" s="217"/>
      <c r="S305" s="217"/>
      <c r="T305" s="217"/>
      <c r="U305" s="217"/>
      <c r="V305" s="217"/>
      <c r="W305" s="217"/>
      <c r="X305" s="217"/>
      <c r="Y305" s="217"/>
      <c r="Z305" s="217"/>
      <c r="AA305" s="217"/>
      <c r="AB305" s="217"/>
      <c r="AC305" s="217"/>
      <c r="AD305" s="217"/>
      <c r="AE305" s="217"/>
      <c r="AF305" s="217"/>
      <c r="AG305" s="217"/>
      <c r="AH305" s="217"/>
      <c r="AI305" s="217"/>
      <c r="AJ305" s="217"/>
      <c r="AK305" s="217"/>
      <c r="AL305" s="219"/>
      <c r="AM305" s="1060"/>
      <c r="AN305" s="217"/>
      <c r="AO305" s="217"/>
      <c r="AP305" s="217"/>
    </row>
    <row r="306" spans="1:42" s="28" customFormat="1" ht="28.5" customHeight="1" x14ac:dyDescent="0.25">
      <c r="A306" s="20"/>
      <c r="B306" s="20"/>
      <c r="C306" s="853"/>
      <c r="D306" s="498"/>
      <c r="E306" s="839"/>
      <c r="F306" s="835"/>
      <c r="G306" s="1055">
        <v>5</v>
      </c>
      <c r="H306" s="1056" t="s">
        <v>399</v>
      </c>
      <c r="I306" s="122"/>
      <c r="J306" s="107"/>
      <c r="K306" s="107"/>
      <c r="L306" s="107"/>
      <c r="M306" s="123"/>
      <c r="N306" s="124"/>
      <c r="O306" s="124"/>
      <c r="P306" s="1057"/>
      <c r="Q306" s="1057"/>
      <c r="R306" s="1057"/>
      <c r="S306" s="1057"/>
      <c r="T306" s="1057"/>
      <c r="U306" s="1057"/>
      <c r="V306" s="1057"/>
      <c r="W306" s="1057"/>
      <c r="X306" s="1057"/>
      <c r="Y306" s="1057"/>
      <c r="Z306" s="1057"/>
      <c r="AA306" s="1057"/>
      <c r="AB306" s="1057"/>
      <c r="AC306" s="1057"/>
      <c r="AD306" s="1057"/>
      <c r="AE306" s="1057"/>
      <c r="AF306" s="1057"/>
      <c r="AG306" s="1057"/>
      <c r="AH306" s="1057"/>
      <c r="AI306" s="1057"/>
      <c r="AJ306" s="1057"/>
      <c r="AK306" s="1057"/>
      <c r="AL306" s="1058"/>
      <c r="AM306" s="1059"/>
      <c r="AN306" s="1059">
        <f>SUM(AN300:AN303)</f>
        <v>0</v>
      </c>
      <c r="AO306" s="1059">
        <f>SUM(AO300:AO303)</f>
        <v>0</v>
      </c>
      <c r="AP306" s="1059"/>
    </row>
    <row r="307" spans="1:42" s="28" customFormat="1" ht="119.25" customHeight="1" x14ac:dyDescent="0.25">
      <c r="A307" s="20"/>
      <c r="B307" s="20"/>
      <c r="C307" s="150" t="s">
        <v>389</v>
      </c>
      <c r="D307" s="151" t="s">
        <v>390</v>
      </c>
      <c r="E307" s="152" t="s">
        <v>391</v>
      </c>
      <c r="F307" s="152" t="s">
        <v>392</v>
      </c>
      <c r="G307" s="78"/>
      <c r="H307" s="152">
        <v>25</v>
      </c>
      <c r="I307" s="151" t="s">
        <v>400</v>
      </c>
      <c r="J307" s="12" t="s">
        <v>36</v>
      </c>
      <c r="K307" s="815">
        <v>2</v>
      </c>
      <c r="L307" s="993" t="s">
        <v>90</v>
      </c>
      <c r="M307" s="907" t="s">
        <v>401</v>
      </c>
      <c r="N307" s="876" t="s">
        <v>402</v>
      </c>
      <c r="O307" s="152" t="s">
        <v>40</v>
      </c>
      <c r="P307" s="26"/>
      <c r="Q307" s="26"/>
      <c r="R307" s="26"/>
      <c r="S307" s="26"/>
      <c r="T307" s="26"/>
      <c r="U307" s="26"/>
      <c r="V307" s="26"/>
      <c r="W307" s="26"/>
      <c r="X307" s="26"/>
      <c r="Y307" s="26"/>
      <c r="Z307" s="26"/>
      <c r="AA307" s="26"/>
      <c r="AB307" s="26"/>
      <c r="AC307" s="26"/>
      <c r="AD307" s="26"/>
      <c r="AE307" s="26"/>
      <c r="AF307" s="26"/>
      <c r="AG307" s="26"/>
      <c r="AH307" s="26"/>
      <c r="AI307" s="26"/>
      <c r="AJ307" s="26"/>
      <c r="AK307" s="26"/>
      <c r="AL307" s="115">
        <f>300000000+60000000</f>
        <v>360000000</v>
      </c>
      <c r="AM307" s="11"/>
      <c r="AN307" s="26"/>
      <c r="AO307" s="27"/>
      <c r="AP307" s="26">
        <f>P307+Q307+R307+S307+T307+U307+V307+W307+X307+Y307+Z307+AA307+AB307+AC307+AD307+AE307+AF307+AG307+AH307+AI307+AJ307+AK307+AL307+AM307+AN307+AO307</f>
        <v>360000000</v>
      </c>
    </row>
    <row r="308" spans="1:42" s="28" customFormat="1" ht="130.5" customHeight="1" x14ac:dyDescent="0.25">
      <c r="A308" s="20"/>
      <c r="B308" s="20"/>
      <c r="C308" s="150" t="s">
        <v>389</v>
      </c>
      <c r="D308" s="151" t="s">
        <v>390</v>
      </c>
      <c r="E308" s="152" t="s">
        <v>391</v>
      </c>
      <c r="F308" s="152" t="s">
        <v>392</v>
      </c>
      <c r="G308" s="78"/>
      <c r="H308" s="152">
        <v>26</v>
      </c>
      <c r="I308" s="151" t="s">
        <v>403</v>
      </c>
      <c r="J308" s="12" t="s">
        <v>36</v>
      </c>
      <c r="K308" s="815">
        <v>1</v>
      </c>
      <c r="L308" s="994"/>
      <c r="M308" s="908"/>
      <c r="N308" s="877"/>
      <c r="O308" s="152" t="s">
        <v>40</v>
      </c>
      <c r="P308" s="26"/>
      <c r="Q308" s="26"/>
      <c r="R308" s="26"/>
      <c r="S308" s="26"/>
      <c r="T308" s="26"/>
      <c r="U308" s="26"/>
      <c r="V308" s="26"/>
      <c r="W308" s="26"/>
      <c r="X308" s="26"/>
      <c r="Y308" s="26"/>
      <c r="Z308" s="26"/>
      <c r="AA308" s="26"/>
      <c r="AB308" s="26"/>
      <c r="AC308" s="26"/>
      <c r="AD308" s="26"/>
      <c r="AE308" s="26"/>
      <c r="AF308" s="26"/>
      <c r="AG308" s="26"/>
      <c r="AH308" s="26"/>
      <c r="AI308" s="26"/>
      <c r="AJ308" s="26"/>
      <c r="AK308" s="26"/>
      <c r="AL308" s="115">
        <v>50000000</v>
      </c>
      <c r="AM308" s="11"/>
      <c r="AN308" s="26"/>
      <c r="AO308" s="27"/>
      <c r="AP308" s="26">
        <f>P308+Q308+R308+S308+T308+U308+V308+W308+X308+Y308+Z308+AA308+AB308+AC308+AD308+AE308+AF308+AG308+AH308+AI308+AJ308+AK308+AL308+AM308+AN308+AO308</f>
        <v>50000000</v>
      </c>
    </row>
    <row r="309" spans="1:42" s="28" customFormat="1" ht="130.5" customHeight="1" x14ac:dyDescent="0.25">
      <c r="A309" s="20"/>
      <c r="B309" s="20"/>
      <c r="C309" s="150" t="s">
        <v>389</v>
      </c>
      <c r="D309" s="151" t="s">
        <v>390</v>
      </c>
      <c r="E309" s="152" t="s">
        <v>391</v>
      </c>
      <c r="F309" s="152" t="s">
        <v>392</v>
      </c>
      <c r="G309" s="78"/>
      <c r="H309" s="152">
        <v>27</v>
      </c>
      <c r="I309" s="151" t="s">
        <v>404</v>
      </c>
      <c r="J309" s="12">
        <v>0</v>
      </c>
      <c r="K309" s="815">
        <v>2</v>
      </c>
      <c r="L309" s="994"/>
      <c r="M309" s="908"/>
      <c r="N309" s="877"/>
      <c r="O309" s="152" t="s">
        <v>40</v>
      </c>
      <c r="P309" s="26"/>
      <c r="Q309" s="26"/>
      <c r="R309" s="26"/>
      <c r="S309" s="26"/>
      <c r="T309" s="26"/>
      <c r="U309" s="26"/>
      <c r="V309" s="26"/>
      <c r="W309" s="26"/>
      <c r="X309" s="26"/>
      <c r="Y309" s="26"/>
      <c r="Z309" s="26"/>
      <c r="AA309" s="26"/>
      <c r="AB309" s="26"/>
      <c r="AC309" s="26"/>
      <c r="AD309" s="26"/>
      <c r="AE309" s="26"/>
      <c r="AF309" s="26"/>
      <c r="AG309" s="26"/>
      <c r="AH309" s="26"/>
      <c r="AI309" s="26"/>
      <c r="AJ309" s="26"/>
      <c r="AK309" s="26"/>
      <c r="AL309" s="115"/>
      <c r="AM309" s="11"/>
      <c r="AN309" s="26"/>
      <c r="AO309" s="27"/>
      <c r="AP309" s="26">
        <f>P309+Q309+R309+S309+T309+U309+V309+W309+X309+Y309+Z309+AA309+AB309+AC309+AD309+AE309+AF309+AG309+AH309+AI309+AJ309+AK309+AL309+AM309+AN309+AO309</f>
        <v>0</v>
      </c>
    </row>
    <row r="310" spans="1:42" s="28" customFormat="1" ht="130.5" customHeight="1" x14ac:dyDescent="0.25">
      <c r="A310" s="20"/>
      <c r="B310" s="20"/>
      <c r="C310" s="150" t="s">
        <v>389</v>
      </c>
      <c r="D310" s="151" t="s">
        <v>390</v>
      </c>
      <c r="E310" s="152" t="s">
        <v>391</v>
      </c>
      <c r="F310" s="152" t="s">
        <v>392</v>
      </c>
      <c r="G310" s="78"/>
      <c r="H310" s="152">
        <v>28</v>
      </c>
      <c r="I310" s="151" t="s">
        <v>405</v>
      </c>
      <c r="J310" s="12" t="s">
        <v>36</v>
      </c>
      <c r="K310" s="815">
        <v>2</v>
      </c>
      <c r="L310" s="994"/>
      <c r="M310" s="909"/>
      <c r="N310" s="887"/>
      <c r="O310" s="152" t="s">
        <v>40</v>
      </c>
      <c r="P310" s="26"/>
      <c r="Q310" s="26"/>
      <c r="R310" s="26"/>
      <c r="S310" s="26"/>
      <c r="T310" s="26"/>
      <c r="U310" s="26"/>
      <c r="V310" s="26"/>
      <c r="W310" s="26"/>
      <c r="X310" s="26"/>
      <c r="Y310" s="26"/>
      <c r="Z310" s="26"/>
      <c r="AA310" s="26"/>
      <c r="AB310" s="26"/>
      <c r="AC310" s="26"/>
      <c r="AD310" s="26"/>
      <c r="AE310" s="26"/>
      <c r="AF310" s="26"/>
      <c r="AG310" s="26"/>
      <c r="AH310" s="26"/>
      <c r="AI310" s="26"/>
      <c r="AJ310" s="26"/>
      <c r="AK310" s="26"/>
      <c r="AL310" s="115"/>
      <c r="AM310" s="11"/>
      <c r="AN310" s="26"/>
      <c r="AO310" s="27"/>
      <c r="AP310" s="26">
        <f>P310+Q310+R310+S310+T310+U310+V310+W310+X310+Y310+Z310+AA310+AB310+AC310+AD310+AE310+AF310+AG310+AH310+AI310+AJ310+AK310+AL310+AM310+AN310+AO310</f>
        <v>0</v>
      </c>
    </row>
    <row r="311" spans="1:42" s="28" customFormat="1" ht="130.5" customHeight="1" x14ac:dyDescent="0.25">
      <c r="A311" s="20"/>
      <c r="B311" s="20"/>
      <c r="C311" s="150" t="s">
        <v>389</v>
      </c>
      <c r="D311" s="151" t="s">
        <v>390</v>
      </c>
      <c r="E311" s="152" t="s">
        <v>391</v>
      </c>
      <c r="F311" s="152" t="s">
        <v>392</v>
      </c>
      <c r="G311" s="78"/>
      <c r="H311" s="152">
        <v>29</v>
      </c>
      <c r="I311" s="151" t="s">
        <v>406</v>
      </c>
      <c r="J311" s="12">
        <v>0</v>
      </c>
      <c r="K311" s="815">
        <v>1</v>
      </c>
      <c r="L311" s="994"/>
      <c r="M311" s="140" t="s">
        <v>890</v>
      </c>
      <c r="N311" s="135" t="s">
        <v>407</v>
      </c>
      <c r="O311" s="152" t="s">
        <v>44</v>
      </c>
      <c r="P311" s="26"/>
      <c r="Q311" s="26"/>
      <c r="R311" s="26"/>
      <c r="S311" s="26"/>
      <c r="T311" s="26"/>
      <c r="U311" s="26"/>
      <c r="V311" s="26"/>
      <c r="W311" s="26"/>
      <c r="X311" s="26"/>
      <c r="Y311" s="26"/>
      <c r="Z311" s="26"/>
      <c r="AA311" s="26"/>
      <c r="AB311" s="26"/>
      <c r="AC311" s="26"/>
      <c r="AD311" s="26"/>
      <c r="AE311" s="26"/>
      <c r="AF311" s="26"/>
      <c r="AG311" s="26"/>
      <c r="AH311" s="26"/>
      <c r="AI311" s="26"/>
      <c r="AJ311" s="26"/>
      <c r="AK311" s="26"/>
      <c r="AL311" s="115">
        <v>25000000</v>
      </c>
      <c r="AM311" s="11"/>
      <c r="AN311" s="26"/>
      <c r="AO311" s="27"/>
      <c r="AP311" s="26">
        <f>P311+Q311+R311+S311+T311+U311+V311+W311+X311+Y311+Z311+AA311+AB311+AC311+AD311+AE311+AF311+AG311+AH311+AI311+AJ311+AK311+AL311+AM311+AN311+AO311</f>
        <v>25000000</v>
      </c>
    </row>
    <row r="312" spans="1:42" s="28" customFormat="1" ht="130.5" customHeight="1" x14ac:dyDescent="0.25">
      <c r="A312" s="20"/>
      <c r="B312" s="20"/>
      <c r="C312" s="150" t="s">
        <v>389</v>
      </c>
      <c r="D312" s="151" t="s">
        <v>390</v>
      </c>
      <c r="E312" s="152" t="s">
        <v>391</v>
      </c>
      <c r="F312" s="152" t="s">
        <v>392</v>
      </c>
      <c r="G312" s="79"/>
      <c r="H312" s="152">
        <v>30</v>
      </c>
      <c r="I312" s="151" t="s">
        <v>408</v>
      </c>
      <c r="J312" s="12">
        <v>1</v>
      </c>
      <c r="K312" s="815">
        <v>1</v>
      </c>
      <c r="L312" s="995"/>
      <c r="M312" s="30" t="s">
        <v>409</v>
      </c>
      <c r="N312" s="151" t="s">
        <v>410</v>
      </c>
      <c r="O312" s="152" t="s">
        <v>44</v>
      </c>
      <c r="P312" s="26"/>
      <c r="Q312" s="26"/>
      <c r="R312" s="26"/>
      <c r="S312" s="26"/>
      <c r="T312" s="26"/>
      <c r="U312" s="26"/>
      <c r="V312" s="26"/>
      <c r="W312" s="26"/>
      <c r="X312" s="26"/>
      <c r="Y312" s="26"/>
      <c r="Z312" s="26"/>
      <c r="AA312" s="26"/>
      <c r="AB312" s="26"/>
      <c r="AC312" s="26"/>
      <c r="AD312" s="26"/>
      <c r="AE312" s="26"/>
      <c r="AF312" s="26"/>
      <c r="AG312" s="26"/>
      <c r="AH312" s="26"/>
      <c r="AI312" s="26"/>
      <c r="AJ312" s="26"/>
      <c r="AK312" s="26"/>
      <c r="AL312" s="115">
        <f>25000000+20000000</f>
        <v>45000000</v>
      </c>
      <c r="AM312" s="11"/>
      <c r="AN312" s="26"/>
      <c r="AO312" s="26"/>
      <c r="AP312" s="26">
        <f>P312+Q312+R312+S312+T312+U312+V312+W312+X312+Y312+Z312+AA312+AB312+AC312+AD312+AE312+AF312+AG312+AH312+AI312+AJ312+AK312+AL312+AM312+AN312+AO312</f>
        <v>45000000</v>
      </c>
    </row>
    <row r="313" spans="1:42" s="196" customFormat="1" ht="24.75" customHeight="1" x14ac:dyDescent="0.25">
      <c r="A313" s="20"/>
      <c r="B313" s="20"/>
      <c r="C313" s="305"/>
      <c r="D313" s="214"/>
      <c r="E313" s="841"/>
      <c r="F313" s="836"/>
      <c r="G313" s="410"/>
      <c r="H313" s="444"/>
      <c r="I313" s="445"/>
      <c r="J313" s="446"/>
      <c r="K313" s="446"/>
      <c r="L313" s="446"/>
      <c r="M313" s="447"/>
      <c r="N313" s="445"/>
      <c r="O313" s="448"/>
      <c r="P313" s="449">
        <f>SUM(P307:P312)</f>
        <v>0</v>
      </c>
      <c r="Q313" s="449">
        <f t="shared" ref="Q313:AK313" si="120">SUM(Q307:Q312)</f>
        <v>0</v>
      </c>
      <c r="R313" s="449">
        <f t="shared" si="120"/>
        <v>0</v>
      </c>
      <c r="S313" s="449">
        <f t="shared" si="120"/>
        <v>0</v>
      </c>
      <c r="T313" s="449">
        <f t="shared" si="120"/>
        <v>0</v>
      </c>
      <c r="U313" s="449">
        <f t="shared" si="120"/>
        <v>0</v>
      </c>
      <c r="V313" s="449">
        <f t="shared" si="120"/>
        <v>0</v>
      </c>
      <c r="W313" s="449">
        <f t="shared" si="120"/>
        <v>0</v>
      </c>
      <c r="X313" s="449">
        <f t="shared" si="120"/>
        <v>0</v>
      </c>
      <c r="Y313" s="449">
        <f t="shared" si="120"/>
        <v>0</v>
      </c>
      <c r="Z313" s="449">
        <f t="shared" si="120"/>
        <v>0</v>
      </c>
      <c r="AA313" s="449">
        <f t="shared" si="120"/>
        <v>0</v>
      </c>
      <c r="AB313" s="449">
        <f t="shared" si="120"/>
        <v>0</v>
      </c>
      <c r="AC313" s="449">
        <f t="shared" si="120"/>
        <v>0</v>
      </c>
      <c r="AD313" s="449">
        <f t="shared" si="120"/>
        <v>0</v>
      </c>
      <c r="AE313" s="449">
        <f t="shared" si="120"/>
        <v>0</v>
      </c>
      <c r="AF313" s="449">
        <f t="shared" si="120"/>
        <v>0</v>
      </c>
      <c r="AG313" s="449">
        <f t="shared" si="120"/>
        <v>0</v>
      </c>
      <c r="AH313" s="449">
        <f t="shared" si="120"/>
        <v>0</v>
      </c>
      <c r="AI313" s="449">
        <f t="shared" si="120"/>
        <v>0</v>
      </c>
      <c r="AJ313" s="449">
        <f t="shared" si="120"/>
        <v>0</v>
      </c>
      <c r="AK313" s="449">
        <f t="shared" si="120"/>
        <v>0</v>
      </c>
      <c r="AL313" s="449">
        <f t="shared" ref="AL313:AP313" si="121">SUM(AL307:AL312)</f>
        <v>480000000</v>
      </c>
      <c r="AM313" s="449">
        <f t="shared" si="121"/>
        <v>0</v>
      </c>
      <c r="AN313" s="449">
        <f t="shared" si="121"/>
        <v>0</v>
      </c>
      <c r="AO313" s="449">
        <f t="shared" si="121"/>
        <v>0</v>
      </c>
      <c r="AP313" s="449">
        <f t="shared" si="121"/>
        <v>480000000</v>
      </c>
    </row>
    <row r="314" spans="1:42" s="28" customFormat="1" ht="15" x14ac:dyDescent="0.25">
      <c r="A314" s="20"/>
      <c r="B314" s="20"/>
      <c r="C314" s="454"/>
      <c r="D314" s="214"/>
      <c r="E314" s="454"/>
      <c r="F314" s="454"/>
      <c r="G314" s="450"/>
      <c r="H314" s="292"/>
      <c r="I314" s="214"/>
      <c r="J314" s="314"/>
      <c r="K314" s="314"/>
      <c r="L314" s="314"/>
      <c r="M314" s="216"/>
      <c r="N314" s="214"/>
      <c r="O314" s="454"/>
      <c r="P314" s="217"/>
      <c r="Q314" s="217"/>
      <c r="R314" s="217"/>
      <c r="S314" s="217"/>
      <c r="T314" s="217"/>
      <c r="U314" s="217"/>
      <c r="V314" s="217"/>
      <c r="W314" s="217"/>
      <c r="X314" s="217"/>
      <c r="Y314" s="217"/>
      <c r="Z314" s="217"/>
      <c r="AA314" s="217"/>
      <c r="AB314" s="217"/>
      <c r="AC314" s="217"/>
      <c r="AD314" s="217"/>
      <c r="AE314" s="217"/>
      <c r="AF314" s="217"/>
      <c r="AG314" s="217"/>
      <c r="AH314" s="217"/>
      <c r="AI314" s="217"/>
      <c r="AJ314" s="217"/>
      <c r="AK314" s="217"/>
      <c r="AL314" s="219"/>
      <c r="AM314" s="217"/>
      <c r="AN314" s="217"/>
      <c r="AO314" s="217"/>
      <c r="AP314" s="217"/>
    </row>
    <row r="315" spans="1:42" s="196" customFormat="1" ht="26.25" customHeight="1" thickBot="1" x14ac:dyDescent="0.3">
      <c r="A315" s="20"/>
      <c r="B315" s="20"/>
      <c r="C315" s="305"/>
      <c r="D315" s="214"/>
      <c r="E315" s="841"/>
      <c r="F315" s="836"/>
      <c r="G315" s="308">
        <v>6</v>
      </c>
      <c r="H315" s="432" t="s">
        <v>411</v>
      </c>
      <c r="I315" s="227"/>
      <c r="J315" s="227"/>
      <c r="K315" s="227"/>
      <c r="L315" s="227"/>
      <c r="M315" s="228"/>
      <c r="N315" s="227"/>
      <c r="O315" s="227"/>
      <c r="P315" s="227"/>
      <c r="Q315" s="227"/>
      <c r="R315" s="227"/>
      <c r="S315" s="227"/>
      <c r="T315" s="227"/>
      <c r="U315" s="227"/>
      <c r="V315" s="227"/>
      <c r="W315" s="227"/>
      <c r="X315" s="227"/>
      <c r="Y315" s="227"/>
      <c r="Z315" s="227"/>
      <c r="AA315" s="227"/>
      <c r="AB315" s="227"/>
      <c r="AC315" s="227"/>
      <c r="AD315" s="227"/>
      <c r="AE315" s="227"/>
      <c r="AF315" s="227"/>
      <c r="AG315" s="227"/>
      <c r="AH315" s="227"/>
      <c r="AI315" s="227"/>
      <c r="AJ315" s="227"/>
      <c r="AK315" s="227"/>
      <c r="AL315" s="229"/>
      <c r="AM315" s="227"/>
      <c r="AN315" s="227"/>
      <c r="AO315" s="227"/>
      <c r="AP315" s="230"/>
    </row>
    <row r="316" spans="1:42" s="196" customFormat="1" ht="66" customHeight="1" x14ac:dyDescent="0.25">
      <c r="A316" s="20"/>
      <c r="B316" s="20"/>
      <c r="C316" s="143">
        <v>5</v>
      </c>
      <c r="D316" s="136" t="s">
        <v>412</v>
      </c>
      <c r="E316" s="133">
        <v>12.9</v>
      </c>
      <c r="F316" s="133">
        <v>8.9</v>
      </c>
      <c r="G316" s="451"/>
      <c r="H316" s="10">
        <v>31</v>
      </c>
      <c r="I316" s="190" t="s">
        <v>413</v>
      </c>
      <c r="J316" s="12" t="s">
        <v>36</v>
      </c>
      <c r="K316" s="817">
        <v>4</v>
      </c>
      <c r="L316" s="996" t="s">
        <v>90</v>
      </c>
      <c r="M316" s="907" t="s">
        <v>414</v>
      </c>
      <c r="N316" s="893" t="s">
        <v>415</v>
      </c>
      <c r="O316" s="152" t="s">
        <v>44</v>
      </c>
      <c r="P316" s="26"/>
      <c r="Q316" s="26"/>
      <c r="R316" s="26"/>
      <c r="S316" s="26"/>
      <c r="T316" s="26"/>
      <c r="U316" s="26"/>
      <c r="V316" s="26"/>
      <c r="W316" s="26"/>
      <c r="X316" s="26"/>
      <c r="Y316" s="26"/>
      <c r="Z316" s="26"/>
      <c r="AA316" s="26"/>
      <c r="AB316" s="26"/>
      <c r="AC316" s="26"/>
      <c r="AD316" s="304"/>
      <c r="AE316" s="304"/>
      <c r="AF316" s="304"/>
      <c r="AG316" s="304"/>
      <c r="AH316" s="304"/>
      <c r="AI316" s="304"/>
      <c r="AJ316" s="26"/>
      <c r="AK316" s="26"/>
      <c r="AL316" s="117">
        <f>95900000+10000000</f>
        <v>105900000</v>
      </c>
      <c r="AM316" s="5"/>
      <c r="AN316" s="26"/>
      <c r="AO316" s="348"/>
      <c r="AP316" s="26">
        <f>P316+Q316+R316+S316+T316+U316+V316+W316+X316+Y316+Z316+AA316+AB316+AC316+AD316+AE316+AF316+AG316+AH316+AI316+AJ316+AK316+AL316+AM316+AN316+AO316</f>
        <v>105900000</v>
      </c>
    </row>
    <row r="317" spans="1:42" s="196" customFormat="1" ht="57" customHeight="1" x14ac:dyDescent="0.25">
      <c r="A317" s="20"/>
      <c r="B317" s="20"/>
      <c r="C317" s="145">
        <v>6</v>
      </c>
      <c r="D317" s="137" t="s">
        <v>416</v>
      </c>
      <c r="E317" s="134">
        <v>3.4</v>
      </c>
      <c r="F317" s="134">
        <v>4.5999999999999996</v>
      </c>
      <c r="G317" s="451"/>
      <c r="H317" s="10">
        <v>32</v>
      </c>
      <c r="I317" s="151" t="s">
        <v>417</v>
      </c>
      <c r="J317" s="12" t="s">
        <v>36</v>
      </c>
      <c r="K317" s="815">
        <v>30</v>
      </c>
      <c r="L317" s="997"/>
      <c r="M317" s="908"/>
      <c r="N317" s="894"/>
      <c r="O317" s="152" t="s">
        <v>40</v>
      </c>
      <c r="P317" s="26">
        <v>0</v>
      </c>
      <c r="Q317" s="26">
        <v>0</v>
      </c>
      <c r="R317" s="26">
        <v>0</v>
      </c>
      <c r="S317" s="26">
        <v>0</v>
      </c>
      <c r="T317" s="26">
        <v>0</v>
      </c>
      <c r="U317" s="26">
        <v>0</v>
      </c>
      <c r="V317" s="26">
        <v>0</v>
      </c>
      <c r="W317" s="26"/>
      <c r="X317" s="26"/>
      <c r="Y317" s="26"/>
      <c r="Z317" s="26">
        <v>0</v>
      </c>
      <c r="AA317" s="26"/>
      <c r="AB317" s="26">
        <v>0</v>
      </c>
      <c r="AC317" s="26">
        <v>0</v>
      </c>
      <c r="AD317" s="304"/>
      <c r="AE317" s="304"/>
      <c r="AF317" s="304"/>
      <c r="AG317" s="304"/>
      <c r="AH317" s="304"/>
      <c r="AI317" s="304"/>
      <c r="AJ317" s="26">
        <v>0</v>
      </c>
      <c r="AK317" s="26">
        <v>0</v>
      </c>
      <c r="AL317" s="117">
        <f>86900000+100000000</f>
        <v>186900000</v>
      </c>
      <c r="AM317" s="5"/>
      <c r="AN317" s="26">
        <v>0</v>
      </c>
      <c r="AO317" s="348">
        <v>0</v>
      </c>
      <c r="AP317" s="26">
        <f>P317+Q317+R317+S317+T317+U317+V317+W317+X317+Y317+Z317+AA317+AB317+AC317+AD317+AE317+AF317+AG317+AH317+AI317+AJ317+AK317+AL317+AM317+AN317+AO317</f>
        <v>186900000</v>
      </c>
    </row>
    <row r="318" spans="1:42" s="196" customFormat="1" ht="60.75" customHeight="1" x14ac:dyDescent="0.25">
      <c r="A318" s="20"/>
      <c r="B318" s="20"/>
      <c r="C318" s="144">
        <v>7</v>
      </c>
      <c r="D318" s="138" t="s">
        <v>418</v>
      </c>
      <c r="E318" s="135">
        <v>31.7</v>
      </c>
      <c r="F318" s="135">
        <v>27</v>
      </c>
      <c r="G318" s="451"/>
      <c r="H318" s="10">
        <v>33</v>
      </c>
      <c r="I318" s="190" t="s">
        <v>419</v>
      </c>
      <c r="J318" s="12" t="s">
        <v>36</v>
      </c>
      <c r="K318" s="815">
        <v>400</v>
      </c>
      <c r="L318" s="997"/>
      <c r="M318" s="908"/>
      <c r="N318" s="894"/>
      <c r="O318" s="152" t="s">
        <v>40</v>
      </c>
      <c r="P318" s="452">
        <v>0</v>
      </c>
      <c r="Q318" s="26">
        <v>0</v>
      </c>
      <c r="R318" s="26">
        <v>0</v>
      </c>
      <c r="S318" s="26">
        <v>0</v>
      </c>
      <c r="T318" s="26">
        <v>0</v>
      </c>
      <c r="U318" s="26">
        <v>0</v>
      </c>
      <c r="V318" s="26">
        <v>0</v>
      </c>
      <c r="W318" s="26"/>
      <c r="X318" s="26"/>
      <c r="Y318" s="26"/>
      <c r="Z318" s="26">
        <v>0</v>
      </c>
      <c r="AA318" s="26"/>
      <c r="AB318" s="26">
        <v>0</v>
      </c>
      <c r="AC318" s="26">
        <v>0</v>
      </c>
      <c r="AD318" s="304"/>
      <c r="AE318" s="304"/>
      <c r="AF318" s="304"/>
      <c r="AG318" s="304"/>
      <c r="AH318" s="304"/>
      <c r="AI318" s="304"/>
      <c r="AJ318" s="26">
        <v>0</v>
      </c>
      <c r="AK318" s="26">
        <v>0</v>
      </c>
      <c r="AL318" s="117">
        <f>8600000+20000000</f>
        <v>28600000</v>
      </c>
      <c r="AM318" s="5"/>
      <c r="AN318" s="26">
        <v>0</v>
      </c>
      <c r="AO318" s="348">
        <v>0</v>
      </c>
      <c r="AP318" s="26">
        <f>P318+Q318+R318+S318+T318+U318+V318+W318+X318+Y318+Z318+AA318+AB318+AC318+AD318+AE318+AF318+AG318+AH318+AI318+AJ318+AK318+AL318+AM318+AN318+AO318</f>
        <v>28600000</v>
      </c>
    </row>
    <row r="319" spans="1:42" s="196" customFormat="1" ht="103.5" customHeight="1" thickBot="1" x14ac:dyDescent="0.3">
      <c r="A319" s="20"/>
      <c r="B319" s="20"/>
      <c r="C319" s="150"/>
      <c r="D319" s="7"/>
      <c r="E319" s="152"/>
      <c r="F319" s="152"/>
      <c r="G319" s="453"/>
      <c r="H319" s="10">
        <v>34</v>
      </c>
      <c r="I319" s="190" t="s">
        <v>420</v>
      </c>
      <c r="J319" s="12" t="s">
        <v>36</v>
      </c>
      <c r="K319" s="818">
        <v>800</v>
      </c>
      <c r="L319" s="998"/>
      <c r="M319" s="909"/>
      <c r="N319" s="895"/>
      <c r="O319" s="152" t="s">
        <v>40</v>
      </c>
      <c r="P319" s="26">
        <v>0</v>
      </c>
      <c r="Q319" s="26">
        <v>0</v>
      </c>
      <c r="R319" s="26">
        <v>0</v>
      </c>
      <c r="S319" s="26">
        <v>0</v>
      </c>
      <c r="T319" s="26">
        <v>0</v>
      </c>
      <c r="U319" s="26">
        <v>0</v>
      </c>
      <c r="V319" s="26">
        <v>0</v>
      </c>
      <c r="W319" s="26"/>
      <c r="X319" s="26"/>
      <c r="Y319" s="26"/>
      <c r="Z319" s="26">
        <v>0</v>
      </c>
      <c r="AA319" s="26"/>
      <c r="AB319" s="26">
        <v>0</v>
      </c>
      <c r="AC319" s="26">
        <v>0</v>
      </c>
      <c r="AD319" s="304"/>
      <c r="AE319" s="304"/>
      <c r="AF319" s="304"/>
      <c r="AG319" s="304"/>
      <c r="AH319" s="304"/>
      <c r="AI319" s="304"/>
      <c r="AJ319" s="26">
        <v>0</v>
      </c>
      <c r="AK319" s="26">
        <v>0</v>
      </c>
      <c r="AL319" s="117">
        <f>8600000+20000000</f>
        <v>28600000</v>
      </c>
      <c r="AM319" s="5"/>
      <c r="AN319" s="26">
        <v>0</v>
      </c>
      <c r="AO319" s="348">
        <v>0</v>
      </c>
      <c r="AP319" s="26">
        <f>P319+Q319+R319+S319+T319+U319+V319+W319+X319+Y319+Z319+AA319+AB319+AC319+AD319+AE319+AF319+AG319+AH319+AI319+AJ319+AK319+AL319+AM319+AN319+AO319</f>
        <v>28600000</v>
      </c>
    </row>
    <row r="320" spans="1:42" s="28" customFormat="1" ht="26.25" customHeight="1" x14ac:dyDescent="0.25">
      <c r="A320" s="20"/>
      <c r="B320" s="20"/>
      <c r="C320" s="999"/>
      <c r="D320" s="999"/>
      <c r="E320" s="999"/>
      <c r="F320" s="1000"/>
      <c r="G320" s="361"/>
      <c r="H320" s="380"/>
      <c r="I320" s="361"/>
      <c r="J320" s="361"/>
      <c r="K320" s="361"/>
      <c r="L320" s="361"/>
      <c r="M320" s="455"/>
      <c r="N320" s="361"/>
      <c r="O320" s="380"/>
      <c r="P320" s="456">
        <f>SUM(P316:P319)</f>
        <v>0</v>
      </c>
      <c r="Q320" s="456">
        <f t="shared" ref="Q320:AK320" si="122">SUM(Q316:Q319)</f>
        <v>0</v>
      </c>
      <c r="R320" s="456">
        <f t="shared" si="122"/>
        <v>0</v>
      </c>
      <c r="S320" s="456">
        <f t="shared" si="122"/>
        <v>0</v>
      </c>
      <c r="T320" s="456">
        <f t="shared" si="122"/>
        <v>0</v>
      </c>
      <c r="U320" s="456">
        <f t="shared" si="122"/>
        <v>0</v>
      </c>
      <c r="V320" s="456">
        <f t="shared" si="122"/>
        <v>0</v>
      </c>
      <c r="W320" s="456">
        <f t="shared" si="122"/>
        <v>0</v>
      </c>
      <c r="X320" s="456">
        <f t="shared" si="122"/>
        <v>0</v>
      </c>
      <c r="Y320" s="456">
        <f t="shared" si="122"/>
        <v>0</v>
      </c>
      <c r="Z320" s="456">
        <f t="shared" si="122"/>
        <v>0</v>
      </c>
      <c r="AA320" s="456">
        <f t="shared" si="122"/>
        <v>0</v>
      </c>
      <c r="AB320" s="456">
        <f t="shared" si="122"/>
        <v>0</v>
      </c>
      <c r="AC320" s="456">
        <f t="shared" si="122"/>
        <v>0</v>
      </c>
      <c r="AD320" s="456">
        <f t="shared" si="122"/>
        <v>0</v>
      </c>
      <c r="AE320" s="456">
        <f t="shared" si="122"/>
        <v>0</v>
      </c>
      <c r="AF320" s="456">
        <f t="shared" si="122"/>
        <v>0</v>
      </c>
      <c r="AG320" s="456">
        <f t="shared" si="122"/>
        <v>0</v>
      </c>
      <c r="AH320" s="456">
        <f t="shared" si="122"/>
        <v>0</v>
      </c>
      <c r="AI320" s="456">
        <f t="shared" si="122"/>
        <v>0</v>
      </c>
      <c r="AJ320" s="456">
        <f t="shared" si="122"/>
        <v>0</v>
      </c>
      <c r="AK320" s="456">
        <f t="shared" si="122"/>
        <v>0</v>
      </c>
      <c r="AL320" s="456">
        <f t="shared" ref="AL320:AP320" si="123">SUM(AL316:AL319)</f>
        <v>350000000</v>
      </c>
      <c r="AM320" s="456">
        <f t="shared" si="123"/>
        <v>0</v>
      </c>
      <c r="AN320" s="456">
        <f t="shared" si="123"/>
        <v>0</v>
      </c>
      <c r="AO320" s="456">
        <f t="shared" si="123"/>
        <v>0</v>
      </c>
      <c r="AP320" s="456">
        <f t="shared" si="123"/>
        <v>350000000</v>
      </c>
    </row>
    <row r="321" spans="1:46" s="28" customFormat="1" ht="15" x14ac:dyDescent="0.25">
      <c r="A321" s="20"/>
      <c r="B321" s="20"/>
      <c r="C321" s="454"/>
      <c r="D321" s="454"/>
      <c r="E321" s="454"/>
      <c r="F321" s="454"/>
      <c r="G321" s="362"/>
      <c r="H321" s="383"/>
      <c r="I321" s="362"/>
      <c r="J321" s="362"/>
      <c r="K321" s="362"/>
      <c r="L321" s="362"/>
      <c r="M321" s="457"/>
      <c r="N321" s="362"/>
      <c r="O321" s="383"/>
      <c r="P321" s="458"/>
      <c r="Q321" s="458"/>
      <c r="R321" s="458"/>
      <c r="S321" s="458"/>
      <c r="T321" s="458"/>
      <c r="U321" s="458"/>
      <c r="V321" s="458"/>
      <c r="W321" s="458"/>
      <c r="X321" s="458"/>
      <c r="Y321" s="458"/>
      <c r="Z321" s="458"/>
      <c r="AA321" s="458"/>
      <c r="AB321" s="458"/>
      <c r="AC321" s="458"/>
      <c r="AD321" s="458"/>
      <c r="AE321" s="458"/>
      <c r="AF321" s="458"/>
      <c r="AG321" s="458"/>
      <c r="AH321" s="458"/>
      <c r="AI321" s="458"/>
      <c r="AJ321" s="458"/>
      <c r="AK321" s="458"/>
      <c r="AL321" s="219"/>
      <c r="AM321" s="459"/>
      <c r="AN321" s="458"/>
      <c r="AO321" s="458"/>
      <c r="AP321" s="458"/>
    </row>
    <row r="322" spans="1:46" s="28" customFormat="1" ht="24.75" customHeight="1" x14ac:dyDescent="0.25">
      <c r="A322" s="20"/>
      <c r="B322" s="20"/>
      <c r="C322" s="454"/>
      <c r="D322" s="454"/>
      <c r="E322" s="454"/>
      <c r="F322" s="150"/>
      <c r="G322" s="460">
        <v>7</v>
      </c>
      <c r="H322" s="432" t="s">
        <v>421</v>
      </c>
      <c r="I322" s="227"/>
      <c r="J322" s="227"/>
      <c r="K322" s="227"/>
      <c r="L322" s="227"/>
      <c r="M322" s="228"/>
      <c r="N322" s="227"/>
      <c r="O322" s="227"/>
      <c r="P322" s="227"/>
      <c r="Q322" s="227"/>
      <c r="R322" s="227"/>
      <c r="S322" s="227"/>
      <c r="T322" s="227"/>
      <c r="U322" s="227"/>
      <c r="V322" s="227"/>
      <c r="W322" s="227"/>
      <c r="X322" s="227"/>
      <c r="Y322" s="227"/>
      <c r="Z322" s="227"/>
      <c r="AA322" s="227"/>
      <c r="AB322" s="227"/>
      <c r="AC322" s="227"/>
      <c r="AD322" s="227"/>
      <c r="AE322" s="227"/>
      <c r="AF322" s="227"/>
      <c r="AG322" s="227"/>
      <c r="AH322" s="227"/>
      <c r="AI322" s="227"/>
      <c r="AJ322" s="227"/>
      <c r="AK322" s="227"/>
      <c r="AL322" s="229"/>
      <c r="AM322" s="227"/>
      <c r="AN322" s="227"/>
      <c r="AO322" s="227"/>
      <c r="AP322" s="230"/>
    </row>
    <row r="323" spans="1:46" s="196" customFormat="1" ht="118.5" customHeight="1" x14ac:dyDescent="0.25">
      <c r="A323" s="20"/>
      <c r="B323" s="20"/>
      <c r="C323" s="150" t="s">
        <v>389</v>
      </c>
      <c r="D323" s="151" t="s">
        <v>390</v>
      </c>
      <c r="E323" s="152" t="s">
        <v>391</v>
      </c>
      <c r="F323" s="806" t="s">
        <v>925</v>
      </c>
      <c r="G323" s="29"/>
      <c r="H323" s="6">
        <v>35</v>
      </c>
      <c r="I323" s="190" t="s">
        <v>422</v>
      </c>
      <c r="J323" s="12">
        <v>0</v>
      </c>
      <c r="K323" s="811">
        <v>5</v>
      </c>
      <c r="L323" s="1001" t="s">
        <v>90</v>
      </c>
      <c r="M323" s="907" t="s">
        <v>423</v>
      </c>
      <c r="N323" s="893" t="s">
        <v>424</v>
      </c>
      <c r="O323" s="152" t="s">
        <v>44</v>
      </c>
      <c r="P323" s="26"/>
      <c r="Q323" s="26"/>
      <c r="R323" s="26"/>
      <c r="S323" s="26"/>
      <c r="T323" s="26"/>
      <c r="U323" s="26"/>
      <c r="V323" s="26"/>
      <c r="W323" s="26"/>
      <c r="X323" s="26"/>
      <c r="Y323" s="26"/>
      <c r="Z323" s="26"/>
      <c r="AA323" s="26"/>
      <c r="AB323" s="26"/>
      <c r="AC323" s="26"/>
      <c r="AD323" s="304"/>
      <c r="AE323" s="304"/>
      <c r="AF323" s="304"/>
      <c r="AG323" s="304"/>
      <c r="AH323" s="304"/>
      <c r="AI323" s="304"/>
      <c r="AJ323" s="26"/>
      <c r="AK323" s="26"/>
      <c r="AL323" s="113">
        <f>90000000-30000000</f>
        <v>60000000</v>
      </c>
      <c r="AM323" s="14"/>
      <c r="AN323" s="26"/>
      <c r="AO323" s="348"/>
      <c r="AP323" s="26">
        <f>P323+Q323+R323+S323+T323+U323+V323+W323+X323+Y323+Z323+AA323+AB323+AC323+AD323+AE323+AF323+AG323+AH323+AI323+AJ323+AK323+AL323+AM323+AN323+AO323</f>
        <v>60000000</v>
      </c>
    </row>
    <row r="324" spans="1:46" s="196" customFormat="1" ht="131.25" customHeight="1" x14ac:dyDescent="0.25">
      <c r="A324" s="20"/>
      <c r="B324" s="20"/>
      <c r="C324" s="150" t="s">
        <v>389</v>
      </c>
      <c r="D324" s="151" t="s">
        <v>390</v>
      </c>
      <c r="E324" s="152" t="s">
        <v>391</v>
      </c>
      <c r="F324" s="806" t="s">
        <v>925</v>
      </c>
      <c r="G324" s="31"/>
      <c r="H324" s="6">
        <v>36</v>
      </c>
      <c r="I324" s="151" t="s">
        <v>425</v>
      </c>
      <c r="J324" s="12">
        <v>0</v>
      </c>
      <c r="K324" s="815">
        <v>1</v>
      </c>
      <c r="L324" s="1002"/>
      <c r="M324" s="908"/>
      <c r="N324" s="894"/>
      <c r="O324" s="152" t="s">
        <v>40</v>
      </c>
      <c r="P324" s="26">
        <v>0</v>
      </c>
      <c r="Q324" s="26">
        <v>0</v>
      </c>
      <c r="R324" s="26">
        <v>0</v>
      </c>
      <c r="S324" s="26">
        <v>0</v>
      </c>
      <c r="T324" s="26">
        <v>0</v>
      </c>
      <c r="U324" s="26">
        <v>0</v>
      </c>
      <c r="V324" s="26">
        <v>0</v>
      </c>
      <c r="W324" s="26"/>
      <c r="X324" s="26"/>
      <c r="Y324" s="26"/>
      <c r="Z324" s="26">
        <v>0</v>
      </c>
      <c r="AA324" s="26"/>
      <c r="AB324" s="26">
        <v>0</v>
      </c>
      <c r="AC324" s="26">
        <v>0</v>
      </c>
      <c r="AD324" s="304"/>
      <c r="AE324" s="304"/>
      <c r="AF324" s="304"/>
      <c r="AG324" s="304"/>
      <c r="AH324" s="304"/>
      <c r="AI324" s="304"/>
      <c r="AJ324" s="26">
        <v>0</v>
      </c>
      <c r="AK324" s="26">
        <v>0</v>
      </c>
      <c r="AL324" s="113">
        <f>3500000+30000000</f>
        <v>33500000</v>
      </c>
      <c r="AM324" s="14"/>
      <c r="AN324" s="26">
        <v>0</v>
      </c>
      <c r="AO324" s="348">
        <v>0</v>
      </c>
      <c r="AP324" s="26">
        <f>P324+Q324+R324+S324+T324+U324+V324+W324+X324+Y324+Z324+AA324+AB324+AC324+AD324+AE324+AF324+AG324+AH324+AI324+AJ324+AK324+AL324+AM324+AN324+AO324</f>
        <v>33500000</v>
      </c>
    </row>
    <row r="325" spans="1:46" s="196" customFormat="1" ht="119.25" customHeight="1" x14ac:dyDescent="0.25">
      <c r="A325" s="20"/>
      <c r="B325" s="20"/>
      <c r="C325" s="150" t="s">
        <v>389</v>
      </c>
      <c r="D325" s="151" t="s">
        <v>390</v>
      </c>
      <c r="E325" s="152" t="s">
        <v>391</v>
      </c>
      <c r="F325" s="152" t="s">
        <v>925</v>
      </c>
      <c r="G325" s="31"/>
      <c r="H325" s="6">
        <v>37</v>
      </c>
      <c r="I325" s="7" t="s">
        <v>426</v>
      </c>
      <c r="J325" s="411">
        <v>0</v>
      </c>
      <c r="K325" s="815">
        <v>1</v>
      </c>
      <c r="L325" s="461"/>
      <c r="M325" s="909"/>
      <c r="N325" s="895"/>
      <c r="O325" s="152" t="s">
        <v>44</v>
      </c>
      <c r="P325" s="26"/>
      <c r="Q325" s="26"/>
      <c r="R325" s="26"/>
      <c r="S325" s="26"/>
      <c r="T325" s="26"/>
      <c r="U325" s="26"/>
      <c r="V325" s="26"/>
      <c r="W325" s="26"/>
      <c r="X325" s="26"/>
      <c r="Y325" s="26"/>
      <c r="Z325" s="26"/>
      <c r="AA325" s="26"/>
      <c r="AB325" s="26"/>
      <c r="AC325" s="26"/>
      <c r="AD325" s="304"/>
      <c r="AE325" s="304"/>
      <c r="AF325" s="304"/>
      <c r="AG325" s="304"/>
      <c r="AH325" s="304"/>
      <c r="AI325" s="304"/>
      <c r="AJ325" s="26"/>
      <c r="AK325" s="26"/>
      <c r="AL325" s="26">
        <f>6500000+20000000+30000000</f>
        <v>56500000</v>
      </c>
      <c r="AM325" s="26"/>
      <c r="AN325" s="26"/>
      <c r="AO325" s="348"/>
      <c r="AP325" s="26">
        <f>P325+Q325+R325+S325+T325+U325+V325+W325+X325+Y325+Z325+AA325+AB325+AC325+AD325+AE325+AF325+AG325+AH325+AI325+AJ325+AK325+AL325+AM325+AN325+AO325</f>
        <v>56500000</v>
      </c>
    </row>
    <row r="326" spans="1:46" s="28" customFormat="1" ht="26.25" customHeight="1" x14ac:dyDescent="0.25">
      <c r="A326" s="20"/>
      <c r="B326" s="189"/>
      <c r="C326" s="150"/>
      <c r="D326" s="151"/>
      <c r="E326" s="152"/>
      <c r="F326" s="152"/>
      <c r="G326" s="191"/>
      <c r="H326" s="192"/>
      <c r="I326" s="191"/>
      <c r="J326" s="303"/>
      <c r="K326" s="303"/>
      <c r="L326" s="303"/>
      <c r="M326" s="194"/>
      <c r="N326" s="191"/>
      <c r="O326" s="192"/>
      <c r="P326" s="195">
        <f>SUM(P323:P325)</f>
        <v>0</v>
      </c>
      <c r="Q326" s="195">
        <f t="shared" ref="Q326:AK326" si="124">SUM(Q323:Q325)</f>
        <v>0</v>
      </c>
      <c r="R326" s="195">
        <f t="shared" si="124"/>
        <v>0</v>
      </c>
      <c r="S326" s="195">
        <f t="shared" si="124"/>
        <v>0</v>
      </c>
      <c r="T326" s="195">
        <f t="shared" si="124"/>
        <v>0</v>
      </c>
      <c r="U326" s="195">
        <f t="shared" si="124"/>
        <v>0</v>
      </c>
      <c r="V326" s="195">
        <f t="shared" si="124"/>
        <v>0</v>
      </c>
      <c r="W326" s="195">
        <f t="shared" si="124"/>
        <v>0</v>
      </c>
      <c r="X326" s="195">
        <f t="shared" si="124"/>
        <v>0</v>
      </c>
      <c r="Y326" s="195">
        <f t="shared" si="124"/>
        <v>0</v>
      </c>
      <c r="Z326" s="195">
        <f t="shared" si="124"/>
        <v>0</v>
      </c>
      <c r="AA326" s="195">
        <f t="shared" si="124"/>
        <v>0</v>
      </c>
      <c r="AB326" s="195">
        <f t="shared" si="124"/>
        <v>0</v>
      </c>
      <c r="AC326" s="195">
        <f t="shared" si="124"/>
        <v>0</v>
      </c>
      <c r="AD326" s="195">
        <f t="shared" si="124"/>
        <v>0</v>
      </c>
      <c r="AE326" s="195">
        <f t="shared" si="124"/>
        <v>0</v>
      </c>
      <c r="AF326" s="195">
        <f t="shared" si="124"/>
        <v>0</v>
      </c>
      <c r="AG326" s="195">
        <f t="shared" si="124"/>
        <v>0</v>
      </c>
      <c r="AH326" s="195">
        <f t="shared" si="124"/>
        <v>0</v>
      </c>
      <c r="AI326" s="195">
        <f t="shared" si="124"/>
        <v>0</v>
      </c>
      <c r="AJ326" s="195">
        <f t="shared" si="124"/>
        <v>0</v>
      </c>
      <c r="AK326" s="195">
        <f t="shared" si="124"/>
        <v>0</v>
      </c>
      <c r="AL326" s="195">
        <f t="shared" ref="AL326:AP326" si="125">SUM(AL323:AL325)</f>
        <v>150000000</v>
      </c>
      <c r="AM326" s="195">
        <f t="shared" si="125"/>
        <v>0</v>
      </c>
      <c r="AN326" s="195">
        <f t="shared" si="125"/>
        <v>0</v>
      </c>
      <c r="AO326" s="195">
        <f t="shared" si="125"/>
        <v>0</v>
      </c>
      <c r="AP326" s="195">
        <f t="shared" si="125"/>
        <v>150000000</v>
      </c>
    </row>
    <row r="327" spans="1:46" s="196" customFormat="1" ht="24" customHeight="1" x14ac:dyDescent="0.25">
      <c r="A327" s="189"/>
      <c r="B327" s="260"/>
      <c r="C327" s="199"/>
      <c r="D327" s="198"/>
      <c r="E327" s="199"/>
      <c r="F327" s="199" t="s">
        <v>427</v>
      </c>
      <c r="G327" s="198"/>
      <c r="H327" s="199"/>
      <c r="I327" s="198"/>
      <c r="J327" s="311"/>
      <c r="K327" s="311"/>
      <c r="L327" s="311"/>
      <c r="M327" s="201"/>
      <c r="N327" s="198"/>
      <c r="O327" s="199"/>
      <c r="P327" s="202">
        <f>P326+P320+P313+P304</f>
        <v>0</v>
      </c>
      <c r="Q327" s="202">
        <f t="shared" ref="Q327:AK327" si="126">Q326+Q320+Q313+Q304</f>
        <v>0</v>
      </c>
      <c r="R327" s="202">
        <f t="shared" si="126"/>
        <v>0</v>
      </c>
      <c r="S327" s="202">
        <f t="shared" si="126"/>
        <v>0</v>
      </c>
      <c r="T327" s="202">
        <f t="shared" si="126"/>
        <v>0</v>
      </c>
      <c r="U327" s="202">
        <f t="shared" si="126"/>
        <v>0</v>
      </c>
      <c r="V327" s="202">
        <f t="shared" si="126"/>
        <v>0</v>
      </c>
      <c r="W327" s="202">
        <f t="shared" si="126"/>
        <v>0</v>
      </c>
      <c r="X327" s="202">
        <f t="shared" si="126"/>
        <v>0</v>
      </c>
      <c r="Y327" s="202">
        <f t="shared" si="126"/>
        <v>0</v>
      </c>
      <c r="Z327" s="202">
        <f t="shared" si="126"/>
        <v>0</v>
      </c>
      <c r="AA327" s="202">
        <f t="shared" si="126"/>
        <v>0</v>
      </c>
      <c r="AB327" s="202">
        <f t="shared" si="126"/>
        <v>0</v>
      </c>
      <c r="AC327" s="202">
        <f t="shared" si="126"/>
        <v>0</v>
      </c>
      <c r="AD327" s="202">
        <f t="shared" si="126"/>
        <v>0</v>
      </c>
      <c r="AE327" s="202">
        <f t="shared" si="126"/>
        <v>0</v>
      </c>
      <c r="AF327" s="202">
        <f t="shared" si="126"/>
        <v>0</v>
      </c>
      <c r="AG327" s="202">
        <f t="shared" si="126"/>
        <v>0</v>
      </c>
      <c r="AH327" s="202">
        <f t="shared" si="126"/>
        <v>0</v>
      </c>
      <c r="AI327" s="202">
        <f t="shared" si="126"/>
        <v>0</v>
      </c>
      <c r="AJ327" s="202">
        <f t="shared" si="126"/>
        <v>0</v>
      </c>
      <c r="AK327" s="202">
        <f t="shared" si="126"/>
        <v>0</v>
      </c>
      <c r="AL327" s="202">
        <f t="shared" ref="AL327:AP327" si="127">AL326+AL320+AL313+AL304</f>
        <v>1330000000</v>
      </c>
      <c r="AM327" s="202">
        <f t="shared" si="127"/>
        <v>0</v>
      </c>
      <c r="AN327" s="202">
        <f t="shared" si="127"/>
        <v>0</v>
      </c>
      <c r="AO327" s="202">
        <f t="shared" si="127"/>
        <v>0</v>
      </c>
      <c r="AP327" s="202">
        <f t="shared" si="127"/>
        <v>1330000000</v>
      </c>
    </row>
    <row r="328" spans="1:46" s="462" customFormat="1" ht="29.25" customHeight="1" x14ac:dyDescent="0.25">
      <c r="A328" s="312"/>
      <c r="B328" s="203"/>
      <c r="C328" s="204"/>
      <c r="D328" s="203"/>
      <c r="E328" s="204"/>
      <c r="F328" s="204"/>
      <c r="G328" s="203"/>
      <c r="H328" s="204"/>
      <c r="I328" s="203"/>
      <c r="J328" s="313"/>
      <c r="K328" s="313"/>
      <c r="L328" s="313"/>
      <c r="M328" s="206"/>
      <c r="N328" s="203"/>
      <c r="O328" s="204"/>
      <c r="P328" s="207">
        <f t="shared" ref="P328:AK328" si="128">P327</f>
        <v>0</v>
      </c>
      <c r="Q328" s="207">
        <f t="shared" si="128"/>
        <v>0</v>
      </c>
      <c r="R328" s="207">
        <f t="shared" si="128"/>
        <v>0</v>
      </c>
      <c r="S328" s="207">
        <f t="shared" si="128"/>
        <v>0</v>
      </c>
      <c r="T328" s="207">
        <f t="shared" si="128"/>
        <v>0</v>
      </c>
      <c r="U328" s="207">
        <f t="shared" si="128"/>
        <v>0</v>
      </c>
      <c r="V328" s="207">
        <f t="shared" si="128"/>
        <v>0</v>
      </c>
      <c r="W328" s="207">
        <f t="shared" si="128"/>
        <v>0</v>
      </c>
      <c r="X328" s="207">
        <f t="shared" si="128"/>
        <v>0</v>
      </c>
      <c r="Y328" s="207">
        <f t="shared" si="128"/>
        <v>0</v>
      </c>
      <c r="Z328" s="207">
        <f t="shared" si="128"/>
        <v>0</v>
      </c>
      <c r="AA328" s="207">
        <f t="shared" si="128"/>
        <v>0</v>
      </c>
      <c r="AB328" s="207">
        <f t="shared" si="128"/>
        <v>0</v>
      </c>
      <c r="AC328" s="207">
        <f t="shared" si="128"/>
        <v>0</v>
      </c>
      <c r="AD328" s="207">
        <f t="shared" si="128"/>
        <v>0</v>
      </c>
      <c r="AE328" s="207">
        <f t="shared" si="128"/>
        <v>0</v>
      </c>
      <c r="AF328" s="207">
        <f t="shared" si="128"/>
        <v>0</v>
      </c>
      <c r="AG328" s="207">
        <f t="shared" si="128"/>
        <v>0</v>
      </c>
      <c r="AH328" s="207">
        <f t="shared" si="128"/>
        <v>0</v>
      </c>
      <c r="AI328" s="207">
        <f t="shared" si="128"/>
        <v>0</v>
      </c>
      <c r="AJ328" s="207">
        <f t="shared" si="128"/>
        <v>0</v>
      </c>
      <c r="AK328" s="207">
        <f t="shared" si="128"/>
        <v>0</v>
      </c>
      <c r="AL328" s="207">
        <f t="shared" ref="AL328:AP328" si="129">AL327</f>
        <v>1330000000</v>
      </c>
      <c r="AM328" s="207">
        <f t="shared" si="129"/>
        <v>0</v>
      </c>
      <c r="AN328" s="207">
        <f t="shared" si="129"/>
        <v>0</v>
      </c>
      <c r="AO328" s="207">
        <f t="shared" si="129"/>
        <v>0</v>
      </c>
      <c r="AP328" s="207">
        <f t="shared" si="129"/>
        <v>1330000000</v>
      </c>
      <c r="AQ328" s="48"/>
      <c r="AR328" s="48"/>
      <c r="AS328" s="48"/>
      <c r="AT328" s="48"/>
    </row>
    <row r="329" spans="1:46" s="48" customFormat="1" ht="20.25" x14ac:dyDescent="0.25">
      <c r="A329" s="214"/>
      <c r="B329" s="214"/>
      <c r="C329" s="454"/>
      <c r="D329" s="214"/>
      <c r="E329" s="454"/>
      <c r="F329" s="454"/>
      <c r="G329" s="214"/>
      <c r="H329" s="454"/>
      <c r="I329" s="214"/>
      <c r="J329" s="314"/>
      <c r="K329" s="314"/>
      <c r="L329" s="314"/>
      <c r="M329" s="279"/>
      <c r="N329" s="265"/>
      <c r="O329" s="454"/>
      <c r="P329" s="217"/>
      <c r="Q329" s="217"/>
      <c r="R329" s="217"/>
      <c r="S329" s="217"/>
      <c r="T329" s="217"/>
      <c r="U329" s="217"/>
      <c r="V329" s="217"/>
      <c r="W329" s="217"/>
      <c r="X329" s="217"/>
      <c r="Y329" s="217"/>
      <c r="Z329" s="217"/>
      <c r="AA329" s="217"/>
      <c r="AB329" s="217"/>
      <c r="AC329" s="217"/>
      <c r="AD329" s="217"/>
      <c r="AE329" s="217"/>
      <c r="AF329" s="217"/>
      <c r="AG329" s="217"/>
      <c r="AH329" s="217"/>
      <c r="AI329" s="217"/>
      <c r="AJ329" s="217"/>
      <c r="AK329" s="217"/>
      <c r="AL329" s="219"/>
      <c r="AM329" s="217"/>
      <c r="AN329" s="217"/>
      <c r="AO329" s="217"/>
      <c r="AP329" s="217"/>
    </row>
    <row r="330" spans="1:46" s="48" customFormat="1" ht="20.25" x14ac:dyDescent="0.25">
      <c r="A330" s="173">
        <v>3</v>
      </c>
      <c r="B330" s="174" t="s">
        <v>428</v>
      </c>
      <c r="C330" s="175"/>
      <c r="D330" s="174"/>
      <c r="E330" s="174"/>
      <c r="F330" s="174"/>
      <c r="G330" s="174"/>
      <c r="H330" s="175"/>
      <c r="I330" s="174"/>
      <c r="J330" s="174"/>
      <c r="K330" s="174"/>
      <c r="L330" s="174"/>
      <c r="M330" s="176"/>
      <c r="N330" s="174"/>
      <c r="O330" s="174"/>
      <c r="P330" s="174"/>
      <c r="Q330" s="174"/>
      <c r="R330" s="174"/>
      <c r="S330" s="174"/>
      <c r="T330" s="174"/>
      <c r="U330" s="174"/>
      <c r="V330" s="174"/>
      <c r="W330" s="174"/>
      <c r="X330" s="174"/>
      <c r="Y330" s="174"/>
      <c r="Z330" s="174"/>
      <c r="AA330" s="174"/>
      <c r="AB330" s="174"/>
      <c r="AC330" s="174"/>
      <c r="AD330" s="174"/>
      <c r="AE330" s="174"/>
      <c r="AF330" s="174"/>
      <c r="AG330" s="174"/>
      <c r="AH330" s="174"/>
      <c r="AI330" s="174"/>
      <c r="AJ330" s="174"/>
      <c r="AK330" s="174"/>
      <c r="AL330" s="177"/>
      <c r="AM330" s="174"/>
      <c r="AN330" s="174"/>
      <c r="AO330" s="174"/>
      <c r="AP330" s="178"/>
    </row>
    <row r="331" spans="1:46" s="48" customFormat="1" ht="20.25" x14ac:dyDescent="0.25">
      <c r="A331" s="223"/>
      <c r="B331" s="291">
        <v>11</v>
      </c>
      <c r="C331" s="181" t="s">
        <v>429</v>
      </c>
      <c r="D331" s="182"/>
      <c r="E331" s="182"/>
      <c r="F331" s="182"/>
      <c r="G331" s="182"/>
      <c r="H331" s="183"/>
      <c r="I331" s="182"/>
      <c r="J331" s="182"/>
      <c r="K331" s="182"/>
      <c r="L331" s="182"/>
      <c r="M331" s="184"/>
      <c r="N331" s="182"/>
      <c r="O331" s="182"/>
      <c r="P331" s="182"/>
      <c r="Q331" s="182"/>
      <c r="R331" s="182"/>
      <c r="S331" s="182"/>
      <c r="T331" s="182"/>
      <c r="U331" s="182"/>
      <c r="V331" s="182"/>
      <c r="W331" s="182"/>
      <c r="X331" s="182"/>
      <c r="Y331" s="182"/>
      <c r="Z331" s="182"/>
      <c r="AA331" s="182"/>
      <c r="AB331" s="182"/>
      <c r="AC331" s="182"/>
      <c r="AD331" s="182"/>
      <c r="AE331" s="182"/>
      <c r="AF331" s="182"/>
      <c r="AG331" s="182"/>
      <c r="AH331" s="182"/>
      <c r="AI331" s="182"/>
      <c r="AJ331" s="182"/>
      <c r="AK331" s="182"/>
      <c r="AL331" s="185"/>
      <c r="AM331" s="182"/>
      <c r="AN331" s="182"/>
      <c r="AO331" s="182"/>
      <c r="AP331" s="186"/>
    </row>
    <row r="332" spans="1:46" s="48" customFormat="1" ht="20.25" x14ac:dyDescent="0.25">
      <c r="A332" s="20"/>
      <c r="B332" s="391"/>
      <c r="C332" s="305"/>
      <c r="D332" s="214"/>
      <c r="E332" s="841"/>
      <c r="F332" s="836"/>
      <c r="G332" s="410">
        <v>34</v>
      </c>
      <c r="H332" s="317" t="s">
        <v>430</v>
      </c>
      <c r="I332" s="227"/>
      <c r="J332" s="227"/>
      <c r="K332" s="227"/>
      <c r="L332" s="227"/>
      <c r="M332" s="228"/>
      <c r="N332" s="227"/>
      <c r="O332" s="227"/>
      <c r="P332" s="227"/>
      <c r="Q332" s="227"/>
      <c r="R332" s="227"/>
      <c r="S332" s="227"/>
      <c r="T332" s="227"/>
      <c r="U332" s="227"/>
      <c r="V332" s="227"/>
      <c r="W332" s="227"/>
      <c r="X332" s="227"/>
      <c r="Y332" s="227"/>
      <c r="Z332" s="227"/>
      <c r="AA332" s="227"/>
      <c r="AB332" s="227"/>
      <c r="AC332" s="227"/>
      <c r="AD332" s="227"/>
      <c r="AE332" s="227"/>
      <c r="AF332" s="227"/>
      <c r="AG332" s="227"/>
      <c r="AH332" s="227"/>
      <c r="AI332" s="227"/>
      <c r="AJ332" s="227"/>
      <c r="AK332" s="227"/>
      <c r="AL332" s="229"/>
      <c r="AM332" s="227"/>
      <c r="AN332" s="227"/>
      <c r="AO332" s="227"/>
      <c r="AP332" s="230"/>
    </row>
    <row r="333" spans="1:46" s="28" customFormat="1" ht="55.5" customHeight="1" x14ac:dyDescent="0.25">
      <c r="A333" s="20"/>
      <c r="B333" s="19"/>
      <c r="C333" s="152">
        <v>23</v>
      </c>
      <c r="D333" s="151" t="s">
        <v>431</v>
      </c>
      <c r="E333" s="81">
        <v>0.92</v>
      </c>
      <c r="F333" s="81">
        <v>0.85</v>
      </c>
      <c r="G333" s="23"/>
      <c r="H333" s="152">
        <v>122</v>
      </c>
      <c r="I333" s="151" t="s">
        <v>432</v>
      </c>
      <c r="J333" s="12">
        <v>0</v>
      </c>
      <c r="K333" s="12">
        <v>1</v>
      </c>
      <c r="L333" s="993" t="s">
        <v>433</v>
      </c>
      <c r="M333" s="907" t="s">
        <v>434</v>
      </c>
      <c r="N333" s="876" t="s">
        <v>435</v>
      </c>
      <c r="O333" s="15" t="s">
        <v>44</v>
      </c>
      <c r="P333" s="26">
        <v>0</v>
      </c>
      <c r="Q333" s="26">
        <v>0</v>
      </c>
      <c r="R333" s="26">
        <v>0</v>
      </c>
      <c r="S333" s="26">
        <v>0</v>
      </c>
      <c r="T333" s="26">
        <v>0</v>
      </c>
      <c r="U333" s="26">
        <v>0</v>
      </c>
      <c r="V333" s="26">
        <v>0</v>
      </c>
      <c r="W333" s="26"/>
      <c r="X333" s="26"/>
      <c r="Y333" s="26"/>
      <c r="Z333" s="26">
        <v>0</v>
      </c>
      <c r="AA333" s="26"/>
      <c r="AB333" s="26">
        <v>0</v>
      </c>
      <c r="AC333" s="26">
        <v>0</v>
      </c>
      <c r="AD333" s="26"/>
      <c r="AE333" s="26"/>
      <c r="AF333" s="26"/>
      <c r="AG333" s="26"/>
      <c r="AH333" s="26"/>
      <c r="AI333" s="26"/>
      <c r="AJ333" s="26">
        <v>0</v>
      </c>
      <c r="AK333" s="26">
        <v>0</v>
      </c>
      <c r="AL333" s="113">
        <v>10000000</v>
      </c>
      <c r="AM333" s="14"/>
      <c r="AN333" s="26">
        <v>0</v>
      </c>
      <c r="AO333" s="27">
        <v>0</v>
      </c>
      <c r="AP333" s="26">
        <f>P333+Q333+R333+S333+T333+U333+V333+W333+X333+Y333+Z333+AA333+AB333+AC333+AD333+AE333+AF333+AG333+AH333+AI333+AJ333+AK333+AL333+AM333+AN333+AO333</f>
        <v>10000000</v>
      </c>
    </row>
    <row r="334" spans="1:46" s="28" customFormat="1" ht="91.5" customHeight="1" x14ac:dyDescent="0.25">
      <c r="A334" s="20"/>
      <c r="B334" s="19"/>
      <c r="C334" s="152"/>
      <c r="D334" s="151"/>
      <c r="E334" s="81"/>
      <c r="F334" s="81"/>
      <c r="G334" s="29"/>
      <c r="H334" s="152">
        <v>123</v>
      </c>
      <c r="I334" s="151" t="s">
        <v>436</v>
      </c>
      <c r="J334" s="12" t="s">
        <v>36</v>
      </c>
      <c r="K334" s="12">
        <v>4</v>
      </c>
      <c r="L334" s="994"/>
      <c r="M334" s="908"/>
      <c r="N334" s="877"/>
      <c r="O334" s="15" t="s">
        <v>44</v>
      </c>
      <c r="P334" s="82"/>
      <c r="Q334" s="82"/>
      <c r="R334" s="82"/>
      <c r="S334" s="82"/>
      <c r="T334" s="82"/>
      <c r="U334" s="82"/>
      <c r="V334" s="82"/>
      <c r="W334" s="82"/>
      <c r="X334" s="82"/>
      <c r="Y334" s="82"/>
      <c r="Z334" s="82"/>
      <c r="AA334" s="82"/>
      <c r="AB334" s="82"/>
      <c r="AC334" s="82"/>
      <c r="AD334" s="82"/>
      <c r="AE334" s="82"/>
      <c r="AF334" s="82"/>
      <c r="AG334" s="82"/>
      <c r="AH334" s="82"/>
      <c r="AI334" s="82"/>
      <c r="AJ334" s="82"/>
      <c r="AK334" s="82"/>
      <c r="AL334" s="115">
        <f>20000000+60000000</f>
        <v>80000000</v>
      </c>
      <c r="AM334" s="80"/>
      <c r="AN334" s="82"/>
      <c r="AO334" s="83"/>
      <c r="AP334" s="26">
        <f>P334+Q334+R334+S334+T334+U334+V334+W334+X334+Y334+Z334+AA334+AB334+AC334+AD334+AE334+AF334+AG334+AH334+AI334+AJ334+AK334+AL334+AM334+AN334+AO334</f>
        <v>80000000</v>
      </c>
    </row>
    <row r="335" spans="1:46" s="28" customFormat="1" ht="94.5" customHeight="1" x14ac:dyDescent="0.25">
      <c r="A335" s="20"/>
      <c r="B335" s="19"/>
      <c r="C335" s="152"/>
      <c r="D335" s="151"/>
      <c r="E335" s="81"/>
      <c r="F335" s="81"/>
      <c r="G335" s="29"/>
      <c r="H335" s="152">
        <v>124</v>
      </c>
      <c r="I335" s="151" t="s">
        <v>437</v>
      </c>
      <c r="J335" s="12">
        <v>40</v>
      </c>
      <c r="K335" s="12">
        <v>150</v>
      </c>
      <c r="L335" s="994"/>
      <c r="M335" s="908"/>
      <c r="N335" s="877"/>
      <c r="O335" s="15" t="s">
        <v>40</v>
      </c>
      <c r="P335" s="82"/>
      <c r="Q335" s="82"/>
      <c r="R335" s="82"/>
      <c r="S335" s="82"/>
      <c r="T335" s="82"/>
      <c r="U335" s="82"/>
      <c r="V335" s="82"/>
      <c r="W335" s="82"/>
      <c r="X335" s="82"/>
      <c r="Y335" s="82"/>
      <c r="Z335" s="82"/>
      <c r="AA335" s="82"/>
      <c r="AB335" s="82"/>
      <c r="AC335" s="82"/>
      <c r="AD335" s="82"/>
      <c r="AE335" s="82"/>
      <c r="AF335" s="82"/>
      <c r="AG335" s="82"/>
      <c r="AH335" s="82"/>
      <c r="AI335" s="82"/>
      <c r="AJ335" s="82"/>
      <c r="AK335" s="82"/>
      <c r="AL335" s="115">
        <f>20000000+35000000</f>
        <v>55000000</v>
      </c>
      <c r="AM335" s="80"/>
      <c r="AN335" s="82"/>
      <c r="AO335" s="83"/>
      <c r="AP335" s="26">
        <f>P335+Q335+R335+S335+T335+U335+V335+W335+X335+Y335+Z335+AA335+AB335+AC335+AD335+AE335+AF335+AG335+AH335+AI335+AJ335+AK335+AL335+AM335+AN335+AO335</f>
        <v>55000000</v>
      </c>
    </row>
    <row r="336" spans="1:46" s="28" customFormat="1" ht="71.25" x14ac:dyDescent="0.25">
      <c r="A336" s="20"/>
      <c r="B336" s="19"/>
      <c r="C336" s="152"/>
      <c r="D336" s="151"/>
      <c r="E336" s="81"/>
      <c r="F336" s="81"/>
      <c r="G336" s="29"/>
      <c r="H336" s="152">
        <v>126</v>
      </c>
      <c r="I336" s="151" t="s">
        <v>438</v>
      </c>
      <c r="J336" s="12" t="s">
        <v>36</v>
      </c>
      <c r="K336" s="819">
        <f>1795+1531</f>
        <v>3326</v>
      </c>
      <c r="L336" s="994"/>
      <c r="M336" s="908"/>
      <c r="N336" s="877"/>
      <c r="O336" s="15" t="s">
        <v>44</v>
      </c>
      <c r="P336" s="82"/>
      <c r="Q336" s="82"/>
      <c r="R336" s="82"/>
      <c r="S336" s="82"/>
      <c r="T336" s="82"/>
      <c r="U336" s="82"/>
      <c r="V336" s="82"/>
      <c r="W336" s="82"/>
      <c r="X336" s="82"/>
      <c r="Y336" s="82"/>
      <c r="Z336" s="82"/>
      <c r="AA336" s="82"/>
      <c r="AB336" s="82"/>
      <c r="AC336" s="82"/>
      <c r="AD336" s="82"/>
      <c r="AE336" s="82"/>
      <c r="AF336" s="82"/>
      <c r="AG336" s="82"/>
      <c r="AH336" s="82"/>
      <c r="AI336" s="82"/>
      <c r="AJ336" s="82"/>
      <c r="AK336" s="82"/>
      <c r="AL336" s="115">
        <v>10000000</v>
      </c>
      <c r="AM336" s="80"/>
      <c r="AN336" s="82"/>
      <c r="AO336" s="83"/>
      <c r="AP336" s="26">
        <f>P336+Q336+R336+S336+T336+U336+V336+W336+X336+Y336+Z336+AA336+AB336+AC336+AD336+AE336+AF336+AG336+AH336+AI336+AJ336+AK336+AL336+AM336+AN336+AO336</f>
        <v>10000000</v>
      </c>
    </row>
    <row r="337" spans="1:42" s="28" customFormat="1" ht="88.5" customHeight="1" x14ac:dyDescent="0.25">
      <c r="A337" s="20"/>
      <c r="B337" s="19"/>
      <c r="C337" s="152">
        <v>23</v>
      </c>
      <c r="D337" s="151" t="s">
        <v>431</v>
      </c>
      <c r="E337" s="81">
        <v>0.92</v>
      </c>
      <c r="F337" s="81">
        <v>0.85</v>
      </c>
      <c r="G337" s="31"/>
      <c r="H337" s="152">
        <v>125</v>
      </c>
      <c r="I337" s="151" t="s">
        <v>439</v>
      </c>
      <c r="J337" s="24">
        <v>1200</v>
      </c>
      <c r="K337" s="24">
        <v>750</v>
      </c>
      <c r="L337" s="995"/>
      <c r="M337" s="909"/>
      <c r="N337" s="887"/>
      <c r="O337" s="133" t="s">
        <v>40</v>
      </c>
      <c r="P337" s="82"/>
      <c r="Q337" s="82"/>
      <c r="R337" s="82"/>
      <c r="S337" s="82"/>
      <c r="T337" s="82"/>
      <c r="U337" s="82"/>
      <c r="V337" s="82"/>
      <c r="W337" s="82"/>
      <c r="X337" s="82"/>
      <c r="Y337" s="82"/>
      <c r="Z337" s="82"/>
      <c r="AA337" s="82"/>
      <c r="AB337" s="82"/>
      <c r="AC337" s="82"/>
      <c r="AD337" s="82"/>
      <c r="AE337" s="82"/>
      <c r="AF337" s="82"/>
      <c r="AG337" s="82"/>
      <c r="AH337" s="82"/>
      <c r="AI337" s="82"/>
      <c r="AJ337" s="82"/>
      <c r="AK337" s="82"/>
      <c r="AL337" s="118">
        <f>20000000+20000000</f>
        <v>40000000</v>
      </c>
      <c r="AM337" s="84"/>
      <c r="AN337" s="82"/>
      <c r="AO337" s="83"/>
      <c r="AP337" s="26">
        <f>P337+Q337+R337+S337+T337+U337+V337+W337+X337+Y337+Z337+AA337+AB337+AC337+AD337+AE337+AF337+AG337+AH337+AI337+AJ337+AK337+AL337+AM337+AN337+AO337</f>
        <v>40000000</v>
      </c>
    </row>
    <row r="338" spans="1:42" s="196" customFormat="1" ht="15" x14ac:dyDescent="0.25">
      <c r="A338" s="20"/>
      <c r="B338" s="402"/>
      <c r="C338" s="305"/>
      <c r="D338" s="214"/>
      <c r="E338" s="841"/>
      <c r="F338" s="836"/>
      <c r="G338" s="258"/>
      <c r="H338" s="259"/>
      <c r="I338" s="258"/>
      <c r="J338" s="463"/>
      <c r="K338" s="463"/>
      <c r="L338" s="463"/>
      <c r="M338" s="355"/>
      <c r="N338" s="258"/>
      <c r="O338" s="259"/>
      <c r="P338" s="356">
        <f>SUM(P333:P337)</f>
        <v>0</v>
      </c>
      <c r="Q338" s="356">
        <f t="shared" ref="Q338:AK338" si="130">SUM(Q333:Q337)</f>
        <v>0</v>
      </c>
      <c r="R338" s="356">
        <f t="shared" si="130"/>
        <v>0</v>
      </c>
      <c r="S338" s="356">
        <f t="shared" si="130"/>
        <v>0</v>
      </c>
      <c r="T338" s="356">
        <f t="shared" si="130"/>
        <v>0</v>
      </c>
      <c r="U338" s="356">
        <f t="shared" si="130"/>
        <v>0</v>
      </c>
      <c r="V338" s="356">
        <f t="shared" si="130"/>
        <v>0</v>
      </c>
      <c r="W338" s="356">
        <f t="shared" si="130"/>
        <v>0</v>
      </c>
      <c r="X338" s="356">
        <f t="shared" si="130"/>
        <v>0</v>
      </c>
      <c r="Y338" s="356">
        <f t="shared" si="130"/>
        <v>0</v>
      </c>
      <c r="Z338" s="356">
        <f t="shared" si="130"/>
        <v>0</v>
      </c>
      <c r="AA338" s="356">
        <f t="shared" si="130"/>
        <v>0</v>
      </c>
      <c r="AB338" s="356">
        <f t="shared" si="130"/>
        <v>0</v>
      </c>
      <c r="AC338" s="356">
        <f t="shared" si="130"/>
        <v>0</v>
      </c>
      <c r="AD338" s="356">
        <f t="shared" si="130"/>
        <v>0</v>
      </c>
      <c r="AE338" s="356">
        <f t="shared" si="130"/>
        <v>0</v>
      </c>
      <c r="AF338" s="356">
        <f t="shared" si="130"/>
        <v>0</v>
      </c>
      <c r="AG338" s="356">
        <f t="shared" si="130"/>
        <v>0</v>
      </c>
      <c r="AH338" s="356">
        <f t="shared" si="130"/>
        <v>0</v>
      </c>
      <c r="AI338" s="356">
        <f t="shared" si="130"/>
        <v>0</v>
      </c>
      <c r="AJ338" s="356">
        <f t="shared" si="130"/>
        <v>0</v>
      </c>
      <c r="AK338" s="356">
        <f t="shared" si="130"/>
        <v>0</v>
      </c>
      <c r="AL338" s="356">
        <f t="shared" ref="AL338:AP338" si="131">SUM(AL333:AL337)</f>
        <v>195000000</v>
      </c>
      <c r="AM338" s="356">
        <f t="shared" si="131"/>
        <v>0</v>
      </c>
      <c r="AN338" s="356">
        <f t="shared" si="131"/>
        <v>0</v>
      </c>
      <c r="AO338" s="356">
        <f t="shared" si="131"/>
        <v>0</v>
      </c>
      <c r="AP338" s="356">
        <f t="shared" si="131"/>
        <v>195000000</v>
      </c>
    </row>
    <row r="339" spans="1:42" s="196" customFormat="1" ht="15" x14ac:dyDescent="0.25">
      <c r="A339" s="189"/>
      <c r="B339" s="464"/>
      <c r="C339" s="264"/>
      <c r="D339" s="263"/>
      <c r="E339" s="264"/>
      <c r="F339" s="264"/>
      <c r="G339" s="263"/>
      <c r="H339" s="264"/>
      <c r="I339" s="263"/>
      <c r="J339" s="465"/>
      <c r="K339" s="465"/>
      <c r="L339" s="465"/>
      <c r="M339" s="466"/>
      <c r="N339" s="263"/>
      <c r="O339" s="264"/>
      <c r="P339" s="467">
        <f t="shared" ref="P339:AK340" si="132">P338</f>
        <v>0</v>
      </c>
      <c r="Q339" s="467">
        <f t="shared" si="132"/>
        <v>0</v>
      </c>
      <c r="R339" s="467">
        <f t="shared" si="132"/>
        <v>0</v>
      </c>
      <c r="S339" s="467">
        <f t="shared" si="132"/>
        <v>0</v>
      </c>
      <c r="T339" s="467">
        <f t="shared" si="132"/>
        <v>0</v>
      </c>
      <c r="U339" s="467">
        <f t="shared" si="132"/>
        <v>0</v>
      </c>
      <c r="V339" s="467">
        <f t="shared" si="132"/>
        <v>0</v>
      </c>
      <c r="W339" s="467">
        <f t="shared" si="132"/>
        <v>0</v>
      </c>
      <c r="X339" s="467">
        <f t="shared" si="132"/>
        <v>0</v>
      </c>
      <c r="Y339" s="467">
        <f t="shared" si="132"/>
        <v>0</v>
      </c>
      <c r="Z339" s="467">
        <f t="shared" si="132"/>
        <v>0</v>
      </c>
      <c r="AA339" s="467">
        <f t="shared" si="132"/>
        <v>0</v>
      </c>
      <c r="AB339" s="467">
        <f t="shared" si="132"/>
        <v>0</v>
      </c>
      <c r="AC339" s="467">
        <f t="shared" si="132"/>
        <v>0</v>
      </c>
      <c r="AD339" s="467">
        <f t="shared" si="132"/>
        <v>0</v>
      </c>
      <c r="AE339" s="467">
        <f t="shared" si="132"/>
        <v>0</v>
      </c>
      <c r="AF339" s="467">
        <f t="shared" si="132"/>
        <v>0</v>
      </c>
      <c r="AG339" s="467">
        <f t="shared" si="132"/>
        <v>0</v>
      </c>
      <c r="AH339" s="467">
        <f t="shared" si="132"/>
        <v>0</v>
      </c>
      <c r="AI339" s="467">
        <f t="shared" si="132"/>
        <v>0</v>
      </c>
      <c r="AJ339" s="467">
        <f t="shared" si="132"/>
        <v>0</v>
      </c>
      <c r="AK339" s="467">
        <f t="shared" si="132"/>
        <v>0</v>
      </c>
      <c r="AL339" s="467">
        <f t="shared" ref="AL339:AP340" si="133">AL338</f>
        <v>195000000</v>
      </c>
      <c r="AM339" s="467">
        <f t="shared" si="133"/>
        <v>0</v>
      </c>
      <c r="AN339" s="467">
        <f t="shared" si="133"/>
        <v>0</v>
      </c>
      <c r="AO339" s="467">
        <f t="shared" si="133"/>
        <v>0</v>
      </c>
      <c r="AP339" s="467">
        <f t="shared" si="133"/>
        <v>195000000</v>
      </c>
    </row>
    <row r="340" spans="1:42" s="196" customFormat="1" ht="15" x14ac:dyDescent="0.25">
      <c r="A340" s="468"/>
      <c r="B340" s="350"/>
      <c r="C340" s="351"/>
      <c r="D340" s="350"/>
      <c r="E340" s="351"/>
      <c r="F340" s="351"/>
      <c r="G340" s="350"/>
      <c r="H340" s="351"/>
      <c r="I340" s="350"/>
      <c r="J340" s="469"/>
      <c r="K340" s="469"/>
      <c r="L340" s="469"/>
      <c r="M340" s="470"/>
      <c r="N340" s="350"/>
      <c r="O340" s="351"/>
      <c r="P340" s="471">
        <f t="shared" si="132"/>
        <v>0</v>
      </c>
      <c r="Q340" s="471">
        <f t="shared" si="132"/>
        <v>0</v>
      </c>
      <c r="R340" s="471">
        <f t="shared" si="132"/>
        <v>0</v>
      </c>
      <c r="S340" s="471">
        <f t="shared" si="132"/>
        <v>0</v>
      </c>
      <c r="T340" s="471">
        <f t="shared" si="132"/>
        <v>0</v>
      </c>
      <c r="U340" s="471">
        <f t="shared" si="132"/>
        <v>0</v>
      </c>
      <c r="V340" s="471">
        <f t="shared" si="132"/>
        <v>0</v>
      </c>
      <c r="W340" s="471">
        <f t="shared" si="132"/>
        <v>0</v>
      </c>
      <c r="X340" s="471">
        <f t="shared" si="132"/>
        <v>0</v>
      </c>
      <c r="Y340" s="471">
        <f t="shared" si="132"/>
        <v>0</v>
      </c>
      <c r="Z340" s="471">
        <f t="shared" si="132"/>
        <v>0</v>
      </c>
      <c r="AA340" s="471">
        <f t="shared" si="132"/>
        <v>0</v>
      </c>
      <c r="AB340" s="471">
        <f t="shared" si="132"/>
        <v>0</v>
      </c>
      <c r="AC340" s="471">
        <f t="shared" si="132"/>
        <v>0</v>
      </c>
      <c r="AD340" s="471">
        <f t="shared" si="132"/>
        <v>0</v>
      </c>
      <c r="AE340" s="471">
        <f t="shared" si="132"/>
        <v>0</v>
      </c>
      <c r="AF340" s="471">
        <f t="shared" si="132"/>
        <v>0</v>
      </c>
      <c r="AG340" s="471">
        <f t="shared" si="132"/>
        <v>0</v>
      </c>
      <c r="AH340" s="471">
        <f t="shared" si="132"/>
        <v>0</v>
      </c>
      <c r="AI340" s="471">
        <f t="shared" si="132"/>
        <v>0</v>
      </c>
      <c r="AJ340" s="471">
        <f t="shared" si="132"/>
        <v>0</v>
      </c>
      <c r="AK340" s="471">
        <f t="shared" si="132"/>
        <v>0</v>
      </c>
      <c r="AL340" s="471">
        <f t="shared" si="133"/>
        <v>195000000</v>
      </c>
      <c r="AM340" s="471">
        <f t="shared" si="133"/>
        <v>0</v>
      </c>
      <c r="AN340" s="471">
        <f t="shared" si="133"/>
        <v>0</v>
      </c>
      <c r="AO340" s="471">
        <f t="shared" si="133"/>
        <v>0</v>
      </c>
      <c r="AP340" s="471">
        <f t="shared" si="133"/>
        <v>195000000</v>
      </c>
    </row>
    <row r="341" spans="1:42" s="196" customFormat="1" ht="15" x14ac:dyDescent="0.25">
      <c r="A341" s="208"/>
      <c r="B341" s="208"/>
      <c r="C341" s="209"/>
      <c r="D341" s="208"/>
      <c r="E341" s="209"/>
      <c r="F341" s="209"/>
      <c r="G341" s="208"/>
      <c r="H341" s="209"/>
      <c r="I341" s="208"/>
      <c r="J341" s="210"/>
      <c r="K341" s="210"/>
      <c r="L341" s="210"/>
      <c r="M341" s="211"/>
      <c r="N341" s="208"/>
      <c r="O341" s="209"/>
      <c r="P341" s="212">
        <f>+P340+P328+P295</f>
        <v>0</v>
      </c>
      <c r="Q341" s="212">
        <f t="shared" ref="Q341:AK341" si="134">+Q340+Q328+Q295</f>
        <v>0</v>
      </c>
      <c r="R341" s="212">
        <f t="shared" si="134"/>
        <v>0</v>
      </c>
      <c r="S341" s="212">
        <f t="shared" si="134"/>
        <v>0</v>
      </c>
      <c r="T341" s="212">
        <f t="shared" si="134"/>
        <v>0</v>
      </c>
      <c r="U341" s="212">
        <f t="shared" si="134"/>
        <v>0</v>
      </c>
      <c r="V341" s="212">
        <f t="shared" si="134"/>
        <v>0</v>
      </c>
      <c r="W341" s="212">
        <f t="shared" si="134"/>
        <v>0</v>
      </c>
      <c r="X341" s="212">
        <f t="shared" si="134"/>
        <v>0</v>
      </c>
      <c r="Y341" s="212">
        <f t="shared" si="134"/>
        <v>0</v>
      </c>
      <c r="Z341" s="212">
        <f t="shared" si="134"/>
        <v>0</v>
      </c>
      <c r="AA341" s="212">
        <f t="shared" si="134"/>
        <v>0</v>
      </c>
      <c r="AB341" s="212">
        <f t="shared" si="134"/>
        <v>0</v>
      </c>
      <c r="AC341" s="212">
        <f t="shared" si="134"/>
        <v>0</v>
      </c>
      <c r="AD341" s="212">
        <f t="shared" si="134"/>
        <v>0</v>
      </c>
      <c r="AE341" s="212">
        <f t="shared" si="134"/>
        <v>0</v>
      </c>
      <c r="AF341" s="212">
        <f t="shared" si="134"/>
        <v>0</v>
      </c>
      <c r="AG341" s="212">
        <f t="shared" si="134"/>
        <v>0</v>
      </c>
      <c r="AH341" s="212">
        <f t="shared" si="134"/>
        <v>0</v>
      </c>
      <c r="AI341" s="212">
        <f t="shared" si="134"/>
        <v>0</v>
      </c>
      <c r="AJ341" s="212">
        <f t="shared" si="134"/>
        <v>0</v>
      </c>
      <c r="AK341" s="212">
        <f t="shared" si="134"/>
        <v>0</v>
      </c>
      <c r="AL341" s="212">
        <f t="shared" ref="AL341:AP341" si="135">+AL340+AL328+AL295</f>
        <v>2816507172.6691999</v>
      </c>
      <c r="AM341" s="212">
        <f t="shared" si="135"/>
        <v>0</v>
      </c>
      <c r="AN341" s="212">
        <f t="shared" si="135"/>
        <v>0</v>
      </c>
      <c r="AO341" s="212">
        <f t="shared" si="135"/>
        <v>0</v>
      </c>
      <c r="AP341" s="212">
        <f t="shared" si="135"/>
        <v>2816507172.6691999</v>
      </c>
    </row>
    <row r="342" spans="1:42" s="28" customFormat="1" ht="15" x14ac:dyDescent="0.25">
      <c r="A342" s="213"/>
      <c r="B342" s="214"/>
      <c r="C342" s="454"/>
      <c r="D342" s="214"/>
      <c r="E342" s="454"/>
      <c r="F342" s="454"/>
      <c r="G342" s="214"/>
      <c r="H342" s="454"/>
      <c r="I342" s="214"/>
      <c r="J342" s="215"/>
      <c r="K342" s="215"/>
      <c r="L342" s="215"/>
      <c r="M342" s="216"/>
      <c r="N342" s="214"/>
      <c r="O342" s="454"/>
      <c r="P342" s="217"/>
      <c r="Q342" s="217"/>
      <c r="R342" s="217"/>
      <c r="S342" s="217"/>
      <c r="T342" s="217"/>
      <c r="U342" s="217"/>
      <c r="V342" s="217"/>
      <c r="W342" s="217"/>
      <c r="X342" s="217"/>
      <c r="Y342" s="217"/>
      <c r="Z342" s="217"/>
      <c r="AA342" s="217"/>
      <c r="AB342" s="217"/>
      <c r="AC342" s="217"/>
      <c r="AD342" s="217"/>
      <c r="AE342" s="217"/>
      <c r="AF342" s="217"/>
      <c r="AG342" s="217"/>
      <c r="AH342" s="217"/>
      <c r="AI342" s="217"/>
      <c r="AJ342" s="217"/>
      <c r="AK342" s="217"/>
      <c r="AL342" s="219"/>
      <c r="AM342" s="217"/>
      <c r="AN342" s="217"/>
      <c r="AO342" s="217"/>
      <c r="AP342" s="217"/>
    </row>
    <row r="343" spans="1:42" s="196" customFormat="1" ht="20.25" x14ac:dyDescent="0.25">
      <c r="A343" s="165" t="s">
        <v>440</v>
      </c>
      <c r="B343" s="166"/>
      <c r="C343" s="167"/>
      <c r="D343" s="166"/>
      <c r="E343" s="166"/>
      <c r="F343" s="166"/>
      <c r="G343" s="166"/>
      <c r="H343" s="167"/>
      <c r="I343" s="166"/>
      <c r="J343" s="166"/>
      <c r="K343" s="166"/>
      <c r="L343" s="166"/>
      <c r="M343" s="168"/>
      <c r="N343" s="166"/>
      <c r="O343" s="167"/>
      <c r="P343" s="166"/>
      <c r="Q343" s="166"/>
      <c r="R343" s="166"/>
      <c r="S343" s="166"/>
      <c r="T343" s="166"/>
      <c r="U343" s="166"/>
      <c r="V343" s="166"/>
      <c r="W343" s="166"/>
      <c r="X343" s="166"/>
      <c r="Y343" s="166"/>
      <c r="Z343" s="166"/>
      <c r="AA343" s="166"/>
      <c r="AB343" s="166"/>
      <c r="AC343" s="166"/>
      <c r="AD343" s="166"/>
      <c r="AE343" s="166"/>
      <c r="AF343" s="166"/>
      <c r="AG343" s="166"/>
      <c r="AH343" s="166"/>
      <c r="AI343" s="166"/>
      <c r="AJ343" s="166"/>
      <c r="AK343" s="166"/>
      <c r="AL343" s="169"/>
      <c r="AM343" s="170"/>
      <c r="AN343" s="166"/>
      <c r="AO343" s="166"/>
      <c r="AP343" s="172" t="s">
        <v>0</v>
      </c>
    </row>
    <row r="344" spans="1:42" s="196" customFormat="1" x14ac:dyDescent="0.25">
      <c r="A344" s="173">
        <v>5</v>
      </c>
      <c r="B344" s="174" t="s">
        <v>32</v>
      </c>
      <c r="C344" s="175"/>
      <c r="D344" s="174"/>
      <c r="E344" s="174"/>
      <c r="F344" s="174"/>
      <c r="G344" s="174"/>
      <c r="H344" s="175"/>
      <c r="I344" s="174"/>
      <c r="J344" s="174"/>
      <c r="K344" s="174"/>
      <c r="L344" s="174"/>
      <c r="M344" s="176"/>
      <c r="N344" s="174"/>
      <c r="O344" s="174"/>
      <c r="P344" s="174"/>
      <c r="Q344" s="174"/>
      <c r="R344" s="174"/>
      <c r="S344" s="174"/>
      <c r="T344" s="174"/>
      <c r="U344" s="174"/>
      <c r="V344" s="174"/>
      <c r="W344" s="174"/>
      <c r="X344" s="174"/>
      <c r="Y344" s="174"/>
      <c r="Z344" s="174"/>
      <c r="AA344" s="174"/>
      <c r="AB344" s="174"/>
      <c r="AC344" s="174"/>
      <c r="AD344" s="174"/>
      <c r="AE344" s="174"/>
      <c r="AF344" s="174"/>
      <c r="AG344" s="174"/>
      <c r="AH344" s="174"/>
      <c r="AI344" s="174"/>
      <c r="AJ344" s="174"/>
      <c r="AK344" s="174"/>
      <c r="AL344" s="177"/>
      <c r="AM344" s="174"/>
      <c r="AN344" s="174"/>
      <c r="AO344" s="174"/>
      <c r="AP344" s="178"/>
    </row>
    <row r="345" spans="1:42" s="48" customFormat="1" ht="20.25" x14ac:dyDescent="0.25">
      <c r="A345" s="223"/>
      <c r="B345" s="291">
        <v>26</v>
      </c>
      <c r="C345" s="181" t="s">
        <v>58</v>
      </c>
      <c r="D345" s="182"/>
      <c r="E345" s="182"/>
      <c r="F345" s="182"/>
      <c r="G345" s="182"/>
      <c r="H345" s="183"/>
      <c r="I345" s="182"/>
      <c r="J345" s="182"/>
      <c r="K345" s="182"/>
      <c r="L345" s="182"/>
      <c r="M345" s="184"/>
      <c r="N345" s="182"/>
      <c r="O345" s="182"/>
      <c r="P345" s="182"/>
      <c r="Q345" s="182"/>
      <c r="R345" s="182"/>
      <c r="S345" s="182"/>
      <c r="T345" s="182"/>
      <c r="U345" s="182"/>
      <c r="V345" s="182"/>
      <c r="W345" s="182"/>
      <c r="X345" s="182"/>
      <c r="Y345" s="182"/>
      <c r="Z345" s="182"/>
      <c r="AA345" s="182"/>
      <c r="AB345" s="182"/>
      <c r="AC345" s="182"/>
      <c r="AD345" s="182"/>
      <c r="AE345" s="182"/>
      <c r="AF345" s="182"/>
      <c r="AG345" s="182"/>
      <c r="AH345" s="182"/>
      <c r="AI345" s="182"/>
      <c r="AJ345" s="182"/>
      <c r="AK345" s="182"/>
      <c r="AL345" s="185"/>
      <c r="AM345" s="182"/>
      <c r="AN345" s="182"/>
      <c r="AO345" s="182"/>
      <c r="AP345" s="186"/>
    </row>
    <row r="346" spans="1:42" s="48" customFormat="1" ht="20.25" x14ac:dyDescent="0.25">
      <c r="A346" s="20"/>
      <c r="B346" s="223"/>
      <c r="C346" s="454"/>
      <c r="D346" s="214"/>
      <c r="E346" s="454"/>
      <c r="F346" s="150"/>
      <c r="G346" s="410">
        <v>83</v>
      </c>
      <c r="H346" s="904" t="s">
        <v>59</v>
      </c>
      <c r="I346" s="904"/>
      <c r="J346" s="904"/>
      <c r="K346" s="904"/>
      <c r="L346" s="904"/>
      <c r="M346" s="904"/>
      <c r="N346" s="904"/>
      <c r="O346" s="227"/>
      <c r="P346" s="227"/>
      <c r="Q346" s="227"/>
      <c r="R346" s="227"/>
      <c r="S346" s="227"/>
      <c r="T346" s="227"/>
      <c r="U346" s="227"/>
      <c r="V346" s="227"/>
      <c r="W346" s="227"/>
      <c r="X346" s="227"/>
      <c r="Y346" s="227"/>
      <c r="Z346" s="227"/>
      <c r="AA346" s="227"/>
      <c r="AB346" s="227"/>
      <c r="AC346" s="227"/>
      <c r="AD346" s="227"/>
      <c r="AE346" s="227"/>
      <c r="AF346" s="227"/>
      <c r="AG346" s="227"/>
      <c r="AH346" s="227"/>
      <c r="AI346" s="227"/>
      <c r="AJ346" s="227"/>
      <c r="AK346" s="227"/>
      <c r="AL346" s="229"/>
      <c r="AM346" s="227"/>
      <c r="AN346" s="227"/>
      <c r="AO346" s="227"/>
      <c r="AP346" s="230"/>
    </row>
    <row r="347" spans="1:42" s="28" customFormat="1" ht="78.75" customHeight="1" x14ac:dyDescent="0.25">
      <c r="A347" s="20"/>
      <c r="B347" s="20"/>
      <c r="C347" s="150">
        <v>37</v>
      </c>
      <c r="D347" s="151" t="s">
        <v>441</v>
      </c>
      <c r="E347" s="152" t="s">
        <v>61</v>
      </c>
      <c r="F347" s="152">
        <v>60</v>
      </c>
      <c r="G347" s="23"/>
      <c r="H347" s="152">
        <v>244</v>
      </c>
      <c r="I347" s="151" t="s">
        <v>442</v>
      </c>
      <c r="J347" s="24" t="s">
        <v>36</v>
      </c>
      <c r="K347" s="24">
        <v>12</v>
      </c>
      <c r="L347" s="25" t="s">
        <v>443</v>
      </c>
      <c r="M347" s="38" t="s">
        <v>444</v>
      </c>
      <c r="N347" s="151" t="s">
        <v>445</v>
      </c>
      <c r="O347" s="152" t="s">
        <v>40</v>
      </c>
      <c r="P347" s="26">
        <v>0</v>
      </c>
      <c r="Q347" s="26">
        <v>0</v>
      </c>
      <c r="R347" s="26">
        <v>0</v>
      </c>
      <c r="S347" s="26">
        <v>0</v>
      </c>
      <c r="T347" s="26">
        <v>0</v>
      </c>
      <c r="U347" s="26">
        <v>0</v>
      </c>
      <c r="V347" s="26">
        <v>0</v>
      </c>
      <c r="W347" s="26"/>
      <c r="X347" s="26"/>
      <c r="Y347" s="26"/>
      <c r="Z347" s="26">
        <v>0</v>
      </c>
      <c r="AA347" s="26"/>
      <c r="AB347" s="26">
        <v>0</v>
      </c>
      <c r="AC347" s="26">
        <v>0</v>
      </c>
      <c r="AD347" s="26"/>
      <c r="AE347" s="26"/>
      <c r="AF347" s="26"/>
      <c r="AG347" s="26"/>
      <c r="AH347" s="26"/>
      <c r="AI347" s="26"/>
      <c r="AJ347" s="26">
        <v>0</v>
      </c>
      <c r="AK347" s="26">
        <v>0</v>
      </c>
      <c r="AL347" s="115">
        <f>40000000+249534666+500000000+400000000-35000000</f>
        <v>1154534666</v>
      </c>
      <c r="AM347" s="11"/>
      <c r="AN347" s="26">
        <v>0</v>
      </c>
      <c r="AO347" s="27">
        <v>0</v>
      </c>
      <c r="AP347" s="26">
        <f>P347+Q347+R347+S347+T347+U347+V347+W347+X347+Y347+Z347+AA347+AB347+AC347+AD347+AE347+AF347+AG347+AH347+AI347+AJ347+AK347+AL347+AM347+AN347+AO347</f>
        <v>1154534666</v>
      </c>
    </row>
    <row r="348" spans="1:42" s="28" customFormat="1" ht="66" customHeight="1" x14ac:dyDescent="0.25">
      <c r="A348" s="20"/>
      <c r="B348" s="20"/>
      <c r="C348" s="150">
        <v>37</v>
      </c>
      <c r="D348" s="151" t="s">
        <v>446</v>
      </c>
      <c r="E348" s="152" t="s">
        <v>61</v>
      </c>
      <c r="F348" s="152">
        <v>60</v>
      </c>
      <c r="G348" s="31"/>
      <c r="H348" s="152">
        <v>245</v>
      </c>
      <c r="I348" s="151" t="s">
        <v>447</v>
      </c>
      <c r="J348" s="24" t="s">
        <v>36</v>
      </c>
      <c r="K348" s="24">
        <v>1</v>
      </c>
      <c r="L348" s="25" t="s">
        <v>443</v>
      </c>
      <c r="M348" s="38" t="s">
        <v>448</v>
      </c>
      <c r="N348" s="151" t="s">
        <v>449</v>
      </c>
      <c r="O348" s="152" t="s">
        <v>44</v>
      </c>
      <c r="P348" s="26">
        <v>0</v>
      </c>
      <c r="Q348" s="26">
        <v>0</v>
      </c>
      <c r="R348" s="26">
        <v>0</v>
      </c>
      <c r="S348" s="26">
        <v>0</v>
      </c>
      <c r="T348" s="26">
        <v>0</v>
      </c>
      <c r="U348" s="26">
        <v>0</v>
      </c>
      <c r="V348" s="26">
        <v>0</v>
      </c>
      <c r="W348" s="26"/>
      <c r="X348" s="26"/>
      <c r="Y348" s="26"/>
      <c r="Z348" s="26">
        <v>0</v>
      </c>
      <c r="AA348" s="26"/>
      <c r="AB348" s="26">
        <v>0</v>
      </c>
      <c r="AC348" s="26">
        <v>0</v>
      </c>
      <c r="AD348" s="26"/>
      <c r="AE348" s="26"/>
      <c r="AF348" s="26"/>
      <c r="AG348" s="26"/>
      <c r="AH348" s="26"/>
      <c r="AI348" s="26"/>
      <c r="AJ348" s="26">
        <v>0</v>
      </c>
      <c r="AK348" s="26">
        <v>0</v>
      </c>
      <c r="AL348" s="115">
        <f>180000000+35000000</f>
        <v>215000000</v>
      </c>
      <c r="AM348" s="11"/>
      <c r="AN348" s="26">
        <v>0</v>
      </c>
      <c r="AO348" s="27">
        <v>0</v>
      </c>
      <c r="AP348" s="26">
        <f>P348+Q348+R348+S348+T348+U348+V348+W348+X348+Y348+Z348+AA348+AB348+AC348+AD348+AE348+AF348+AG348+AH348+AI348+AJ348+AK348+AL348+AM348+AN348+AO348</f>
        <v>215000000</v>
      </c>
    </row>
    <row r="349" spans="1:42" s="196" customFormat="1" ht="15" x14ac:dyDescent="0.25">
      <c r="A349" s="20"/>
      <c r="B349" s="189"/>
      <c r="C349" s="150"/>
      <c r="D349" s="190"/>
      <c r="E349" s="708"/>
      <c r="F349" s="708"/>
      <c r="G349" s="191"/>
      <c r="H349" s="192"/>
      <c r="I349" s="191"/>
      <c r="J349" s="193"/>
      <c r="K349" s="193"/>
      <c r="L349" s="193"/>
      <c r="M349" s="194"/>
      <c r="N349" s="191"/>
      <c r="O349" s="192"/>
      <c r="P349" s="195">
        <f>SUM(P347:P348)</f>
        <v>0</v>
      </c>
      <c r="Q349" s="195">
        <f>SUM(Q347:Q348)</f>
        <v>0</v>
      </c>
      <c r="R349" s="195">
        <f>SUM(R347:R348)</f>
        <v>0</v>
      </c>
      <c r="S349" s="195">
        <f>SUM(S347:S348)</f>
        <v>0</v>
      </c>
      <c r="T349" s="195">
        <f>SUM(T347:T348)</f>
        <v>0</v>
      </c>
      <c r="U349" s="195">
        <f>SUM(U347:U348)</f>
        <v>0</v>
      </c>
      <c r="V349" s="195">
        <f>SUM(V347:V348)</f>
        <v>0</v>
      </c>
      <c r="W349" s="195"/>
      <c r="X349" s="195"/>
      <c r="Y349" s="195"/>
      <c r="Z349" s="195">
        <f>SUM(Z347:Z348)</f>
        <v>0</v>
      </c>
      <c r="AA349" s="195"/>
      <c r="AB349" s="195">
        <f>SUM(AB347:AB348)</f>
        <v>0</v>
      </c>
      <c r="AC349" s="195">
        <f>SUM(AC347:AC348)</f>
        <v>0</v>
      </c>
      <c r="AD349" s="195">
        <f>SUM(AD347:AD348)</f>
        <v>0</v>
      </c>
      <c r="AE349" s="195">
        <f>SUM(AE347:AE348)</f>
        <v>0</v>
      </c>
      <c r="AF349" s="195"/>
      <c r="AG349" s="195">
        <f>SUM(AG347:AG348)</f>
        <v>0</v>
      </c>
      <c r="AH349" s="195">
        <f>SUM(AH347:AH348)</f>
        <v>0</v>
      </c>
      <c r="AI349" s="195">
        <f>SUM(AI347:AI348)</f>
        <v>0</v>
      </c>
      <c r="AJ349" s="195">
        <f>SUM(AJ347:AJ348)</f>
        <v>0</v>
      </c>
      <c r="AK349" s="195">
        <f>SUM(AK347:AK348)</f>
        <v>0</v>
      </c>
      <c r="AL349" s="295">
        <f>SUM(AL347:AL348)</f>
        <v>1369534666</v>
      </c>
      <c r="AM349" s="296"/>
      <c r="AN349" s="195">
        <f>SUM(AN347:AN348)</f>
        <v>0</v>
      </c>
      <c r="AO349" s="195">
        <f>SUM(AO347:AO348)</f>
        <v>0</v>
      </c>
      <c r="AP349" s="472">
        <f>SUM(AP347:AP348)</f>
        <v>1369534666</v>
      </c>
    </row>
    <row r="350" spans="1:42" s="196" customFormat="1" ht="15" x14ac:dyDescent="0.25">
      <c r="A350" s="20"/>
      <c r="B350" s="260"/>
      <c r="C350" s="199"/>
      <c r="D350" s="198"/>
      <c r="E350" s="199"/>
      <c r="F350" s="199"/>
      <c r="G350" s="198"/>
      <c r="H350" s="199"/>
      <c r="I350" s="198"/>
      <c r="J350" s="200"/>
      <c r="K350" s="200"/>
      <c r="L350" s="200"/>
      <c r="M350" s="201"/>
      <c r="N350" s="198"/>
      <c r="O350" s="199"/>
      <c r="P350" s="202">
        <f>P349</f>
        <v>0</v>
      </c>
      <c r="Q350" s="202">
        <f>Q349</f>
        <v>0</v>
      </c>
      <c r="R350" s="202">
        <f>R349</f>
        <v>0</v>
      </c>
      <c r="S350" s="202">
        <f>S349</f>
        <v>0</v>
      </c>
      <c r="T350" s="202">
        <f>T349</f>
        <v>0</v>
      </c>
      <c r="U350" s="202">
        <f>U349</f>
        <v>0</v>
      </c>
      <c r="V350" s="202">
        <f>V349</f>
        <v>0</v>
      </c>
      <c r="W350" s="202"/>
      <c r="X350" s="202"/>
      <c r="Y350" s="202"/>
      <c r="Z350" s="202">
        <f>Z349</f>
        <v>0</v>
      </c>
      <c r="AA350" s="202"/>
      <c r="AB350" s="202">
        <f>AB349</f>
        <v>0</v>
      </c>
      <c r="AC350" s="202">
        <f>AC349</f>
        <v>0</v>
      </c>
      <c r="AD350" s="202">
        <f>AD349</f>
        <v>0</v>
      </c>
      <c r="AE350" s="202">
        <f>AE349</f>
        <v>0</v>
      </c>
      <c r="AF350" s="202"/>
      <c r="AG350" s="202">
        <f>AG349</f>
        <v>0</v>
      </c>
      <c r="AH350" s="202">
        <f>AH349</f>
        <v>0</v>
      </c>
      <c r="AI350" s="202">
        <f>AI349</f>
        <v>0</v>
      </c>
      <c r="AJ350" s="202">
        <f>AJ349</f>
        <v>0</v>
      </c>
      <c r="AK350" s="202">
        <f>AK349</f>
        <v>0</v>
      </c>
      <c r="AL350" s="297">
        <f>AL349</f>
        <v>1369534666</v>
      </c>
      <c r="AM350" s="202"/>
      <c r="AN350" s="202">
        <f>AN349</f>
        <v>0</v>
      </c>
      <c r="AO350" s="202">
        <f>AO349</f>
        <v>0</v>
      </c>
      <c r="AP350" s="473">
        <f>AP349</f>
        <v>1369534666</v>
      </c>
    </row>
    <row r="351" spans="1:42" s="28" customFormat="1" ht="15" x14ac:dyDescent="0.25">
      <c r="A351" s="20"/>
      <c r="B351" s="214"/>
      <c r="C351" s="454"/>
      <c r="D351" s="214"/>
      <c r="E351" s="454"/>
      <c r="F351" s="454"/>
      <c r="G351" s="214"/>
      <c r="H351" s="454"/>
      <c r="I351" s="214"/>
      <c r="J351" s="215"/>
      <c r="K351" s="215"/>
      <c r="L351" s="215"/>
      <c r="M351" s="216"/>
      <c r="N351" s="214"/>
      <c r="O351" s="454"/>
      <c r="P351" s="217"/>
      <c r="Q351" s="217"/>
      <c r="R351" s="217"/>
      <c r="S351" s="217"/>
      <c r="T351" s="217"/>
      <c r="U351" s="217"/>
      <c r="V351" s="217"/>
      <c r="W351" s="217"/>
      <c r="X351" s="217"/>
      <c r="Y351" s="217"/>
      <c r="Z351" s="217"/>
      <c r="AA351" s="217"/>
      <c r="AB351" s="217"/>
      <c r="AC351" s="217"/>
      <c r="AD351" s="217"/>
      <c r="AE351" s="217"/>
      <c r="AF351" s="217"/>
      <c r="AG351" s="217"/>
      <c r="AH351" s="217"/>
      <c r="AI351" s="217"/>
      <c r="AJ351" s="217"/>
      <c r="AK351" s="217"/>
      <c r="AL351" s="219"/>
      <c r="AM351" s="220"/>
      <c r="AN351" s="217"/>
      <c r="AO351" s="217"/>
      <c r="AP351" s="238"/>
    </row>
    <row r="352" spans="1:42" s="28" customFormat="1" x14ac:dyDescent="0.25">
      <c r="A352" s="20"/>
      <c r="B352" s="291">
        <v>28</v>
      </c>
      <c r="C352" s="181" t="s">
        <v>33</v>
      </c>
      <c r="D352" s="182"/>
      <c r="E352" s="182"/>
      <c r="F352" s="182"/>
      <c r="G352" s="182"/>
      <c r="H352" s="183"/>
      <c r="I352" s="182"/>
      <c r="J352" s="182"/>
      <c r="K352" s="182"/>
      <c r="L352" s="182"/>
      <c r="M352" s="184"/>
      <c r="N352" s="182"/>
      <c r="O352" s="182"/>
      <c r="P352" s="182"/>
      <c r="Q352" s="182"/>
      <c r="R352" s="182"/>
      <c r="S352" s="182"/>
      <c r="T352" s="182"/>
      <c r="U352" s="182"/>
      <c r="V352" s="182"/>
      <c r="W352" s="182"/>
      <c r="X352" s="182"/>
      <c r="Y352" s="182"/>
      <c r="Z352" s="182"/>
      <c r="AA352" s="182"/>
      <c r="AB352" s="182"/>
      <c r="AC352" s="182"/>
      <c r="AD352" s="182"/>
      <c r="AE352" s="182"/>
      <c r="AF352" s="182"/>
      <c r="AG352" s="182"/>
      <c r="AH352" s="182"/>
      <c r="AI352" s="182"/>
      <c r="AJ352" s="182"/>
      <c r="AK352" s="182"/>
      <c r="AL352" s="185"/>
      <c r="AM352" s="182"/>
      <c r="AN352" s="182"/>
      <c r="AO352" s="182"/>
      <c r="AP352" s="186"/>
    </row>
    <row r="353" spans="1:42" s="28" customFormat="1" ht="15" x14ac:dyDescent="0.25">
      <c r="A353" s="20"/>
      <c r="B353" s="223"/>
      <c r="C353" s="454"/>
      <c r="D353" s="214"/>
      <c r="E353" s="454"/>
      <c r="F353" s="150"/>
      <c r="G353" s="410">
        <v>89</v>
      </c>
      <c r="H353" s="904" t="s">
        <v>34</v>
      </c>
      <c r="I353" s="904"/>
      <c r="J353" s="904"/>
      <c r="K353" s="904"/>
      <c r="L353" s="904"/>
      <c r="M353" s="904"/>
      <c r="N353" s="904"/>
      <c r="O353" s="227"/>
      <c r="P353" s="227"/>
      <c r="Q353" s="227"/>
      <c r="R353" s="227"/>
      <c r="S353" s="227"/>
      <c r="T353" s="227"/>
      <c r="U353" s="227"/>
      <c r="V353" s="227"/>
      <c r="W353" s="227"/>
      <c r="X353" s="227"/>
      <c r="Y353" s="227"/>
      <c r="Z353" s="227"/>
      <c r="AA353" s="227"/>
      <c r="AB353" s="227"/>
      <c r="AC353" s="227"/>
      <c r="AD353" s="227"/>
      <c r="AE353" s="227"/>
      <c r="AF353" s="227"/>
      <c r="AG353" s="227"/>
      <c r="AH353" s="227"/>
      <c r="AI353" s="227"/>
      <c r="AJ353" s="227"/>
      <c r="AK353" s="227"/>
      <c r="AL353" s="229"/>
      <c r="AM353" s="227"/>
      <c r="AN353" s="227"/>
      <c r="AO353" s="227"/>
      <c r="AP353" s="230"/>
    </row>
    <row r="354" spans="1:42" s="28" customFormat="1" ht="117" customHeight="1" x14ac:dyDescent="0.25">
      <c r="A354" s="20"/>
      <c r="B354" s="20"/>
      <c r="C354" s="150">
        <v>37</v>
      </c>
      <c r="D354" s="151" t="s">
        <v>441</v>
      </c>
      <c r="E354" s="152" t="s">
        <v>61</v>
      </c>
      <c r="F354" s="152">
        <v>60</v>
      </c>
      <c r="G354" s="151"/>
      <c r="H354" s="152">
        <v>288</v>
      </c>
      <c r="I354" s="151" t="s">
        <v>450</v>
      </c>
      <c r="J354" s="24">
        <v>1</v>
      </c>
      <c r="K354" s="24">
        <v>1</v>
      </c>
      <c r="L354" s="25" t="s">
        <v>443</v>
      </c>
      <c r="M354" s="38" t="s">
        <v>451</v>
      </c>
      <c r="N354" s="151" t="s">
        <v>452</v>
      </c>
      <c r="O354" s="152" t="s">
        <v>44</v>
      </c>
      <c r="P354" s="26"/>
      <c r="Q354" s="26"/>
      <c r="R354" s="26"/>
      <c r="S354" s="26"/>
      <c r="T354" s="26"/>
      <c r="U354" s="26"/>
      <c r="V354" s="26"/>
      <c r="W354" s="26"/>
      <c r="X354" s="26"/>
      <c r="Y354" s="26"/>
      <c r="Z354" s="26"/>
      <c r="AA354" s="26"/>
      <c r="AB354" s="26"/>
      <c r="AC354" s="26"/>
      <c r="AD354" s="26"/>
      <c r="AE354" s="26"/>
      <c r="AF354" s="26"/>
      <c r="AG354" s="26"/>
      <c r="AH354" s="26"/>
      <c r="AI354" s="26"/>
      <c r="AJ354" s="26"/>
      <c r="AK354" s="26"/>
      <c r="AL354" s="127">
        <f>219504873+400000000+100000000+150000000</f>
        <v>869504873</v>
      </c>
      <c r="AM354" s="14"/>
      <c r="AN354" s="26"/>
      <c r="AO354" s="27"/>
      <c r="AP354" s="26">
        <f>P354+Q354+R354+S354+T354+U354+V354+W354+X354+Y354+Z354+AA354+AB354+AC354+AD354+AE354+AF354+AG354+AH354+AI354+AJ354+AK354+AL354+AM354+AN354+AO354</f>
        <v>869504873</v>
      </c>
    </row>
    <row r="355" spans="1:42" s="28" customFormat="1" ht="15" x14ac:dyDescent="0.25">
      <c r="A355" s="20"/>
      <c r="B355" s="189"/>
      <c r="C355" s="150"/>
      <c r="D355" s="190"/>
      <c r="E355" s="708"/>
      <c r="F355" s="708"/>
      <c r="G355" s="191"/>
      <c r="H355" s="192"/>
      <c r="I355" s="191"/>
      <c r="J355" s="193"/>
      <c r="K355" s="193"/>
      <c r="L355" s="193"/>
      <c r="M355" s="194"/>
      <c r="N355" s="191"/>
      <c r="O355" s="192"/>
      <c r="P355" s="195">
        <f>SUM(P354)</f>
        <v>0</v>
      </c>
      <c r="Q355" s="195">
        <f>SUM(Q354)</f>
        <v>0</v>
      </c>
      <c r="R355" s="195">
        <f>SUM(R354)</f>
        <v>0</v>
      </c>
      <c r="S355" s="195">
        <f>SUM(S354)</f>
        <v>0</v>
      </c>
      <c r="T355" s="195">
        <f>SUM(T354)</f>
        <v>0</v>
      </c>
      <c r="U355" s="195">
        <f>SUM(U354)</f>
        <v>0</v>
      </c>
      <c r="V355" s="195">
        <f>SUM(V354)</f>
        <v>0</v>
      </c>
      <c r="W355" s="195"/>
      <c r="X355" s="195"/>
      <c r="Y355" s="195"/>
      <c r="Z355" s="195">
        <f>SUM(Z354)</f>
        <v>0</v>
      </c>
      <c r="AA355" s="195"/>
      <c r="AB355" s="195">
        <f>SUM(AB354)</f>
        <v>0</v>
      </c>
      <c r="AC355" s="195">
        <f>SUM(AC354)</f>
        <v>0</v>
      </c>
      <c r="AD355" s="195">
        <f>SUM(AD354)</f>
        <v>0</v>
      </c>
      <c r="AE355" s="195">
        <f>SUM(AE354)</f>
        <v>0</v>
      </c>
      <c r="AF355" s="195"/>
      <c r="AG355" s="195">
        <f>SUM(AG354)</f>
        <v>0</v>
      </c>
      <c r="AH355" s="195">
        <f>SUM(AH354)</f>
        <v>0</v>
      </c>
      <c r="AI355" s="195">
        <f>SUM(AI354)</f>
        <v>0</v>
      </c>
      <c r="AJ355" s="195">
        <f>SUM(AJ354)</f>
        <v>0</v>
      </c>
      <c r="AK355" s="195">
        <f>SUM(AK354)</f>
        <v>0</v>
      </c>
      <c r="AL355" s="295">
        <f>SUM(AL354)</f>
        <v>869504873</v>
      </c>
      <c r="AM355" s="295">
        <f t="shared" ref="AM355:AP355" si="136">SUM(AM354)</f>
        <v>0</v>
      </c>
      <c r="AN355" s="295">
        <f t="shared" si="136"/>
        <v>0</v>
      </c>
      <c r="AO355" s="295">
        <f t="shared" si="136"/>
        <v>0</v>
      </c>
      <c r="AP355" s="474">
        <f t="shared" si="136"/>
        <v>869504873</v>
      </c>
    </row>
    <row r="356" spans="1:42" s="28" customFormat="1" ht="15" x14ac:dyDescent="0.25">
      <c r="A356" s="189"/>
      <c r="B356" s="260"/>
      <c r="C356" s="199"/>
      <c r="D356" s="198"/>
      <c r="E356" s="199"/>
      <c r="F356" s="199"/>
      <c r="G356" s="198"/>
      <c r="H356" s="199"/>
      <c r="I356" s="198"/>
      <c r="J356" s="200"/>
      <c r="K356" s="200"/>
      <c r="L356" s="200"/>
      <c r="M356" s="201"/>
      <c r="N356" s="198"/>
      <c r="O356" s="199"/>
      <c r="P356" s="202">
        <f>P355</f>
        <v>0</v>
      </c>
      <c r="Q356" s="202">
        <f>Q355</f>
        <v>0</v>
      </c>
      <c r="R356" s="202">
        <f>R355</f>
        <v>0</v>
      </c>
      <c r="S356" s="202">
        <f>S355</f>
        <v>0</v>
      </c>
      <c r="T356" s="202">
        <f>T355</f>
        <v>0</v>
      </c>
      <c r="U356" s="202">
        <f>U355</f>
        <v>0</v>
      </c>
      <c r="V356" s="202">
        <f>V355</f>
        <v>0</v>
      </c>
      <c r="W356" s="202">
        <f>W355</f>
        <v>0</v>
      </c>
      <c r="X356" s="202">
        <f>X355</f>
        <v>0</v>
      </c>
      <c r="Y356" s="202">
        <f>Y355</f>
        <v>0</v>
      </c>
      <c r="Z356" s="202">
        <f>Z355</f>
        <v>0</v>
      </c>
      <c r="AA356" s="202"/>
      <c r="AB356" s="202">
        <f>AB355</f>
        <v>0</v>
      </c>
      <c r="AC356" s="202">
        <f>AC355</f>
        <v>0</v>
      </c>
      <c r="AD356" s="202">
        <f>AD355</f>
        <v>0</v>
      </c>
      <c r="AE356" s="202">
        <f>AE355</f>
        <v>0</v>
      </c>
      <c r="AF356" s="202"/>
      <c r="AG356" s="202">
        <f>AG355</f>
        <v>0</v>
      </c>
      <c r="AH356" s="202">
        <f>AH355</f>
        <v>0</v>
      </c>
      <c r="AI356" s="202">
        <f>AI355</f>
        <v>0</v>
      </c>
      <c r="AJ356" s="202">
        <f>AJ355</f>
        <v>0</v>
      </c>
      <c r="AK356" s="202">
        <f>AK355</f>
        <v>0</v>
      </c>
      <c r="AL356" s="297">
        <f>AL355</f>
        <v>869504873</v>
      </c>
      <c r="AM356" s="297">
        <f t="shared" ref="AM356:AP356" si="137">AM355</f>
        <v>0</v>
      </c>
      <c r="AN356" s="297">
        <f t="shared" si="137"/>
        <v>0</v>
      </c>
      <c r="AO356" s="297">
        <f t="shared" si="137"/>
        <v>0</v>
      </c>
      <c r="AP356" s="475">
        <f t="shared" si="137"/>
        <v>869504873</v>
      </c>
    </row>
    <row r="357" spans="1:42" s="196" customFormat="1" ht="15" x14ac:dyDescent="0.25">
      <c r="A357" s="203"/>
      <c r="B357" s="203"/>
      <c r="C357" s="204"/>
      <c r="D357" s="203"/>
      <c r="E357" s="204"/>
      <c r="F357" s="204"/>
      <c r="G357" s="203"/>
      <c r="H357" s="204"/>
      <c r="I357" s="203"/>
      <c r="J357" s="205"/>
      <c r="K357" s="205"/>
      <c r="L357" s="205"/>
      <c r="M357" s="206"/>
      <c r="N357" s="203"/>
      <c r="O357" s="204"/>
      <c r="P357" s="207">
        <f>P356+P350</f>
        <v>0</v>
      </c>
      <c r="Q357" s="207">
        <f>Q356+Q350</f>
        <v>0</v>
      </c>
      <c r="R357" s="207">
        <f>R356+R350</f>
        <v>0</v>
      </c>
      <c r="S357" s="207">
        <f>S356+S350</f>
        <v>0</v>
      </c>
      <c r="T357" s="207">
        <f>T356+T350</f>
        <v>0</v>
      </c>
      <c r="U357" s="207">
        <f>U356+U350</f>
        <v>0</v>
      </c>
      <c r="V357" s="207">
        <f>V356+V350</f>
        <v>0</v>
      </c>
      <c r="W357" s="207">
        <f>W356+W350</f>
        <v>0</v>
      </c>
      <c r="X357" s="207">
        <f>X356+X350</f>
        <v>0</v>
      </c>
      <c r="Y357" s="207">
        <f>Y356+Y350</f>
        <v>0</v>
      </c>
      <c r="Z357" s="207">
        <f>Z356+Z350</f>
        <v>0</v>
      </c>
      <c r="AA357" s="207"/>
      <c r="AB357" s="207">
        <f>AB356+AB350</f>
        <v>0</v>
      </c>
      <c r="AC357" s="207">
        <f>AC356+AC350</f>
        <v>0</v>
      </c>
      <c r="AD357" s="207">
        <f>AD356+AD350</f>
        <v>0</v>
      </c>
      <c r="AE357" s="207">
        <f>AE356+AE350</f>
        <v>0</v>
      </c>
      <c r="AF357" s="207"/>
      <c r="AG357" s="207">
        <f>AG356+AG350</f>
        <v>0</v>
      </c>
      <c r="AH357" s="207">
        <f>AH356+AH350</f>
        <v>0</v>
      </c>
      <c r="AI357" s="207">
        <f>AI356+AI350</f>
        <v>0</v>
      </c>
      <c r="AJ357" s="207">
        <f>AJ356+AJ350</f>
        <v>0</v>
      </c>
      <c r="AK357" s="207">
        <f>AK356+AK350</f>
        <v>0</v>
      </c>
      <c r="AL357" s="299">
        <f>AL356+AL350</f>
        <v>2239039539</v>
      </c>
      <c r="AM357" s="299">
        <f t="shared" ref="AM357:AP357" si="138">AM356+AM350</f>
        <v>0</v>
      </c>
      <c r="AN357" s="299">
        <f t="shared" si="138"/>
        <v>0</v>
      </c>
      <c r="AO357" s="299">
        <f t="shared" si="138"/>
        <v>0</v>
      </c>
      <c r="AP357" s="476">
        <f t="shared" si="138"/>
        <v>2239039539</v>
      </c>
    </row>
    <row r="358" spans="1:42" s="196" customFormat="1" ht="15" x14ac:dyDescent="0.25">
      <c r="A358" s="208"/>
      <c r="B358" s="208"/>
      <c r="C358" s="209"/>
      <c r="D358" s="208"/>
      <c r="E358" s="209"/>
      <c r="F358" s="209"/>
      <c r="G358" s="208"/>
      <c r="H358" s="209"/>
      <c r="I358" s="208"/>
      <c r="J358" s="210"/>
      <c r="K358" s="210"/>
      <c r="L358" s="210"/>
      <c r="M358" s="211"/>
      <c r="N358" s="208"/>
      <c r="O358" s="209"/>
      <c r="P358" s="212">
        <f>P357</f>
        <v>0</v>
      </c>
      <c r="Q358" s="212">
        <f>Q357</f>
        <v>0</v>
      </c>
      <c r="R358" s="212">
        <f>R357</f>
        <v>0</v>
      </c>
      <c r="S358" s="212">
        <f>S357</f>
        <v>0</v>
      </c>
      <c r="T358" s="212">
        <f>T357</f>
        <v>0</v>
      </c>
      <c r="U358" s="212">
        <f>U357</f>
        <v>0</v>
      </c>
      <c r="V358" s="212">
        <f>V357</f>
        <v>0</v>
      </c>
      <c r="W358" s="212">
        <f>W357</f>
        <v>0</v>
      </c>
      <c r="X358" s="212">
        <f>X357</f>
        <v>0</v>
      </c>
      <c r="Y358" s="212">
        <f>Y357</f>
        <v>0</v>
      </c>
      <c r="Z358" s="212">
        <f>Z357</f>
        <v>0</v>
      </c>
      <c r="AA358" s="212"/>
      <c r="AB358" s="212">
        <f>AB357</f>
        <v>0</v>
      </c>
      <c r="AC358" s="212">
        <f>AC357</f>
        <v>0</v>
      </c>
      <c r="AD358" s="212">
        <f>AD357</f>
        <v>0</v>
      </c>
      <c r="AE358" s="212">
        <f>AE357</f>
        <v>0</v>
      </c>
      <c r="AF358" s="212"/>
      <c r="AG358" s="212">
        <f>AG357</f>
        <v>0</v>
      </c>
      <c r="AH358" s="212">
        <f>AH357</f>
        <v>0</v>
      </c>
      <c r="AI358" s="212">
        <f>AI357</f>
        <v>0</v>
      </c>
      <c r="AJ358" s="212">
        <f>AJ357</f>
        <v>0</v>
      </c>
      <c r="AK358" s="212">
        <f>AK357</f>
        <v>0</v>
      </c>
      <c r="AL358" s="301">
        <f>AL357</f>
        <v>2239039539</v>
      </c>
      <c r="AM358" s="301">
        <f t="shared" ref="AM358:AP358" si="139">AM357</f>
        <v>0</v>
      </c>
      <c r="AN358" s="301">
        <f t="shared" si="139"/>
        <v>0</v>
      </c>
      <c r="AO358" s="301">
        <f t="shared" si="139"/>
        <v>0</v>
      </c>
      <c r="AP358" s="477">
        <f t="shared" si="139"/>
        <v>2239039539</v>
      </c>
    </row>
    <row r="359" spans="1:42" s="28" customFormat="1" ht="15" x14ac:dyDescent="0.25">
      <c r="A359" s="213"/>
      <c r="B359" s="214"/>
      <c r="C359" s="454"/>
      <c r="D359" s="214"/>
      <c r="E359" s="454"/>
      <c r="F359" s="454"/>
      <c r="G359" s="214"/>
      <c r="H359" s="454"/>
      <c r="I359" s="214"/>
      <c r="J359" s="215"/>
      <c r="K359" s="215"/>
      <c r="L359" s="215"/>
      <c r="M359" s="216"/>
      <c r="N359" s="214"/>
      <c r="O359" s="454"/>
      <c r="P359" s="217"/>
      <c r="Q359" s="217"/>
      <c r="R359" s="217"/>
      <c r="S359" s="217"/>
      <c r="T359" s="217"/>
      <c r="U359" s="217"/>
      <c r="V359" s="217"/>
      <c r="W359" s="217"/>
      <c r="X359" s="217"/>
      <c r="Y359" s="217"/>
      <c r="Z359" s="217"/>
      <c r="AA359" s="217"/>
      <c r="AB359" s="217"/>
      <c r="AC359" s="217"/>
      <c r="AD359" s="218"/>
      <c r="AE359" s="218"/>
      <c r="AF359" s="218"/>
      <c r="AG359" s="218"/>
      <c r="AH359" s="218"/>
      <c r="AI359" s="218"/>
      <c r="AJ359" s="217"/>
      <c r="AK359" s="217"/>
      <c r="AL359" s="219"/>
      <c r="AM359" s="220"/>
      <c r="AN359" s="217"/>
      <c r="AO359" s="217"/>
      <c r="AP359" s="221"/>
    </row>
    <row r="360" spans="1:42" s="196" customFormat="1" ht="20.25" x14ac:dyDescent="0.25">
      <c r="A360" s="165" t="s">
        <v>453</v>
      </c>
      <c r="B360" s="166"/>
      <c r="C360" s="167"/>
      <c r="D360" s="166"/>
      <c r="E360" s="166"/>
      <c r="F360" s="166"/>
      <c r="G360" s="166"/>
      <c r="H360" s="167"/>
      <c r="I360" s="166"/>
      <c r="J360" s="166"/>
      <c r="K360" s="166"/>
      <c r="L360" s="166"/>
      <c r="M360" s="168"/>
      <c r="N360" s="166"/>
      <c r="O360" s="167"/>
      <c r="P360" s="166"/>
      <c r="Q360" s="166"/>
      <c r="R360" s="166"/>
      <c r="S360" s="166"/>
      <c r="T360" s="166"/>
      <c r="U360" s="166"/>
      <c r="V360" s="166"/>
      <c r="W360" s="166"/>
      <c r="X360" s="166"/>
      <c r="Y360" s="166"/>
      <c r="Z360" s="166"/>
      <c r="AA360" s="166"/>
      <c r="AB360" s="166"/>
      <c r="AC360" s="166"/>
      <c r="AD360" s="166"/>
      <c r="AE360" s="166"/>
      <c r="AF360" s="166"/>
      <c r="AG360" s="166"/>
      <c r="AH360" s="166"/>
      <c r="AI360" s="166"/>
      <c r="AJ360" s="166"/>
      <c r="AK360" s="166"/>
      <c r="AL360" s="169"/>
      <c r="AM360" s="170"/>
      <c r="AN360" s="166"/>
      <c r="AO360" s="166"/>
      <c r="AP360" s="171" t="s">
        <v>0</v>
      </c>
    </row>
    <row r="361" spans="1:42" s="196" customFormat="1" x14ac:dyDescent="0.25">
      <c r="A361" s="173">
        <v>3</v>
      </c>
      <c r="B361" s="174" t="s">
        <v>245</v>
      </c>
      <c r="C361" s="175"/>
      <c r="D361" s="174"/>
      <c r="E361" s="174"/>
      <c r="F361" s="174"/>
      <c r="G361" s="174"/>
      <c r="H361" s="175"/>
      <c r="I361" s="174"/>
      <c r="J361" s="174"/>
      <c r="K361" s="174"/>
      <c r="L361" s="174"/>
      <c r="M361" s="176"/>
      <c r="N361" s="174"/>
      <c r="O361" s="174"/>
      <c r="P361" s="174"/>
      <c r="Q361" s="174"/>
      <c r="R361" s="174"/>
      <c r="S361" s="174"/>
      <c r="T361" s="174"/>
      <c r="U361" s="174"/>
      <c r="V361" s="174"/>
      <c r="W361" s="174"/>
      <c r="X361" s="174"/>
      <c r="Y361" s="174"/>
      <c r="Z361" s="174"/>
      <c r="AA361" s="174"/>
      <c r="AB361" s="174"/>
      <c r="AC361" s="174"/>
      <c r="AD361" s="174"/>
      <c r="AE361" s="174"/>
      <c r="AF361" s="174"/>
      <c r="AG361" s="174"/>
      <c r="AH361" s="174"/>
      <c r="AI361" s="174"/>
      <c r="AJ361" s="174"/>
      <c r="AK361" s="174"/>
      <c r="AL361" s="177"/>
      <c r="AM361" s="174"/>
      <c r="AN361" s="174"/>
      <c r="AO361" s="174"/>
      <c r="AP361" s="174"/>
    </row>
    <row r="362" spans="1:42" s="196" customFormat="1" x14ac:dyDescent="0.25">
      <c r="A362" s="223"/>
      <c r="B362" s="291">
        <v>5</v>
      </c>
      <c r="C362" s="181" t="s">
        <v>454</v>
      </c>
      <c r="D362" s="182"/>
      <c r="E362" s="182"/>
      <c r="F362" s="182"/>
      <c r="G362" s="182"/>
      <c r="H362" s="183"/>
      <c r="I362" s="182"/>
      <c r="J362" s="182"/>
      <c r="K362" s="182"/>
      <c r="L362" s="182"/>
      <c r="M362" s="184"/>
      <c r="N362" s="182"/>
      <c r="O362" s="182"/>
      <c r="P362" s="182"/>
      <c r="Q362" s="182"/>
      <c r="R362" s="182"/>
      <c r="S362" s="182"/>
      <c r="T362" s="182"/>
      <c r="U362" s="182"/>
      <c r="V362" s="182"/>
      <c r="W362" s="182"/>
      <c r="X362" s="182"/>
      <c r="Y362" s="182"/>
      <c r="Z362" s="182"/>
      <c r="AA362" s="182"/>
      <c r="AB362" s="182"/>
      <c r="AC362" s="182"/>
      <c r="AD362" s="182"/>
      <c r="AE362" s="182"/>
      <c r="AF362" s="182"/>
      <c r="AG362" s="182"/>
      <c r="AH362" s="182"/>
      <c r="AI362" s="182"/>
      <c r="AJ362" s="182"/>
      <c r="AK362" s="182"/>
      <c r="AL362" s="185"/>
      <c r="AM362" s="182"/>
      <c r="AN362" s="182"/>
      <c r="AO362" s="182"/>
      <c r="AP362" s="478"/>
    </row>
    <row r="363" spans="1:42" s="196" customFormat="1" ht="15" x14ac:dyDescent="0.25">
      <c r="A363" s="20"/>
      <c r="B363" s="223"/>
      <c r="C363" s="454"/>
      <c r="D363" s="214"/>
      <c r="E363" s="454"/>
      <c r="F363" s="150"/>
      <c r="G363" s="410">
        <v>16</v>
      </c>
      <c r="H363" s="904" t="s">
        <v>455</v>
      </c>
      <c r="I363" s="904"/>
      <c r="J363" s="904"/>
      <c r="K363" s="904"/>
      <c r="L363" s="904"/>
      <c r="M363" s="904"/>
      <c r="N363" s="904"/>
      <c r="O363" s="904"/>
      <c r="P363" s="227"/>
      <c r="Q363" s="227"/>
      <c r="R363" s="227"/>
      <c r="S363" s="227"/>
      <c r="T363" s="227"/>
      <c r="U363" s="227"/>
      <c r="V363" s="227"/>
      <c r="W363" s="227"/>
      <c r="X363" s="227"/>
      <c r="Y363" s="227"/>
      <c r="Z363" s="227"/>
      <c r="AA363" s="227"/>
      <c r="AB363" s="227"/>
      <c r="AC363" s="227"/>
      <c r="AD363" s="227"/>
      <c r="AE363" s="227"/>
      <c r="AF363" s="227"/>
      <c r="AG363" s="227"/>
      <c r="AH363" s="227"/>
      <c r="AI363" s="227"/>
      <c r="AJ363" s="227"/>
      <c r="AK363" s="227"/>
      <c r="AL363" s="229"/>
      <c r="AM363" s="227"/>
      <c r="AN363" s="227"/>
      <c r="AO363" s="227"/>
      <c r="AP363" s="479"/>
    </row>
    <row r="364" spans="1:42" s="28" customFormat="1" ht="75" customHeight="1" x14ac:dyDescent="0.25">
      <c r="A364" s="20"/>
      <c r="B364" s="20"/>
      <c r="C364" s="150">
        <v>15</v>
      </c>
      <c r="D364" s="151" t="s">
        <v>456</v>
      </c>
      <c r="E364" s="85">
        <v>0.73229999999999995</v>
      </c>
      <c r="F364" s="85">
        <v>0.78</v>
      </c>
      <c r="G364" s="23"/>
      <c r="H364" s="152">
        <v>65</v>
      </c>
      <c r="I364" s="151" t="s">
        <v>457</v>
      </c>
      <c r="J364" s="58">
        <v>1</v>
      </c>
      <c r="K364" s="58">
        <v>1</v>
      </c>
      <c r="L364" s="987" t="s">
        <v>458</v>
      </c>
      <c r="M364" s="907" t="s">
        <v>459</v>
      </c>
      <c r="N364" s="893" t="s">
        <v>460</v>
      </c>
      <c r="O364" s="152" t="s">
        <v>44</v>
      </c>
      <c r="P364" s="26">
        <v>0</v>
      </c>
      <c r="Q364" s="26">
        <v>0</v>
      </c>
      <c r="R364" s="26">
        <v>0</v>
      </c>
      <c r="S364" s="26">
        <v>0</v>
      </c>
      <c r="T364" s="26">
        <v>0</v>
      </c>
      <c r="U364" s="26">
        <v>0</v>
      </c>
      <c r="V364" s="11">
        <v>1722287375</v>
      </c>
      <c r="W364" s="26"/>
      <c r="X364" s="26"/>
      <c r="Y364" s="26"/>
      <c r="Z364" s="26">
        <v>0</v>
      </c>
      <c r="AA364" s="26"/>
      <c r="AB364" s="26">
        <v>0</v>
      </c>
      <c r="AC364" s="26">
        <v>0</v>
      </c>
      <c r="AD364" s="26"/>
      <c r="AE364" s="26"/>
      <c r="AF364" s="26"/>
      <c r="AG364" s="26">
        <f>2000000+4091354</f>
        <v>6091354</v>
      </c>
      <c r="AH364" s="26"/>
      <c r="AI364" s="26"/>
      <c r="AJ364" s="26">
        <v>0</v>
      </c>
      <c r="AK364" s="26">
        <v>0</v>
      </c>
      <c r="AL364" s="115">
        <v>3655700205</v>
      </c>
      <c r="AM364" s="11"/>
      <c r="AN364" s="26"/>
      <c r="AO364" s="86">
        <v>0</v>
      </c>
      <c r="AP364" s="26">
        <f>P364+Q364+R364+S364+T364+U364+V364+W364+X364+Y364+Z364+AA364+AB364+AC364+AD364+AE364+AF364+AG364+AH364+AI364+AJ364+AK364+AL364+AM364+AN364+AO364</f>
        <v>5384078934</v>
      </c>
    </row>
    <row r="365" spans="1:42" s="28" customFormat="1" ht="66.75" customHeight="1" x14ac:dyDescent="0.25">
      <c r="A365" s="20"/>
      <c r="B365" s="20"/>
      <c r="C365" s="150">
        <v>19</v>
      </c>
      <c r="D365" s="151" t="s">
        <v>461</v>
      </c>
      <c r="E365" s="85" t="s">
        <v>462</v>
      </c>
      <c r="F365" s="85" t="s">
        <v>463</v>
      </c>
      <c r="G365" s="29"/>
      <c r="H365" s="152">
        <v>66</v>
      </c>
      <c r="I365" s="151" t="s">
        <v>464</v>
      </c>
      <c r="J365" s="58">
        <v>1</v>
      </c>
      <c r="K365" s="58">
        <v>1</v>
      </c>
      <c r="L365" s="988"/>
      <c r="M365" s="908"/>
      <c r="N365" s="894"/>
      <c r="O365" s="152" t="s">
        <v>44</v>
      </c>
      <c r="P365" s="26"/>
      <c r="Q365" s="26"/>
      <c r="R365" s="26"/>
      <c r="S365" s="26"/>
      <c r="T365" s="26"/>
      <c r="U365" s="26"/>
      <c r="V365" s="11">
        <v>2441444659</v>
      </c>
      <c r="W365" s="26"/>
      <c r="X365" s="26"/>
      <c r="Y365" s="26"/>
      <c r="Z365" s="26"/>
      <c r="AA365" s="26"/>
      <c r="AB365" s="26"/>
      <c r="AC365" s="26"/>
      <c r="AD365" s="26"/>
      <c r="AE365" s="129">
        <v>171253920</v>
      </c>
      <c r="AF365" s="87"/>
      <c r="AG365" s="26"/>
      <c r="AH365" s="26"/>
      <c r="AI365" s="26"/>
      <c r="AJ365" s="128">
        <v>6739972766</v>
      </c>
      <c r="AK365" s="26"/>
      <c r="AL365" s="115">
        <v>400000000</v>
      </c>
      <c r="AM365" s="11"/>
      <c r="AN365" s="26"/>
      <c r="AO365" s="27"/>
      <c r="AP365" s="26">
        <f>P365+Q365+R365+S365+T365+U365+V365+W365+X365+Y365+Z365+AA365+AB365+AC365+AD365+AE365+AF365+AG365+AH365+AI365+AJ365+AK365+AL365+AM365+AN365+AO365</f>
        <v>9752671345</v>
      </c>
    </row>
    <row r="366" spans="1:42" s="28" customFormat="1" ht="70.5" customHeight="1" x14ac:dyDescent="0.25">
      <c r="A366" s="20"/>
      <c r="B366" s="20"/>
      <c r="C366" s="150">
        <v>14</v>
      </c>
      <c r="D366" s="88" t="s">
        <v>465</v>
      </c>
      <c r="E366" s="85">
        <v>6.2E-2</v>
      </c>
      <c r="F366" s="85">
        <v>0.03</v>
      </c>
      <c r="G366" s="29"/>
      <c r="H366" s="152">
        <v>67</v>
      </c>
      <c r="I366" s="151" t="s">
        <v>466</v>
      </c>
      <c r="J366" s="58">
        <v>1</v>
      </c>
      <c r="K366" s="58">
        <v>1</v>
      </c>
      <c r="L366" s="989"/>
      <c r="M366" s="909"/>
      <c r="N366" s="895"/>
      <c r="O366" s="152" t="s">
        <v>44</v>
      </c>
      <c r="P366" s="26"/>
      <c r="Q366" s="26"/>
      <c r="R366" s="26"/>
      <c r="S366" s="26"/>
      <c r="T366" s="26"/>
      <c r="U366" s="26"/>
      <c r="V366" s="11">
        <v>1050600000</v>
      </c>
      <c r="W366" s="26"/>
      <c r="X366" s="26"/>
      <c r="Y366" s="26"/>
      <c r="Z366" s="26"/>
      <c r="AA366" s="26"/>
      <c r="AB366" s="26"/>
      <c r="AC366" s="26"/>
      <c r="AD366" s="26"/>
      <c r="AE366" s="26"/>
      <c r="AF366" s="26"/>
      <c r="AG366" s="26"/>
      <c r="AH366" s="26"/>
      <c r="AI366" s="26"/>
      <c r="AJ366" s="26"/>
      <c r="AK366" s="26"/>
      <c r="AL366" s="115"/>
      <c r="AM366" s="11"/>
      <c r="AN366" s="26"/>
      <c r="AO366" s="27"/>
      <c r="AP366" s="26">
        <f>P366+Q366+R366+S366+T366+U366+V366+W366+X366+Y366+Z366+AA366+AB366+AC366+AD366+AE366+AF366+AG366+AH366+AI366+AJ366+AK366+AL366+AM366+AN366+AO366</f>
        <v>1050600000</v>
      </c>
    </row>
    <row r="367" spans="1:42" s="196" customFormat="1" ht="15" x14ac:dyDescent="0.25">
      <c r="A367" s="20"/>
      <c r="B367" s="20"/>
      <c r="C367" s="150"/>
      <c r="D367" s="190"/>
      <c r="E367" s="85"/>
      <c r="F367" s="85"/>
      <c r="G367" s="191"/>
      <c r="H367" s="192"/>
      <c r="I367" s="191"/>
      <c r="J367" s="480"/>
      <c r="K367" s="480"/>
      <c r="L367" s="480"/>
      <c r="M367" s="194"/>
      <c r="N367" s="191"/>
      <c r="O367" s="192"/>
      <c r="P367" s="195">
        <f>SUM(P364:P366)</f>
        <v>0</v>
      </c>
      <c r="Q367" s="195">
        <f>SUM(Q364:Q366)</f>
        <v>0</v>
      </c>
      <c r="R367" s="195">
        <f>SUM(R364:R366)</f>
        <v>0</v>
      </c>
      <c r="S367" s="195">
        <f>SUM(S364:S366)</f>
        <v>0</v>
      </c>
      <c r="T367" s="195">
        <f>SUM(T364:T366)</f>
        <v>0</v>
      </c>
      <c r="U367" s="195">
        <f>SUM(U364:U366)</f>
        <v>0</v>
      </c>
      <c r="V367" s="195">
        <f>SUM(V364:V366)</f>
        <v>5214332034</v>
      </c>
      <c r="W367" s="195">
        <f>SUM(W364:W366)</f>
        <v>0</v>
      </c>
      <c r="X367" s="195">
        <f>SUM(X364:X366)</f>
        <v>0</v>
      </c>
      <c r="Y367" s="195">
        <f>SUM(Y364:Y366)</f>
        <v>0</v>
      </c>
      <c r="Z367" s="195">
        <f>SUM(Z364:Z366)</f>
        <v>0</v>
      </c>
      <c r="AA367" s="195"/>
      <c r="AB367" s="195">
        <f>SUM(AB364:AB366)</f>
        <v>0</v>
      </c>
      <c r="AC367" s="195">
        <f>SUM(AC364:AC366)</f>
        <v>0</v>
      </c>
      <c r="AD367" s="195">
        <f>SUM(AD364:AD366)</f>
        <v>0</v>
      </c>
      <c r="AE367" s="195">
        <f>SUM(AE364:AE366)</f>
        <v>171253920</v>
      </c>
      <c r="AF367" s="195"/>
      <c r="AG367" s="195">
        <f>SUM(AG364:AG366)</f>
        <v>6091354</v>
      </c>
      <c r="AH367" s="195">
        <f>SUM(AH364:AH366)</f>
        <v>0</v>
      </c>
      <c r="AI367" s="195">
        <f>SUM(AI364:AI366)</f>
        <v>0</v>
      </c>
      <c r="AJ367" s="195">
        <f>SUM(AJ364:AJ366)</f>
        <v>6739972766</v>
      </c>
      <c r="AK367" s="195">
        <f>SUM(AK364:AK366)</f>
        <v>0</v>
      </c>
      <c r="AL367" s="295">
        <f>SUM(AL364:AL366)</f>
        <v>4055700205</v>
      </c>
      <c r="AM367" s="195"/>
      <c r="AN367" s="195">
        <f>SUM(AN364:AN366)</f>
        <v>0</v>
      </c>
      <c r="AO367" s="195">
        <f>SUM(AO364:AO366)</f>
        <v>0</v>
      </c>
      <c r="AP367" s="195">
        <f>SUM(AP364:AP366)</f>
        <v>16187350279</v>
      </c>
    </row>
    <row r="368" spans="1:42" s="28" customFormat="1" ht="15" x14ac:dyDescent="0.25">
      <c r="A368" s="20"/>
      <c r="B368" s="20"/>
      <c r="C368" s="454"/>
      <c r="D368" s="214"/>
      <c r="E368" s="481"/>
      <c r="F368" s="481"/>
      <c r="G368" s="214"/>
      <c r="H368" s="454"/>
      <c r="I368" s="214"/>
      <c r="J368" s="482"/>
      <c r="K368" s="482"/>
      <c r="L368" s="483"/>
      <c r="M368" s="279"/>
      <c r="N368" s="265"/>
      <c r="O368" s="454"/>
      <c r="P368" s="217"/>
      <c r="Q368" s="217"/>
      <c r="R368" s="217"/>
      <c r="S368" s="217"/>
      <c r="T368" s="217"/>
      <c r="U368" s="217"/>
      <c r="V368" s="217"/>
      <c r="W368" s="217"/>
      <c r="X368" s="217"/>
      <c r="Y368" s="217"/>
      <c r="Z368" s="217"/>
      <c r="AA368" s="217"/>
      <c r="AB368" s="217"/>
      <c r="AC368" s="217"/>
      <c r="AD368" s="218"/>
      <c r="AE368" s="218"/>
      <c r="AF368" s="218"/>
      <c r="AG368" s="218"/>
      <c r="AH368" s="218"/>
      <c r="AI368" s="218"/>
      <c r="AJ368" s="217"/>
      <c r="AK368" s="217"/>
      <c r="AL368" s="219"/>
      <c r="AM368" s="220"/>
      <c r="AN368" s="217"/>
      <c r="AO368" s="217"/>
      <c r="AP368" s="217"/>
    </row>
    <row r="369" spans="1:42" s="196" customFormat="1" ht="15" x14ac:dyDescent="0.25">
      <c r="A369" s="20"/>
      <c r="B369" s="20"/>
      <c r="C369" s="150"/>
      <c r="D369" s="190"/>
      <c r="E369" s="85"/>
      <c r="F369" s="85"/>
      <c r="G369" s="410">
        <v>17</v>
      </c>
      <c r="H369" s="917" t="s">
        <v>467</v>
      </c>
      <c r="I369" s="917"/>
      <c r="J369" s="917"/>
      <c r="K369" s="917"/>
      <c r="L369" s="917"/>
      <c r="M369" s="917"/>
      <c r="N369" s="917"/>
      <c r="O369" s="917"/>
      <c r="P369" s="227"/>
      <c r="Q369" s="227"/>
      <c r="R369" s="227"/>
      <c r="S369" s="227"/>
      <c r="T369" s="227"/>
      <c r="U369" s="227"/>
      <c r="V369" s="227"/>
      <c r="W369" s="227"/>
      <c r="X369" s="227"/>
      <c r="Y369" s="227"/>
      <c r="Z369" s="227"/>
      <c r="AA369" s="227"/>
      <c r="AB369" s="227"/>
      <c r="AC369" s="227"/>
      <c r="AD369" s="484"/>
      <c r="AE369" s="484"/>
      <c r="AF369" s="484"/>
      <c r="AG369" s="484"/>
      <c r="AH369" s="484"/>
      <c r="AI369" s="484"/>
      <c r="AJ369" s="484"/>
      <c r="AK369" s="484"/>
      <c r="AL369" s="229"/>
      <c r="AM369" s="484"/>
      <c r="AN369" s="227"/>
      <c r="AO369" s="227"/>
      <c r="AP369" s="230"/>
    </row>
    <row r="370" spans="1:42" s="28" customFormat="1" ht="81" customHeight="1" x14ac:dyDescent="0.25">
      <c r="A370" s="20"/>
      <c r="B370" s="20"/>
      <c r="C370" s="150">
        <v>14</v>
      </c>
      <c r="D370" s="88" t="s">
        <v>465</v>
      </c>
      <c r="E370" s="85">
        <v>6.2E-2</v>
      </c>
      <c r="F370" s="85">
        <v>0.03</v>
      </c>
      <c r="G370" s="23"/>
      <c r="H370" s="152">
        <v>68</v>
      </c>
      <c r="I370" s="151" t="s">
        <v>468</v>
      </c>
      <c r="J370" s="58">
        <v>4357</v>
      </c>
      <c r="K370" s="89">
        <v>4500</v>
      </c>
      <c r="L370" s="990" t="s">
        <v>458</v>
      </c>
      <c r="M370" s="907" t="s">
        <v>469</v>
      </c>
      <c r="N370" s="893" t="s">
        <v>470</v>
      </c>
      <c r="O370" s="152" t="s">
        <v>44</v>
      </c>
      <c r="P370" s="26">
        <v>0</v>
      </c>
      <c r="Q370" s="26">
        <v>0</v>
      </c>
      <c r="R370" s="26">
        <v>0</v>
      </c>
      <c r="S370" s="26">
        <v>0</v>
      </c>
      <c r="T370" s="26">
        <v>0</v>
      </c>
      <c r="U370" s="26">
        <v>0</v>
      </c>
      <c r="V370" s="26">
        <v>0</v>
      </c>
      <c r="W370" s="26"/>
      <c r="X370" s="26"/>
      <c r="Y370" s="26"/>
      <c r="Z370" s="26">
        <v>0</v>
      </c>
      <c r="AA370" s="26"/>
      <c r="AB370" s="26">
        <v>0</v>
      </c>
      <c r="AC370" s="26">
        <v>0</v>
      </c>
      <c r="AD370" s="78"/>
      <c r="AE370" s="78"/>
      <c r="AF370" s="78"/>
      <c r="AG370" s="78"/>
      <c r="AH370" s="78"/>
      <c r="AI370" s="78"/>
      <c r="AJ370" s="26">
        <v>0</v>
      </c>
      <c r="AK370" s="26">
        <v>0</v>
      </c>
      <c r="AL370" s="116">
        <v>10000000</v>
      </c>
      <c r="AM370" s="42"/>
      <c r="AN370" s="26">
        <v>0</v>
      </c>
      <c r="AO370" s="27">
        <v>0</v>
      </c>
      <c r="AP370" s="26">
        <f>P370+Q370+R370+S370+T370+U370+V370+W370+X370+Y370+Z370+AA370+AB370+AC370+AD370+AE370+AF370+AG370+AH370+AI370+AJ370+AK370+AL370+AM370+AN370+AO370</f>
        <v>10000000</v>
      </c>
    </row>
    <row r="371" spans="1:42" s="28" customFormat="1" ht="78.75" customHeight="1" x14ac:dyDescent="0.25">
      <c r="A371" s="20"/>
      <c r="B371" s="20"/>
      <c r="C371" s="150">
        <v>15</v>
      </c>
      <c r="D371" s="151" t="s">
        <v>456</v>
      </c>
      <c r="E371" s="85">
        <v>0.73229999999999995</v>
      </c>
      <c r="F371" s="85">
        <v>0.78</v>
      </c>
      <c r="G371" s="29"/>
      <c r="H371" s="152">
        <v>69</v>
      </c>
      <c r="I371" s="151" t="s">
        <v>471</v>
      </c>
      <c r="J371" s="85" t="s">
        <v>36</v>
      </c>
      <c r="K371" s="89">
        <v>1</v>
      </c>
      <c r="L371" s="991"/>
      <c r="M371" s="908"/>
      <c r="N371" s="894"/>
      <c r="O371" s="152" t="s">
        <v>44</v>
      </c>
      <c r="P371" s="26">
        <v>0</v>
      </c>
      <c r="Q371" s="26">
        <v>0</v>
      </c>
      <c r="R371" s="26">
        <v>0</v>
      </c>
      <c r="S371" s="26">
        <v>0</v>
      </c>
      <c r="T371" s="26">
        <v>0</v>
      </c>
      <c r="U371" s="26">
        <v>0</v>
      </c>
      <c r="V371" s="26">
        <v>0</v>
      </c>
      <c r="W371" s="26"/>
      <c r="X371" s="26"/>
      <c r="Y371" s="26"/>
      <c r="Z371" s="26">
        <v>0</v>
      </c>
      <c r="AA371" s="26"/>
      <c r="AB371" s="26">
        <v>0</v>
      </c>
      <c r="AC371" s="26">
        <v>0</v>
      </c>
      <c r="AD371" s="78"/>
      <c r="AE371" s="78"/>
      <c r="AF371" s="78"/>
      <c r="AG371" s="78"/>
      <c r="AH371" s="78"/>
      <c r="AI371" s="78"/>
      <c r="AJ371" s="26">
        <v>0</v>
      </c>
      <c r="AK371" s="26">
        <v>0</v>
      </c>
      <c r="AL371" s="116">
        <v>10000000</v>
      </c>
      <c r="AM371" s="42"/>
      <c r="AN371" s="26">
        <v>0</v>
      </c>
      <c r="AO371" s="27">
        <v>0</v>
      </c>
      <c r="AP371" s="26">
        <f>P371+Q371+R371+S371+T371+U371+V371+W371+X371+Y371+Z371+AA371+AB371+AC371+AD371+AE371+AF371+AG371+AH371+AI371+AJ371+AK371+AL371+AM371+AN371+AO371</f>
        <v>10000000</v>
      </c>
    </row>
    <row r="372" spans="1:42" s="28" customFormat="1" ht="107.25" customHeight="1" x14ac:dyDescent="0.25">
      <c r="A372" s="20"/>
      <c r="B372" s="20"/>
      <c r="C372" s="150">
        <v>19</v>
      </c>
      <c r="D372" s="151" t="s">
        <v>461</v>
      </c>
      <c r="E372" s="85" t="s">
        <v>472</v>
      </c>
      <c r="F372" s="85" t="s">
        <v>473</v>
      </c>
      <c r="G372" s="29"/>
      <c r="H372" s="152">
        <v>70</v>
      </c>
      <c r="I372" s="151" t="s">
        <v>474</v>
      </c>
      <c r="J372" s="58">
        <v>322</v>
      </c>
      <c r="K372" s="89">
        <v>406</v>
      </c>
      <c r="L372" s="991"/>
      <c r="M372" s="908"/>
      <c r="N372" s="894"/>
      <c r="O372" s="152" t="s">
        <v>40</v>
      </c>
      <c r="P372" s="26">
        <v>0</v>
      </c>
      <c r="Q372" s="26">
        <v>0</v>
      </c>
      <c r="R372" s="26">
        <v>0</v>
      </c>
      <c r="S372" s="26">
        <v>0</v>
      </c>
      <c r="T372" s="26">
        <v>0</v>
      </c>
      <c r="U372" s="26">
        <v>0</v>
      </c>
      <c r="V372" s="26">
        <v>0</v>
      </c>
      <c r="W372" s="26"/>
      <c r="X372" s="26"/>
      <c r="Y372" s="26"/>
      <c r="Z372" s="26">
        <v>0</v>
      </c>
      <c r="AA372" s="26"/>
      <c r="AB372" s="26">
        <v>0</v>
      </c>
      <c r="AC372" s="26">
        <v>0</v>
      </c>
      <c r="AD372" s="26"/>
      <c r="AE372" s="26"/>
      <c r="AF372" s="26"/>
      <c r="AG372" s="26"/>
      <c r="AH372" s="26"/>
      <c r="AI372" s="26"/>
      <c r="AJ372" s="26">
        <v>0</v>
      </c>
      <c r="AK372" s="26">
        <v>0</v>
      </c>
      <c r="AL372" s="116">
        <v>20000000</v>
      </c>
      <c r="AM372" s="42"/>
      <c r="AN372" s="26">
        <v>0</v>
      </c>
      <c r="AO372" s="27">
        <v>0</v>
      </c>
      <c r="AP372" s="26">
        <f>P372+Q372+R372+S372+T372+U372+V372+W372+X372+Y372+Z372+AA372+AB372+AC372+AD372+AE372+AF372+AG372+AH372+AI372+AJ372+AK372+AL372+AM372+AN372+AO372</f>
        <v>20000000</v>
      </c>
    </row>
    <row r="373" spans="1:42" s="28" customFormat="1" ht="71.25" x14ac:dyDescent="0.25">
      <c r="A373" s="20"/>
      <c r="B373" s="20"/>
      <c r="C373" s="150">
        <v>35</v>
      </c>
      <c r="D373" s="88" t="s">
        <v>475</v>
      </c>
      <c r="E373" s="58">
        <v>23000</v>
      </c>
      <c r="F373" s="58">
        <v>24000</v>
      </c>
      <c r="G373" s="29"/>
      <c r="H373" s="152">
        <v>71</v>
      </c>
      <c r="I373" s="151" t="s">
        <v>476</v>
      </c>
      <c r="J373" s="58">
        <v>1762</v>
      </c>
      <c r="K373" s="89">
        <v>2166</v>
      </c>
      <c r="L373" s="991"/>
      <c r="M373" s="908"/>
      <c r="N373" s="894"/>
      <c r="O373" s="152" t="s">
        <v>40</v>
      </c>
      <c r="P373" s="26">
        <v>0</v>
      </c>
      <c r="Q373" s="26">
        <v>0</v>
      </c>
      <c r="R373" s="26">
        <v>0</v>
      </c>
      <c r="S373" s="26">
        <v>0</v>
      </c>
      <c r="T373" s="26">
        <v>0</v>
      </c>
      <c r="U373" s="26">
        <v>0</v>
      </c>
      <c r="V373" s="26">
        <v>0</v>
      </c>
      <c r="W373" s="26"/>
      <c r="X373" s="26"/>
      <c r="Y373" s="26"/>
      <c r="Z373" s="26">
        <v>0</v>
      </c>
      <c r="AA373" s="26"/>
      <c r="AB373" s="26">
        <v>0</v>
      </c>
      <c r="AC373" s="26">
        <v>0</v>
      </c>
      <c r="AD373" s="26"/>
      <c r="AE373" s="26"/>
      <c r="AF373" s="26"/>
      <c r="AG373" s="26"/>
      <c r="AH373" s="26"/>
      <c r="AI373" s="26"/>
      <c r="AJ373" s="26">
        <v>0</v>
      </c>
      <c r="AK373" s="26">
        <v>0</v>
      </c>
      <c r="AL373" s="119"/>
      <c r="AM373" s="90"/>
      <c r="AN373" s="26">
        <v>0</v>
      </c>
      <c r="AO373" s="27">
        <v>0</v>
      </c>
      <c r="AP373" s="26">
        <f>P373+Q373+R373+S373+T373+U373+V373+W373+X373+Y373+Z373+AA373+AB373+AC373+AD373+AE373+AF373+AG373+AH373+AI373+AJ373+AK373+AL373+AM373+AN373+AO373</f>
        <v>0</v>
      </c>
    </row>
    <row r="374" spans="1:42" s="28" customFormat="1" ht="99.75" x14ac:dyDescent="0.25">
      <c r="A374" s="20"/>
      <c r="B374" s="20"/>
      <c r="C374" s="150"/>
      <c r="D374" s="88"/>
      <c r="E374" s="91"/>
      <c r="F374" s="91"/>
      <c r="G374" s="29"/>
      <c r="H374" s="152">
        <v>72</v>
      </c>
      <c r="I374" s="151" t="s">
        <v>477</v>
      </c>
      <c r="J374" s="58">
        <v>455</v>
      </c>
      <c r="K374" s="89">
        <v>455</v>
      </c>
      <c r="L374" s="991"/>
      <c r="M374" s="908"/>
      <c r="N374" s="894"/>
      <c r="O374" s="152" t="s">
        <v>44</v>
      </c>
      <c r="P374" s="26">
        <v>0</v>
      </c>
      <c r="Q374" s="26">
        <v>0</v>
      </c>
      <c r="R374" s="26">
        <v>0</v>
      </c>
      <c r="S374" s="26">
        <v>0</v>
      </c>
      <c r="T374" s="26">
        <v>0</v>
      </c>
      <c r="U374" s="26">
        <v>0</v>
      </c>
      <c r="V374" s="26">
        <v>0</v>
      </c>
      <c r="W374" s="26"/>
      <c r="X374" s="26"/>
      <c r="Y374" s="26"/>
      <c r="Z374" s="26">
        <v>0</v>
      </c>
      <c r="AA374" s="26"/>
      <c r="AB374" s="26">
        <v>0</v>
      </c>
      <c r="AC374" s="26">
        <v>0</v>
      </c>
      <c r="AD374" s="26"/>
      <c r="AE374" s="26"/>
      <c r="AF374" s="26"/>
      <c r="AG374" s="26"/>
      <c r="AH374" s="26"/>
      <c r="AI374" s="26"/>
      <c r="AJ374" s="26">
        <v>0</v>
      </c>
      <c r="AK374" s="26">
        <v>0</v>
      </c>
      <c r="AL374" s="116">
        <v>10000000</v>
      </c>
      <c r="AM374" s="42"/>
      <c r="AN374" s="26">
        <v>0</v>
      </c>
      <c r="AO374" s="27">
        <v>0</v>
      </c>
      <c r="AP374" s="26">
        <f>P374+Q374+R374+S374+T374+U374+V374+W374+X374+Y374+Z374+AA374+AB374+AC374+AD374+AE374+AF374+AG374+AH374+AI374+AJ374+AK374+AL374+AM374+AN374+AO374</f>
        <v>10000000</v>
      </c>
    </row>
    <row r="375" spans="1:42" s="28" customFormat="1" ht="84.75" customHeight="1" x14ac:dyDescent="0.25">
      <c r="A375" s="20"/>
      <c r="B375" s="20"/>
      <c r="C375" s="150"/>
      <c r="D375" s="88"/>
      <c r="E375" s="91"/>
      <c r="F375" s="85" t="s">
        <v>0</v>
      </c>
      <c r="G375" s="31"/>
      <c r="H375" s="152">
        <v>73</v>
      </c>
      <c r="I375" s="151" t="s">
        <v>478</v>
      </c>
      <c r="J375" s="58" t="s">
        <v>36</v>
      </c>
      <c r="K375" s="32">
        <v>1</v>
      </c>
      <c r="L375" s="992"/>
      <c r="M375" s="909"/>
      <c r="N375" s="895"/>
      <c r="O375" s="152" t="s">
        <v>44</v>
      </c>
      <c r="P375" s="26">
        <v>0</v>
      </c>
      <c r="Q375" s="26">
        <v>0</v>
      </c>
      <c r="R375" s="26">
        <v>0</v>
      </c>
      <c r="S375" s="26">
        <v>0</v>
      </c>
      <c r="T375" s="26">
        <v>0</v>
      </c>
      <c r="U375" s="26">
        <v>0</v>
      </c>
      <c r="V375" s="26">
        <v>0</v>
      </c>
      <c r="W375" s="26"/>
      <c r="X375" s="26"/>
      <c r="Y375" s="26"/>
      <c r="Z375" s="26">
        <v>0</v>
      </c>
      <c r="AA375" s="26"/>
      <c r="AB375" s="26">
        <v>0</v>
      </c>
      <c r="AC375" s="26">
        <v>0</v>
      </c>
      <c r="AD375" s="26"/>
      <c r="AE375" s="78"/>
      <c r="AF375" s="78"/>
      <c r="AG375" s="26"/>
      <c r="AH375" s="129">
        <v>1186000000</v>
      </c>
      <c r="AI375" s="26"/>
      <c r="AJ375" s="26">
        <v>0</v>
      </c>
      <c r="AK375" s="26">
        <v>0</v>
      </c>
      <c r="AL375" s="113">
        <v>0</v>
      </c>
      <c r="AM375" s="39"/>
      <c r="AN375" s="26">
        <v>0</v>
      </c>
      <c r="AO375" s="27">
        <v>0</v>
      </c>
      <c r="AP375" s="26">
        <f>P375+Q375+R375+S375+T375+U375+V375+W375+X375+Y375+Z375+AA375+AB375+AC375+AD375+AE375+AF375+AG375+AH375+AI375+AJ375+AK375+AL375+AM375+AN375+AO375</f>
        <v>1186000000</v>
      </c>
    </row>
    <row r="376" spans="1:42" s="196" customFormat="1" ht="15" x14ac:dyDescent="0.25">
      <c r="A376" s="20"/>
      <c r="B376" s="20"/>
      <c r="C376" s="150"/>
      <c r="D376" s="190"/>
      <c r="E376" s="85"/>
      <c r="F376" s="85"/>
      <c r="G376" s="191"/>
      <c r="H376" s="192"/>
      <c r="I376" s="191"/>
      <c r="J376" s="480"/>
      <c r="K376" s="480"/>
      <c r="L376" s="480"/>
      <c r="M376" s="194"/>
      <c r="N376" s="191"/>
      <c r="O376" s="192"/>
      <c r="P376" s="195">
        <f>SUM(P370:P375)</f>
        <v>0</v>
      </c>
      <c r="Q376" s="195">
        <f>SUM(Q370:Q375)</f>
        <v>0</v>
      </c>
      <c r="R376" s="195">
        <f>SUM(R370:R375)</f>
        <v>0</v>
      </c>
      <c r="S376" s="195">
        <f>SUM(S370:S375)</f>
        <v>0</v>
      </c>
      <c r="T376" s="195">
        <f>SUM(T370:T375)</f>
        <v>0</v>
      </c>
      <c r="U376" s="195">
        <f>SUM(U370:U375)</f>
        <v>0</v>
      </c>
      <c r="V376" s="195">
        <f>SUM(V370:V375)</f>
        <v>0</v>
      </c>
      <c r="W376" s="195">
        <f>SUM(W370:W375)</f>
        <v>0</v>
      </c>
      <c r="X376" s="195">
        <f>SUM(X370:X375)</f>
        <v>0</v>
      </c>
      <c r="Y376" s="195">
        <f>SUM(Y370:Y375)</f>
        <v>0</v>
      </c>
      <c r="Z376" s="195">
        <f>SUM(Z370:Z375)</f>
        <v>0</v>
      </c>
      <c r="AA376" s="195"/>
      <c r="AB376" s="195">
        <f>SUM(AB370:AB375)</f>
        <v>0</v>
      </c>
      <c r="AC376" s="195">
        <f>SUM(AC370:AC375)</f>
        <v>0</v>
      </c>
      <c r="AD376" s="195">
        <f>SUM(AD370:AD375)</f>
        <v>0</v>
      </c>
      <c r="AE376" s="195">
        <f>SUM(AE370:AE375)</f>
        <v>0</v>
      </c>
      <c r="AF376" s="195"/>
      <c r="AG376" s="195">
        <f>SUM(AG370:AG375)</f>
        <v>0</v>
      </c>
      <c r="AH376" s="195">
        <f>SUM(AH370:AH375)</f>
        <v>1186000000</v>
      </c>
      <c r="AI376" s="195">
        <f>SUM(AI370:AI375)</f>
        <v>0</v>
      </c>
      <c r="AJ376" s="195">
        <f>SUM(AJ370:AJ375)</f>
        <v>0</v>
      </c>
      <c r="AK376" s="195">
        <f>SUM(AK370:AK375)</f>
        <v>0</v>
      </c>
      <c r="AL376" s="295">
        <f>SUM(AL370:AL375)</f>
        <v>50000000</v>
      </c>
      <c r="AM376" s="195"/>
      <c r="AN376" s="195">
        <f>SUM(AN370:AN375)</f>
        <v>0</v>
      </c>
      <c r="AO376" s="195">
        <f>SUM(AO370:AO375)</f>
        <v>0</v>
      </c>
      <c r="AP376" s="195">
        <f>SUM(AP370:AP375)</f>
        <v>1236000000</v>
      </c>
    </row>
    <row r="377" spans="1:42" s="28" customFormat="1" ht="15" x14ac:dyDescent="0.25">
      <c r="A377" s="20"/>
      <c r="B377" s="20"/>
      <c r="C377" s="454"/>
      <c r="D377" s="214"/>
      <c r="E377" s="481"/>
      <c r="F377" s="481"/>
      <c r="G377" s="214"/>
      <c r="H377" s="454"/>
      <c r="I377" s="214"/>
      <c r="J377" s="482"/>
      <c r="K377" s="482"/>
      <c r="L377" s="482"/>
      <c r="M377" s="216"/>
      <c r="N377" s="214"/>
      <c r="O377" s="454"/>
      <c r="P377" s="217"/>
      <c r="Q377" s="217"/>
      <c r="R377" s="217"/>
      <c r="S377" s="217"/>
      <c r="T377" s="217"/>
      <c r="U377" s="217"/>
      <c r="V377" s="217"/>
      <c r="W377" s="217"/>
      <c r="X377" s="217"/>
      <c r="Y377" s="217"/>
      <c r="Z377" s="217"/>
      <c r="AA377" s="217"/>
      <c r="AB377" s="217"/>
      <c r="AC377" s="217"/>
      <c r="AD377" s="218"/>
      <c r="AE377" s="218"/>
      <c r="AF377" s="218"/>
      <c r="AG377" s="218"/>
      <c r="AH377" s="218"/>
      <c r="AI377" s="218"/>
      <c r="AJ377" s="217"/>
      <c r="AK377" s="217"/>
      <c r="AL377" s="219"/>
      <c r="AM377" s="217"/>
      <c r="AN377" s="217"/>
      <c r="AO377" s="217"/>
      <c r="AP377" s="217"/>
    </row>
    <row r="378" spans="1:42" s="196" customFormat="1" ht="15" x14ac:dyDescent="0.25">
      <c r="A378" s="20"/>
      <c r="B378" s="20"/>
      <c r="C378" s="150"/>
      <c r="D378" s="190"/>
      <c r="E378" s="85"/>
      <c r="F378" s="85"/>
      <c r="G378" s="308">
        <v>18</v>
      </c>
      <c r="H378" s="986" t="s">
        <v>895</v>
      </c>
      <c r="I378" s="904"/>
      <c r="J378" s="904"/>
      <c r="K378" s="904"/>
      <c r="L378" s="904"/>
      <c r="M378" s="904"/>
      <c r="N378" s="904"/>
      <c r="O378" s="904"/>
      <c r="P378" s="904"/>
      <c r="Q378" s="227"/>
      <c r="R378" s="227"/>
      <c r="S378" s="227"/>
      <c r="T378" s="227"/>
      <c r="U378" s="227"/>
      <c r="V378" s="227"/>
      <c r="W378" s="227"/>
      <c r="X378" s="227"/>
      <c r="Y378" s="227"/>
      <c r="Z378" s="227"/>
      <c r="AA378" s="227"/>
      <c r="AB378" s="227"/>
      <c r="AC378" s="227"/>
      <c r="AD378" s="227"/>
      <c r="AE378" s="227"/>
      <c r="AF378" s="227"/>
      <c r="AG378" s="227"/>
      <c r="AH378" s="227"/>
      <c r="AI378" s="227"/>
      <c r="AJ378" s="227"/>
      <c r="AK378" s="227"/>
      <c r="AL378" s="229"/>
      <c r="AM378" s="227"/>
      <c r="AN378" s="227"/>
      <c r="AO378" s="227"/>
      <c r="AP378" s="485"/>
    </row>
    <row r="379" spans="1:42" s="28" customFormat="1" ht="115.5" customHeight="1" x14ac:dyDescent="0.25">
      <c r="A379" s="20"/>
      <c r="B379" s="20"/>
      <c r="C379" s="150" t="s">
        <v>479</v>
      </c>
      <c r="D379" s="151" t="s">
        <v>480</v>
      </c>
      <c r="E379" s="85" t="s">
        <v>481</v>
      </c>
      <c r="F379" s="85" t="s">
        <v>482</v>
      </c>
      <c r="G379" s="23"/>
      <c r="H379" s="152">
        <v>74</v>
      </c>
      <c r="I379" s="151" t="s">
        <v>483</v>
      </c>
      <c r="J379" s="58">
        <v>2232</v>
      </c>
      <c r="K379" s="58">
        <v>2232</v>
      </c>
      <c r="L379" s="486" t="s">
        <v>458</v>
      </c>
      <c r="M379" s="38" t="s">
        <v>484</v>
      </c>
      <c r="N379" s="151" t="s">
        <v>485</v>
      </c>
      <c r="O379" s="152" t="s">
        <v>44</v>
      </c>
      <c r="P379" s="26">
        <v>0</v>
      </c>
      <c r="Q379" s="26">
        <v>0</v>
      </c>
      <c r="R379" s="26">
        <v>0</v>
      </c>
      <c r="S379" s="26">
        <v>0</v>
      </c>
      <c r="T379" s="26">
        <v>0</v>
      </c>
      <c r="U379" s="26">
        <v>0</v>
      </c>
      <c r="V379" s="26">
        <v>0</v>
      </c>
      <c r="W379" s="26"/>
      <c r="X379" s="26"/>
      <c r="Y379" s="26"/>
      <c r="Z379" s="26">
        <v>0</v>
      </c>
      <c r="AA379" s="26"/>
      <c r="AB379" s="26">
        <v>0</v>
      </c>
      <c r="AC379" s="26">
        <v>0</v>
      </c>
      <c r="AD379" s="661">
        <v>104835324449</v>
      </c>
      <c r="AE379" s="820">
        <v>1486256547</v>
      </c>
      <c r="AF379" s="487">
        <v>250000000</v>
      </c>
      <c r="AG379" s="487"/>
      <c r="AH379" s="487"/>
      <c r="AI379" s="487"/>
      <c r="AJ379" s="26">
        <v>0</v>
      </c>
      <c r="AK379" s="26">
        <v>0</v>
      </c>
      <c r="AL379" s="113">
        <v>0</v>
      </c>
      <c r="AM379" s="39"/>
      <c r="AN379" s="26">
        <v>0</v>
      </c>
      <c r="AO379" s="27">
        <v>0</v>
      </c>
      <c r="AP379" s="26">
        <f>P379+Q379+R379+S379+T379+U379+V379+W379+X379+Y379+Z379+AA379+AB379+AC379+AD379+AE379+AF379+AG379+AH379+AI379+AJ379+AK379+AL379+AM379+AN379+AO379</f>
        <v>106571580996</v>
      </c>
    </row>
    <row r="380" spans="1:42" s="196" customFormat="1" ht="15" x14ac:dyDescent="0.25">
      <c r="A380" s="20"/>
      <c r="B380" s="189"/>
      <c r="C380" s="150"/>
      <c r="D380" s="190"/>
      <c r="E380" s="85"/>
      <c r="F380" s="85"/>
      <c r="G380" s="191"/>
      <c r="H380" s="192"/>
      <c r="I380" s="191"/>
      <c r="J380" s="480"/>
      <c r="K380" s="480"/>
      <c r="L380" s="480"/>
      <c r="M380" s="194"/>
      <c r="N380" s="192"/>
      <c r="O380" s="192"/>
      <c r="P380" s="195">
        <f t="shared" ref="P380:AK380" si="140">SUM(P379:P379)</f>
        <v>0</v>
      </c>
      <c r="Q380" s="195">
        <f t="shared" si="140"/>
        <v>0</v>
      </c>
      <c r="R380" s="195">
        <f t="shared" si="140"/>
        <v>0</v>
      </c>
      <c r="S380" s="195">
        <f t="shared" si="140"/>
        <v>0</v>
      </c>
      <c r="T380" s="195">
        <f t="shared" si="140"/>
        <v>0</v>
      </c>
      <c r="U380" s="195">
        <f t="shared" si="140"/>
        <v>0</v>
      </c>
      <c r="V380" s="195">
        <f t="shared" si="140"/>
        <v>0</v>
      </c>
      <c r="W380" s="195">
        <f t="shared" si="140"/>
        <v>0</v>
      </c>
      <c r="X380" s="195">
        <f t="shared" si="140"/>
        <v>0</v>
      </c>
      <c r="Y380" s="195">
        <f t="shared" si="140"/>
        <v>0</v>
      </c>
      <c r="Z380" s="195">
        <f t="shared" si="140"/>
        <v>0</v>
      </c>
      <c r="AA380" s="195"/>
      <c r="AB380" s="195">
        <f t="shared" si="140"/>
        <v>0</v>
      </c>
      <c r="AC380" s="195">
        <f t="shared" si="140"/>
        <v>0</v>
      </c>
      <c r="AD380" s="195">
        <f t="shared" si="140"/>
        <v>104835324449</v>
      </c>
      <c r="AE380" s="195">
        <f t="shared" si="140"/>
        <v>1486256547</v>
      </c>
      <c r="AF380" s="195">
        <f t="shared" si="140"/>
        <v>250000000</v>
      </c>
      <c r="AG380" s="195">
        <f t="shared" si="140"/>
        <v>0</v>
      </c>
      <c r="AH380" s="195">
        <f t="shared" si="140"/>
        <v>0</v>
      </c>
      <c r="AI380" s="195">
        <f t="shared" si="140"/>
        <v>0</v>
      </c>
      <c r="AJ380" s="195">
        <f t="shared" si="140"/>
        <v>0</v>
      </c>
      <c r="AK380" s="195">
        <f t="shared" si="140"/>
        <v>0</v>
      </c>
      <c r="AL380" s="195">
        <f t="shared" ref="AL380:AP380" si="141">SUM(AL379:AL379)</f>
        <v>0</v>
      </c>
      <c r="AM380" s="195">
        <f t="shared" si="141"/>
        <v>0</v>
      </c>
      <c r="AN380" s="195">
        <f t="shared" si="141"/>
        <v>0</v>
      </c>
      <c r="AO380" s="195">
        <f t="shared" si="141"/>
        <v>0</v>
      </c>
      <c r="AP380" s="195">
        <f t="shared" si="141"/>
        <v>106571580996</v>
      </c>
    </row>
    <row r="381" spans="1:42" s="196" customFormat="1" ht="15" x14ac:dyDescent="0.25">
      <c r="A381" s="20"/>
      <c r="B381" s="260"/>
      <c r="C381" s="199"/>
      <c r="D381" s="198"/>
      <c r="E381" s="488"/>
      <c r="F381" s="488"/>
      <c r="G381" s="198"/>
      <c r="H381" s="199"/>
      <c r="I381" s="198"/>
      <c r="J381" s="489"/>
      <c r="K381" s="489"/>
      <c r="L381" s="489"/>
      <c r="M381" s="201"/>
      <c r="N381" s="198"/>
      <c r="O381" s="199"/>
      <c r="P381" s="202">
        <f t="shared" ref="P381:AK381" si="142">P380+P376+P367</f>
        <v>0</v>
      </c>
      <c r="Q381" s="202">
        <f t="shared" si="142"/>
        <v>0</v>
      </c>
      <c r="R381" s="202">
        <f t="shared" si="142"/>
        <v>0</v>
      </c>
      <c r="S381" s="202">
        <f t="shared" si="142"/>
        <v>0</v>
      </c>
      <c r="T381" s="202">
        <f t="shared" si="142"/>
        <v>0</v>
      </c>
      <c r="U381" s="202">
        <f t="shared" si="142"/>
        <v>0</v>
      </c>
      <c r="V381" s="202">
        <f t="shared" si="142"/>
        <v>5214332034</v>
      </c>
      <c r="W381" s="202">
        <f t="shared" si="142"/>
        <v>0</v>
      </c>
      <c r="X381" s="202">
        <f t="shared" si="142"/>
        <v>0</v>
      </c>
      <c r="Y381" s="202">
        <f t="shared" si="142"/>
        <v>0</v>
      </c>
      <c r="Z381" s="202">
        <f t="shared" si="142"/>
        <v>0</v>
      </c>
      <c r="AA381" s="202"/>
      <c r="AB381" s="202">
        <f t="shared" si="142"/>
        <v>0</v>
      </c>
      <c r="AC381" s="202">
        <f t="shared" si="142"/>
        <v>0</v>
      </c>
      <c r="AD381" s="202">
        <f t="shared" si="142"/>
        <v>104835324449</v>
      </c>
      <c r="AE381" s="202">
        <f t="shared" si="142"/>
        <v>1657510467</v>
      </c>
      <c r="AF381" s="202">
        <f t="shared" si="142"/>
        <v>250000000</v>
      </c>
      <c r="AG381" s="202">
        <f t="shared" si="142"/>
        <v>6091354</v>
      </c>
      <c r="AH381" s="202">
        <f t="shared" si="142"/>
        <v>1186000000</v>
      </c>
      <c r="AI381" s="202">
        <f t="shared" si="142"/>
        <v>0</v>
      </c>
      <c r="AJ381" s="202">
        <f t="shared" si="142"/>
        <v>6739972766</v>
      </c>
      <c r="AK381" s="202">
        <f t="shared" si="142"/>
        <v>0</v>
      </c>
      <c r="AL381" s="202">
        <f t="shared" ref="AL381:AP381" si="143">AL380+AL376+AL367</f>
        <v>4105700205</v>
      </c>
      <c r="AM381" s="202">
        <f t="shared" si="143"/>
        <v>0</v>
      </c>
      <c r="AN381" s="202">
        <f t="shared" si="143"/>
        <v>0</v>
      </c>
      <c r="AO381" s="202">
        <f t="shared" si="143"/>
        <v>0</v>
      </c>
      <c r="AP381" s="202">
        <f t="shared" si="143"/>
        <v>123994931275</v>
      </c>
    </row>
    <row r="382" spans="1:42" s="28" customFormat="1" ht="15" x14ac:dyDescent="0.25">
      <c r="A382" s="20"/>
      <c r="B382" s="214"/>
      <c r="C382" s="454"/>
      <c r="D382" s="214"/>
      <c r="E382" s="481"/>
      <c r="F382" s="481"/>
      <c r="G382" s="214"/>
      <c r="H382" s="454"/>
      <c r="I382" s="214"/>
      <c r="J382" s="482"/>
      <c r="K382" s="482"/>
      <c r="L382" s="483"/>
      <c r="M382" s="279"/>
      <c r="N382" s="265"/>
      <c r="O382" s="454"/>
      <c r="P382" s="217"/>
      <c r="Q382" s="217"/>
      <c r="R382" s="217"/>
      <c r="S382" s="217"/>
      <c r="T382" s="217"/>
      <c r="U382" s="217"/>
      <c r="V382" s="108"/>
      <c r="W382" s="217"/>
      <c r="X382" s="217"/>
      <c r="Y382" s="217"/>
      <c r="Z382" s="217"/>
      <c r="AA382" s="217"/>
      <c r="AB382" s="217"/>
      <c r="AC382" s="217"/>
      <c r="AD382" s="218"/>
      <c r="AE382" s="218"/>
      <c r="AF382" s="218"/>
      <c r="AG382" s="218"/>
      <c r="AH382" s="218"/>
      <c r="AI382" s="218"/>
      <c r="AJ382" s="217"/>
      <c r="AK382" s="217"/>
      <c r="AL382" s="346"/>
      <c r="AM382" s="108"/>
      <c r="AN382" s="217"/>
      <c r="AO382" s="217"/>
      <c r="AP382" s="217"/>
    </row>
    <row r="383" spans="1:42" s="28" customFormat="1" x14ac:dyDescent="0.25">
      <c r="A383" s="20"/>
      <c r="B383" s="291">
        <v>6</v>
      </c>
      <c r="C383" s="181" t="s">
        <v>486</v>
      </c>
      <c r="D383" s="182"/>
      <c r="E383" s="182"/>
      <c r="F383" s="182"/>
      <c r="G383" s="182"/>
      <c r="H383" s="183"/>
      <c r="I383" s="182"/>
      <c r="J383" s="182"/>
      <c r="K383" s="182"/>
      <c r="L383" s="182"/>
      <c r="M383" s="184"/>
      <c r="N383" s="182"/>
      <c r="O383" s="182"/>
      <c r="P383" s="182"/>
      <c r="Q383" s="182"/>
      <c r="R383" s="182"/>
      <c r="S383" s="182"/>
      <c r="T383" s="182"/>
      <c r="U383" s="182"/>
      <c r="V383" s="182"/>
      <c r="W383" s="182"/>
      <c r="X383" s="182"/>
      <c r="Y383" s="182"/>
      <c r="Z383" s="182"/>
      <c r="AA383" s="182"/>
      <c r="AB383" s="182"/>
      <c r="AC383" s="182"/>
      <c r="AD383" s="182"/>
      <c r="AE383" s="182"/>
      <c r="AF383" s="182"/>
      <c r="AG383" s="182"/>
      <c r="AH383" s="182"/>
      <c r="AI383" s="182"/>
      <c r="AJ383" s="182"/>
      <c r="AK383" s="182"/>
      <c r="AL383" s="185"/>
      <c r="AM383" s="182"/>
      <c r="AN383" s="182"/>
      <c r="AO383" s="182"/>
      <c r="AP383" s="186"/>
    </row>
    <row r="384" spans="1:42" s="28" customFormat="1" ht="15" x14ac:dyDescent="0.25">
      <c r="A384" s="20"/>
      <c r="B384" s="223"/>
      <c r="C384" s="153"/>
      <c r="D384" s="265"/>
      <c r="E384" s="153"/>
      <c r="F384" s="143"/>
      <c r="G384" s="490">
        <v>19</v>
      </c>
      <c r="H384" s="904" t="s">
        <v>487</v>
      </c>
      <c r="I384" s="904"/>
      <c r="J384" s="904"/>
      <c r="K384" s="904"/>
      <c r="L384" s="904"/>
      <c r="M384" s="904"/>
      <c r="N384" s="904"/>
      <c r="O384" s="904"/>
      <c r="P384" s="227"/>
      <c r="Q384" s="227"/>
      <c r="R384" s="227"/>
      <c r="S384" s="227"/>
      <c r="T384" s="227"/>
      <c r="U384" s="227"/>
      <c r="V384" s="227"/>
      <c r="W384" s="227"/>
      <c r="X384" s="227"/>
      <c r="Y384" s="227"/>
      <c r="Z384" s="227"/>
      <c r="AA384" s="227"/>
      <c r="AB384" s="227"/>
      <c r="AC384" s="227"/>
      <c r="AD384" s="227"/>
      <c r="AE384" s="227"/>
      <c r="AF384" s="227"/>
      <c r="AG384" s="227"/>
      <c r="AH384" s="227"/>
      <c r="AI384" s="227"/>
      <c r="AJ384" s="227"/>
      <c r="AK384" s="227"/>
      <c r="AL384" s="229"/>
      <c r="AM384" s="227"/>
      <c r="AN384" s="227"/>
      <c r="AO384" s="227"/>
      <c r="AP384" s="230"/>
    </row>
    <row r="385" spans="1:42" s="28" customFormat="1" ht="102" customHeight="1" x14ac:dyDescent="0.25">
      <c r="A385" s="20"/>
      <c r="B385" s="19"/>
      <c r="C385" s="133"/>
      <c r="D385" s="92"/>
      <c r="E385" s="93"/>
      <c r="F385" s="141"/>
      <c r="G385" s="23"/>
      <c r="H385" s="152">
        <v>75</v>
      </c>
      <c r="I385" s="151" t="s">
        <v>488</v>
      </c>
      <c r="J385" s="58">
        <v>18</v>
      </c>
      <c r="K385" s="94">
        <v>27</v>
      </c>
      <c r="L385" s="978" t="s">
        <v>458</v>
      </c>
      <c r="M385" s="907" t="s">
        <v>489</v>
      </c>
      <c r="N385" s="893" t="s">
        <v>490</v>
      </c>
      <c r="O385" s="152" t="s">
        <v>40</v>
      </c>
      <c r="P385" s="26">
        <v>0</v>
      </c>
      <c r="Q385" s="26">
        <v>0</v>
      </c>
      <c r="R385" s="26">
        <v>0</v>
      </c>
      <c r="S385" s="26">
        <v>0</v>
      </c>
      <c r="T385" s="26">
        <v>0</v>
      </c>
      <c r="U385" s="26">
        <v>0</v>
      </c>
      <c r="W385" s="26"/>
      <c r="X385" s="26"/>
      <c r="Y385" s="26"/>
      <c r="Z385" s="26">
        <v>0</v>
      </c>
      <c r="AA385" s="26"/>
      <c r="AB385" s="26">
        <v>0</v>
      </c>
      <c r="AC385" s="26">
        <v>0</v>
      </c>
      <c r="AD385" s="26"/>
      <c r="AE385" s="26"/>
      <c r="AF385" s="26"/>
      <c r="AG385" s="26"/>
      <c r="AH385" s="26"/>
      <c r="AI385" s="26"/>
      <c r="AJ385" s="26">
        <v>0</v>
      </c>
      <c r="AK385" s="26">
        <v>0</v>
      </c>
      <c r="AL385" s="120">
        <v>0</v>
      </c>
      <c r="AM385" s="95"/>
      <c r="AN385" s="26">
        <v>0</v>
      </c>
      <c r="AO385" s="27">
        <v>0</v>
      </c>
      <c r="AP385" s="26">
        <f>P385+Q385+R385+S385+T385+U385+V385+W385+X385+Y385+Z385+AA385+AB385+AC385+AD385+AE385+AF385+AG385+AH385+AI385+AJ385+AK385+AL385+AM385+AN385+AO385</f>
        <v>0</v>
      </c>
    </row>
    <row r="386" spans="1:42" s="28" customFormat="1" ht="57" x14ac:dyDescent="0.25">
      <c r="A386" s="20"/>
      <c r="B386" s="19"/>
      <c r="C386" s="134"/>
      <c r="D386" s="96"/>
      <c r="E386" s="97"/>
      <c r="F386" s="147"/>
      <c r="G386" s="29"/>
      <c r="H386" s="152">
        <v>76</v>
      </c>
      <c r="I386" s="151" t="s">
        <v>491</v>
      </c>
      <c r="J386" s="58">
        <v>0</v>
      </c>
      <c r="K386" s="94">
        <v>600</v>
      </c>
      <c r="L386" s="982"/>
      <c r="M386" s="908"/>
      <c r="N386" s="894"/>
      <c r="O386" s="152" t="s">
        <v>40</v>
      </c>
      <c r="P386" s="26">
        <v>0</v>
      </c>
      <c r="Q386" s="26">
        <v>0</v>
      </c>
      <c r="R386" s="26">
        <v>0</v>
      </c>
      <c r="S386" s="26">
        <v>0</v>
      </c>
      <c r="T386" s="26">
        <v>0</v>
      </c>
      <c r="U386" s="26">
        <v>0</v>
      </c>
      <c r="V386" s="26">
        <v>183000000</v>
      </c>
      <c r="W386" s="26"/>
      <c r="X386" s="26"/>
      <c r="Y386" s="26"/>
      <c r="Z386" s="26">
        <v>0</v>
      </c>
      <c r="AA386" s="26"/>
      <c r="AB386" s="26">
        <v>0</v>
      </c>
      <c r="AC386" s="26">
        <v>0</v>
      </c>
      <c r="AD386" s="26"/>
      <c r="AE386" s="26"/>
      <c r="AF386" s="26"/>
      <c r="AG386" s="26"/>
      <c r="AH386" s="26"/>
      <c r="AI386" s="26"/>
      <c r="AJ386" s="26">
        <v>0</v>
      </c>
      <c r="AK386" s="26">
        <v>0</v>
      </c>
      <c r="AL386" s="113">
        <v>0</v>
      </c>
      <c r="AM386" s="39"/>
      <c r="AN386" s="26">
        <v>0</v>
      </c>
      <c r="AO386" s="27">
        <v>0</v>
      </c>
      <c r="AP386" s="26">
        <f>P386+Q386+R386+S386+T386+U386+V386+W386+X386+Y386+Z386+AA386+AB386+AC386+AD386+AE386+AF386+AG386+AH386+AI386+AJ386+AK386+AL386+AM386+AN386+AO386</f>
        <v>183000000</v>
      </c>
    </row>
    <row r="387" spans="1:42" s="28" customFormat="1" ht="109.5" customHeight="1" x14ac:dyDescent="0.25">
      <c r="A387" s="20"/>
      <c r="B387" s="19"/>
      <c r="C387" s="134">
        <v>16</v>
      </c>
      <c r="D387" s="96" t="s">
        <v>492</v>
      </c>
      <c r="E387" s="98">
        <v>45</v>
      </c>
      <c r="F387" s="142">
        <v>90</v>
      </c>
      <c r="G387" s="29"/>
      <c r="H387" s="152">
        <v>77</v>
      </c>
      <c r="I387" s="151" t="s">
        <v>493</v>
      </c>
      <c r="J387" s="58">
        <v>20</v>
      </c>
      <c r="K387" s="94">
        <v>50</v>
      </c>
      <c r="L387" s="982"/>
      <c r="M387" s="908"/>
      <c r="N387" s="894"/>
      <c r="O387" s="152" t="s">
        <v>40</v>
      </c>
      <c r="P387" s="26">
        <v>0</v>
      </c>
      <c r="Q387" s="26">
        <v>0</v>
      </c>
      <c r="R387" s="26">
        <v>0</v>
      </c>
      <c r="S387" s="26">
        <v>0</v>
      </c>
      <c r="T387" s="26">
        <v>0</v>
      </c>
      <c r="U387" s="26">
        <v>0</v>
      </c>
      <c r="V387" s="26">
        <v>0</v>
      </c>
      <c r="W387" s="26"/>
      <c r="X387" s="26"/>
      <c r="Y387" s="26"/>
      <c r="Z387" s="26">
        <v>0</v>
      </c>
      <c r="AA387" s="26"/>
      <c r="AB387" s="26">
        <v>0</v>
      </c>
      <c r="AC387" s="26">
        <v>0</v>
      </c>
      <c r="AD387" s="26"/>
      <c r="AE387" s="26"/>
      <c r="AF387" s="26"/>
      <c r="AG387" s="26"/>
      <c r="AH387" s="26"/>
      <c r="AI387" s="26"/>
      <c r="AJ387" s="26">
        <v>0</v>
      </c>
      <c r="AK387" s="26">
        <v>0</v>
      </c>
      <c r="AL387" s="113">
        <v>0</v>
      </c>
      <c r="AM387" s="39"/>
      <c r="AN387" s="26">
        <v>0</v>
      </c>
      <c r="AO387" s="27">
        <v>0</v>
      </c>
      <c r="AP387" s="26">
        <f>P387+Q387+R387+S387+T387+U387+V387+W387+X387+Y387+Z387+AA387+AB387+AC387+AD387+AE387+AF387+AG387+AH387+AI387+AJ387+AK387+AL387+AM387+AN387+AO387</f>
        <v>0</v>
      </c>
    </row>
    <row r="388" spans="1:42" s="28" customFormat="1" ht="42.75" x14ac:dyDescent="0.25">
      <c r="A388" s="20"/>
      <c r="B388" s="19"/>
      <c r="C388" s="134"/>
      <c r="D388" s="96"/>
      <c r="E388" s="97"/>
      <c r="F388" s="147"/>
      <c r="G388" s="29"/>
      <c r="H388" s="152">
        <v>78</v>
      </c>
      <c r="I388" s="151" t="s">
        <v>494</v>
      </c>
      <c r="J388" s="58">
        <v>7</v>
      </c>
      <c r="K388" s="94">
        <v>11</v>
      </c>
      <c r="L388" s="982"/>
      <c r="M388" s="908"/>
      <c r="N388" s="894"/>
      <c r="O388" s="152" t="s">
        <v>40</v>
      </c>
      <c r="P388" s="26">
        <v>0</v>
      </c>
      <c r="Q388" s="26">
        <v>0</v>
      </c>
      <c r="R388" s="26">
        <v>0</v>
      </c>
      <c r="S388" s="26">
        <v>0</v>
      </c>
      <c r="T388" s="26">
        <v>0</v>
      </c>
      <c r="U388" s="26">
        <v>0</v>
      </c>
      <c r="V388" s="26">
        <v>0</v>
      </c>
      <c r="W388" s="26"/>
      <c r="X388" s="26"/>
      <c r="Y388" s="26"/>
      <c r="Z388" s="26">
        <v>0</v>
      </c>
      <c r="AA388" s="26"/>
      <c r="AB388" s="26">
        <v>0</v>
      </c>
      <c r="AC388" s="26">
        <v>0</v>
      </c>
      <c r="AD388" s="26"/>
      <c r="AE388" s="26"/>
      <c r="AF388" s="26"/>
      <c r="AG388" s="26"/>
      <c r="AH388" s="26"/>
      <c r="AI388" s="26"/>
      <c r="AJ388" s="26">
        <v>0</v>
      </c>
      <c r="AK388" s="26">
        <v>0</v>
      </c>
      <c r="AL388" s="113">
        <v>0</v>
      </c>
      <c r="AM388" s="39"/>
      <c r="AN388" s="26">
        <v>0</v>
      </c>
      <c r="AO388" s="27">
        <v>0</v>
      </c>
      <c r="AP388" s="26">
        <f>P388+Q388+R388+S388+T388+U388+V388+W388+X388+Y388+Z388+AA388+AB388+AC388+AD388+AE388+AF388+AG388+AH388+AI388+AJ388+AK388+AL388+AM388+AN388+AO388</f>
        <v>0</v>
      </c>
    </row>
    <row r="389" spans="1:42" s="28" customFormat="1" ht="63" customHeight="1" x14ac:dyDescent="0.25">
      <c r="A389" s="20"/>
      <c r="B389" s="19"/>
      <c r="C389" s="134">
        <v>17</v>
      </c>
      <c r="D389" s="96" t="s">
        <v>495</v>
      </c>
      <c r="E389" s="97">
        <v>0.63270000000000004</v>
      </c>
      <c r="F389" s="147">
        <v>0.5</v>
      </c>
      <c r="G389" s="29"/>
      <c r="H389" s="152">
        <v>79</v>
      </c>
      <c r="I389" s="151" t="s">
        <v>496</v>
      </c>
      <c r="J389" s="58">
        <v>96</v>
      </c>
      <c r="K389" s="94">
        <v>163</v>
      </c>
      <c r="L389" s="982"/>
      <c r="M389" s="908"/>
      <c r="N389" s="894"/>
      <c r="O389" s="152" t="s">
        <v>40</v>
      </c>
      <c r="P389" s="26">
        <v>0</v>
      </c>
      <c r="Q389" s="26">
        <v>0</v>
      </c>
      <c r="R389" s="26">
        <v>0</v>
      </c>
      <c r="S389" s="26">
        <v>0</v>
      </c>
      <c r="T389" s="26">
        <v>0</v>
      </c>
      <c r="U389" s="26">
        <v>0</v>
      </c>
      <c r="V389" s="26">
        <v>0</v>
      </c>
      <c r="W389" s="26"/>
      <c r="X389" s="26"/>
      <c r="Y389" s="26"/>
      <c r="Z389" s="26">
        <v>0</v>
      </c>
      <c r="AA389" s="26"/>
      <c r="AB389" s="26">
        <v>0</v>
      </c>
      <c r="AC389" s="26">
        <v>0</v>
      </c>
      <c r="AD389" s="26"/>
      <c r="AE389" s="26"/>
      <c r="AF389" s="26"/>
      <c r="AG389" s="26"/>
      <c r="AH389" s="26"/>
      <c r="AI389" s="26"/>
      <c r="AJ389" s="26">
        <v>0</v>
      </c>
      <c r="AK389" s="26">
        <v>0</v>
      </c>
      <c r="AL389" s="113">
        <v>0</v>
      </c>
      <c r="AM389" s="39"/>
      <c r="AN389" s="26">
        <v>0</v>
      </c>
      <c r="AO389" s="27">
        <v>0</v>
      </c>
      <c r="AP389" s="26">
        <f>P389+Q389+R389+S389+T389+U389+V389+W389+X389+Y389+Z389+AA389+AB389+AC389+AD389+AE389+AF389+AG389+AH389+AI389+AJ389+AK389+AL389+AM389+AN389+AO389</f>
        <v>0</v>
      </c>
    </row>
    <row r="390" spans="1:42" s="28" customFormat="1" ht="42.75" x14ac:dyDescent="0.25">
      <c r="A390" s="20"/>
      <c r="B390" s="19"/>
      <c r="C390" s="134"/>
      <c r="D390" s="96"/>
      <c r="E390" s="97"/>
      <c r="F390" s="147"/>
      <c r="G390" s="29"/>
      <c r="H390" s="152">
        <v>80</v>
      </c>
      <c r="I390" s="151" t="s">
        <v>497</v>
      </c>
      <c r="J390" s="58">
        <v>2906</v>
      </c>
      <c r="K390" s="94">
        <v>3803</v>
      </c>
      <c r="L390" s="982"/>
      <c r="M390" s="908"/>
      <c r="N390" s="894"/>
      <c r="O390" s="152" t="s">
        <v>40</v>
      </c>
      <c r="P390" s="26">
        <v>0</v>
      </c>
      <c r="Q390" s="26">
        <v>0</v>
      </c>
      <c r="R390" s="26">
        <v>0</v>
      </c>
      <c r="S390" s="26">
        <v>0</v>
      </c>
      <c r="T390" s="26">
        <v>0</v>
      </c>
      <c r="U390" s="26">
        <v>0</v>
      </c>
      <c r="V390" s="26">
        <v>0</v>
      </c>
      <c r="W390" s="26"/>
      <c r="X390" s="26"/>
      <c r="Y390" s="26"/>
      <c r="Z390" s="26">
        <v>0</v>
      </c>
      <c r="AA390" s="26"/>
      <c r="AB390" s="26">
        <v>0</v>
      </c>
      <c r="AC390" s="26">
        <v>0</v>
      </c>
      <c r="AD390" s="26"/>
      <c r="AE390" s="26"/>
      <c r="AF390" s="26"/>
      <c r="AG390" s="26"/>
      <c r="AH390" s="26"/>
      <c r="AI390" s="26"/>
      <c r="AJ390" s="26">
        <v>0</v>
      </c>
      <c r="AK390" s="26">
        <v>0</v>
      </c>
      <c r="AL390" s="113">
        <v>0</v>
      </c>
      <c r="AM390" s="39"/>
      <c r="AN390" s="26">
        <v>0</v>
      </c>
      <c r="AO390" s="27">
        <v>0</v>
      </c>
      <c r="AP390" s="26">
        <f>P390+Q390+R390+S390+T390+U390+V390+W390+X390+Y390+Z390+AA390+AB390+AC390+AD390+AE390+AF390+AG390+AH390+AI390+AJ390+AK390+AL390+AM390+AN390+AO390</f>
        <v>0</v>
      </c>
    </row>
    <row r="391" spans="1:42" s="28" customFormat="1" ht="85.5" x14ac:dyDescent="0.25">
      <c r="A391" s="20"/>
      <c r="B391" s="19"/>
      <c r="C391" s="134"/>
      <c r="D391" s="137" t="s">
        <v>0</v>
      </c>
      <c r="E391" s="97"/>
      <c r="F391" s="147"/>
      <c r="G391" s="29"/>
      <c r="H391" s="152">
        <v>81</v>
      </c>
      <c r="I391" s="151" t="s">
        <v>498</v>
      </c>
      <c r="J391" s="32">
        <v>13</v>
      </c>
      <c r="K391" s="94">
        <v>27</v>
      </c>
      <c r="L391" s="982"/>
      <c r="M391" s="908"/>
      <c r="N391" s="894"/>
      <c r="O391" s="152" t="s">
        <v>40</v>
      </c>
      <c r="P391" s="26">
        <v>0</v>
      </c>
      <c r="Q391" s="26">
        <v>0</v>
      </c>
      <c r="R391" s="26">
        <v>0</v>
      </c>
      <c r="S391" s="26">
        <v>0</v>
      </c>
      <c r="T391" s="26">
        <v>0</v>
      </c>
      <c r="U391" s="26">
        <v>0</v>
      </c>
      <c r="V391" s="26">
        <v>0</v>
      </c>
      <c r="W391" s="26"/>
      <c r="X391" s="26"/>
      <c r="Y391" s="26"/>
      <c r="Z391" s="26">
        <v>0</v>
      </c>
      <c r="AA391" s="26"/>
      <c r="AB391" s="26">
        <v>0</v>
      </c>
      <c r="AC391" s="26">
        <v>0</v>
      </c>
      <c r="AD391" s="26"/>
      <c r="AE391" s="26"/>
      <c r="AF391" s="26"/>
      <c r="AG391" s="26"/>
      <c r="AH391" s="26"/>
      <c r="AI391" s="26"/>
      <c r="AJ391" s="26">
        <v>0</v>
      </c>
      <c r="AK391" s="26">
        <v>0</v>
      </c>
      <c r="AL391" s="113">
        <v>0</v>
      </c>
      <c r="AM391" s="39"/>
      <c r="AN391" s="26">
        <v>0</v>
      </c>
      <c r="AO391" s="27">
        <v>0</v>
      </c>
      <c r="AP391" s="26">
        <f>P391+Q391+R391+S391+T391+U391+V391+W391+X391+Y391+Z391+AA391+AB391+AC391+AD391+AE391+AF391+AG391+AH391+AI391+AJ391+AK391+AL391+AM391+AN391+AO391</f>
        <v>0</v>
      </c>
    </row>
    <row r="392" spans="1:42" s="28" customFormat="1" ht="85.5" x14ac:dyDescent="0.25">
      <c r="A392" s="20"/>
      <c r="B392" s="19"/>
      <c r="C392" s="134"/>
      <c r="D392" s="137" t="s">
        <v>0</v>
      </c>
      <c r="E392" s="97"/>
      <c r="F392" s="147"/>
      <c r="G392" s="31"/>
      <c r="H392" s="152">
        <v>82</v>
      </c>
      <c r="I392" s="151" t="s">
        <v>499</v>
      </c>
      <c r="J392" s="32">
        <v>14</v>
      </c>
      <c r="K392" s="94">
        <v>27</v>
      </c>
      <c r="L392" s="979"/>
      <c r="M392" s="909"/>
      <c r="N392" s="895"/>
      <c r="O392" s="152" t="s">
        <v>40</v>
      </c>
      <c r="P392" s="26">
        <v>0</v>
      </c>
      <c r="Q392" s="26">
        <v>0</v>
      </c>
      <c r="R392" s="26">
        <v>0</v>
      </c>
      <c r="S392" s="26">
        <v>0</v>
      </c>
      <c r="T392" s="26">
        <v>0</v>
      </c>
      <c r="U392" s="26">
        <v>0</v>
      </c>
      <c r="V392" s="26">
        <v>0</v>
      </c>
      <c r="W392" s="26"/>
      <c r="X392" s="26"/>
      <c r="Y392" s="26"/>
      <c r="Z392" s="26">
        <v>0</v>
      </c>
      <c r="AA392" s="26"/>
      <c r="AB392" s="26">
        <v>0</v>
      </c>
      <c r="AC392" s="26">
        <v>0</v>
      </c>
      <c r="AD392" s="26"/>
      <c r="AE392" s="26"/>
      <c r="AF392" s="26"/>
      <c r="AG392" s="26"/>
      <c r="AH392" s="26"/>
      <c r="AI392" s="26"/>
      <c r="AJ392" s="26">
        <v>0</v>
      </c>
      <c r="AK392" s="26">
        <v>0</v>
      </c>
      <c r="AL392" s="113">
        <v>0</v>
      </c>
      <c r="AM392" s="39"/>
      <c r="AN392" s="26">
        <v>0</v>
      </c>
      <c r="AO392" s="27">
        <v>0</v>
      </c>
      <c r="AP392" s="26">
        <f>P392+Q392+R392+S392+T392+U392+V392+W392+X392+Y392+Z392+AA392+AB392+AC392+AD392+AE392+AF392+AG392+AH392+AI392+AJ392+AK392+AL392+AM392+AN392+AO392</f>
        <v>0</v>
      </c>
    </row>
    <row r="393" spans="1:42" s="196" customFormat="1" ht="15" x14ac:dyDescent="0.25">
      <c r="A393" s="20"/>
      <c r="B393" s="19"/>
      <c r="C393" s="134"/>
      <c r="D393" s="534"/>
      <c r="E393" s="491"/>
      <c r="F393" s="148"/>
      <c r="G393" s="492"/>
      <c r="H393" s="192"/>
      <c r="I393" s="191"/>
      <c r="J393" s="380"/>
      <c r="K393" s="380"/>
      <c r="L393" s="380"/>
      <c r="M393" s="194"/>
      <c r="N393" s="191"/>
      <c r="O393" s="192"/>
      <c r="P393" s="195">
        <f>SUM(P385:P392)</f>
        <v>0</v>
      </c>
      <c r="Q393" s="195">
        <f>SUM(Q385:Q392)</f>
        <v>0</v>
      </c>
      <c r="R393" s="195">
        <f>SUM(R385:R392)</f>
        <v>0</v>
      </c>
      <c r="S393" s="195">
        <f>SUM(S385:S392)</f>
        <v>0</v>
      </c>
      <c r="T393" s="195">
        <f>SUM(T385:T392)</f>
        <v>0</v>
      </c>
      <c r="U393" s="195">
        <f>SUM(U385:U392)</f>
        <v>0</v>
      </c>
      <c r="V393" s="195">
        <f>SUM(V385:V392)</f>
        <v>183000000</v>
      </c>
      <c r="W393" s="195">
        <f>SUM(W385:W392)</f>
        <v>0</v>
      </c>
      <c r="X393" s="195">
        <f>SUM(X385:X392)</f>
        <v>0</v>
      </c>
      <c r="Y393" s="195">
        <f>SUM(Y385:Y392)</f>
        <v>0</v>
      </c>
      <c r="Z393" s="195">
        <f>SUM(Z385:Z392)</f>
        <v>0</v>
      </c>
      <c r="AA393" s="195"/>
      <c r="AB393" s="195">
        <f>SUM(AB385:AB392)</f>
        <v>0</v>
      </c>
      <c r="AC393" s="195">
        <f>SUM(AC385:AC392)</f>
        <v>0</v>
      </c>
      <c r="AD393" s="195">
        <f>SUM(AD385:AD392)</f>
        <v>0</v>
      </c>
      <c r="AE393" s="195">
        <f>SUM(AE385:AE392)</f>
        <v>0</v>
      </c>
      <c r="AF393" s="195"/>
      <c r="AG393" s="195">
        <f>SUM(AG385:AG392)</f>
        <v>0</v>
      </c>
      <c r="AH393" s="195">
        <f>SUM(AH385:AH392)</f>
        <v>0</v>
      </c>
      <c r="AI393" s="195">
        <f>SUM(AI385:AI392)</f>
        <v>0</v>
      </c>
      <c r="AJ393" s="195">
        <f>SUM(AJ385:AJ392)</f>
        <v>0</v>
      </c>
      <c r="AK393" s="195">
        <f>SUM(AK385:AK392)</f>
        <v>0</v>
      </c>
      <c r="AL393" s="295">
        <f>SUM(AL385:AL392)</f>
        <v>0</v>
      </c>
      <c r="AM393" s="195"/>
      <c r="AN393" s="195">
        <f>SUM(AN385:AN392)</f>
        <v>0</v>
      </c>
      <c r="AO393" s="195">
        <f>SUM(AO385:AO392)</f>
        <v>0</v>
      </c>
      <c r="AP393" s="195">
        <f>SUM(AP385:AP392)</f>
        <v>183000000</v>
      </c>
    </row>
    <row r="394" spans="1:42" s="28" customFormat="1" ht="15" x14ac:dyDescent="0.25">
      <c r="A394" s="20"/>
      <c r="B394" s="20"/>
      <c r="C394" s="305"/>
      <c r="D394" s="214"/>
      <c r="E394" s="481"/>
      <c r="F394" s="481"/>
      <c r="G394" s="214"/>
      <c r="H394" s="454"/>
      <c r="I394" s="214"/>
      <c r="J394" s="383"/>
      <c r="K394" s="383"/>
      <c r="L394" s="396"/>
      <c r="M394" s="279"/>
      <c r="N394" s="265"/>
      <c r="O394" s="454"/>
      <c r="P394" s="217"/>
      <c r="Q394" s="217"/>
      <c r="R394" s="217"/>
      <c r="S394" s="217"/>
      <c r="T394" s="217"/>
      <c r="U394" s="217"/>
      <c r="V394" s="217"/>
      <c r="W394" s="217"/>
      <c r="X394" s="217"/>
      <c r="Y394" s="217"/>
      <c r="Z394" s="217"/>
      <c r="AA394" s="217"/>
      <c r="AB394" s="217"/>
      <c r="AC394" s="217"/>
      <c r="AD394" s="217"/>
      <c r="AE394" s="217"/>
      <c r="AF394" s="217"/>
      <c r="AG394" s="217"/>
      <c r="AH394" s="217"/>
      <c r="AI394" s="217"/>
      <c r="AJ394" s="217"/>
      <c r="AK394" s="217"/>
      <c r="AL394" s="219"/>
      <c r="AM394" s="217"/>
      <c r="AN394" s="217"/>
      <c r="AO394" s="217"/>
      <c r="AP394" s="238"/>
    </row>
    <row r="395" spans="1:42" s="196" customFormat="1" ht="15" x14ac:dyDescent="0.25">
      <c r="A395" s="20"/>
      <c r="B395" s="20"/>
      <c r="C395" s="143"/>
      <c r="D395" s="530"/>
      <c r="E395" s="146"/>
      <c r="F395" s="146"/>
      <c r="G395" s="493">
        <v>20</v>
      </c>
      <c r="H395" s="986" t="s">
        <v>500</v>
      </c>
      <c r="I395" s="904"/>
      <c r="J395" s="904"/>
      <c r="K395" s="904"/>
      <c r="L395" s="904"/>
      <c r="M395" s="904"/>
      <c r="N395" s="904"/>
      <c r="O395" s="904"/>
      <c r="P395" s="904"/>
      <c r="Q395" s="227"/>
      <c r="R395" s="227"/>
      <c r="S395" s="227"/>
      <c r="T395" s="227"/>
      <c r="U395" s="227"/>
      <c r="V395" s="227"/>
      <c r="W395" s="227"/>
      <c r="X395" s="227"/>
      <c r="Y395" s="227"/>
      <c r="Z395" s="227"/>
      <c r="AA395" s="227"/>
      <c r="AB395" s="227"/>
      <c r="AC395" s="227"/>
      <c r="AD395" s="227"/>
      <c r="AE395" s="227"/>
      <c r="AF395" s="227"/>
      <c r="AG395" s="227"/>
      <c r="AH395" s="227"/>
      <c r="AI395" s="227"/>
      <c r="AJ395" s="227"/>
      <c r="AK395" s="227"/>
      <c r="AL395" s="229"/>
      <c r="AM395" s="227"/>
      <c r="AN395" s="227"/>
      <c r="AO395" s="227"/>
      <c r="AP395" s="230"/>
    </row>
    <row r="396" spans="1:42" s="28" customFormat="1" ht="63" customHeight="1" x14ac:dyDescent="0.25">
      <c r="A396" s="20"/>
      <c r="B396" s="19"/>
      <c r="C396" s="99"/>
      <c r="D396" s="100"/>
      <c r="E396" s="100"/>
      <c r="F396" s="100"/>
      <c r="G396" s="101"/>
      <c r="H396" s="152">
        <v>83</v>
      </c>
      <c r="I396" s="151" t="s">
        <v>501</v>
      </c>
      <c r="J396" s="58">
        <v>0</v>
      </c>
      <c r="K396" s="94">
        <v>27</v>
      </c>
      <c r="L396" s="983" t="s">
        <v>458</v>
      </c>
      <c r="M396" s="907" t="s">
        <v>502</v>
      </c>
      <c r="N396" s="893" t="s">
        <v>503</v>
      </c>
      <c r="O396" s="152" t="s">
        <v>40</v>
      </c>
      <c r="P396" s="26">
        <v>0</v>
      </c>
      <c r="Q396" s="26">
        <v>0</v>
      </c>
      <c r="R396" s="26">
        <v>0</v>
      </c>
      <c r="S396" s="26">
        <v>0</v>
      </c>
      <c r="T396" s="26">
        <v>0</v>
      </c>
      <c r="U396" s="26">
        <v>0</v>
      </c>
      <c r="V396" s="26">
        <v>0</v>
      </c>
      <c r="W396" s="26"/>
      <c r="X396" s="26"/>
      <c r="Y396" s="26"/>
      <c r="Z396" s="26">
        <v>0</v>
      </c>
      <c r="AA396" s="26"/>
      <c r="AB396" s="26">
        <v>0</v>
      </c>
      <c r="AC396" s="26">
        <v>0</v>
      </c>
      <c r="AD396" s="26"/>
      <c r="AE396" s="26"/>
      <c r="AF396" s="26"/>
      <c r="AG396" s="26"/>
      <c r="AH396" s="26"/>
      <c r="AI396" s="26"/>
      <c r="AJ396" s="26">
        <v>0</v>
      </c>
      <c r="AK396" s="26">
        <v>0</v>
      </c>
      <c r="AL396" s="113"/>
      <c r="AM396" s="39"/>
      <c r="AN396" s="26">
        <v>0</v>
      </c>
      <c r="AO396" s="27">
        <v>0</v>
      </c>
      <c r="AP396" s="26">
        <f>P396+Q396+R396+S396+T396+U396+V396+W396+X396+Y396+Z396+AA396+AB396+AC396+AD396+AE396+AF396+AG396+AH396+AI396+AJ396+AK396+AL396+AM396+AN396+AO396</f>
        <v>0</v>
      </c>
    </row>
    <row r="397" spans="1:42" s="28" customFormat="1" ht="86.25" customHeight="1" x14ac:dyDescent="0.25">
      <c r="A397" s="20"/>
      <c r="B397" s="19"/>
      <c r="C397" s="99"/>
      <c r="D397" s="100"/>
      <c r="E397" s="100"/>
      <c r="F397" s="100"/>
      <c r="G397" s="102"/>
      <c r="H397" s="152">
        <v>84</v>
      </c>
      <c r="I397" s="151" t="s">
        <v>504</v>
      </c>
      <c r="J397" s="58">
        <v>0</v>
      </c>
      <c r="K397" s="94">
        <v>15</v>
      </c>
      <c r="L397" s="984"/>
      <c r="M397" s="908"/>
      <c r="N397" s="894"/>
      <c r="O397" s="152" t="s">
        <v>40</v>
      </c>
      <c r="P397" s="26">
        <v>0</v>
      </c>
      <c r="Q397" s="26">
        <v>0</v>
      </c>
      <c r="R397" s="26">
        <v>0</v>
      </c>
      <c r="S397" s="26">
        <v>0</v>
      </c>
      <c r="T397" s="26">
        <v>0</v>
      </c>
      <c r="U397" s="26">
        <v>0</v>
      </c>
      <c r="V397" s="26">
        <v>0</v>
      </c>
      <c r="W397" s="26"/>
      <c r="X397" s="26"/>
      <c r="Y397" s="26"/>
      <c r="Z397" s="26">
        <v>0</v>
      </c>
      <c r="AA397" s="26"/>
      <c r="AB397" s="26">
        <v>0</v>
      </c>
      <c r="AC397" s="26">
        <v>0</v>
      </c>
      <c r="AD397" s="26"/>
      <c r="AE397" s="26"/>
      <c r="AF397" s="26"/>
      <c r="AG397" s="26"/>
      <c r="AH397" s="26"/>
      <c r="AI397" s="26"/>
      <c r="AJ397" s="26">
        <v>0</v>
      </c>
      <c r="AK397" s="26">
        <v>0</v>
      </c>
      <c r="AL397" s="113"/>
      <c r="AM397" s="39"/>
      <c r="AN397" s="26">
        <v>0</v>
      </c>
      <c r="AO397" s="27">
        <v>0</v>
      </c>
      <c r="AP397" s="26">
        <f>P397+Q397+R397+S397+T397+U397+V397+W397+X397+Y397+Z397+AA397+AB397+AC397+AD397+AE397+AF397+AG397+AH397+AI397+AJ397+AK397+AL397+AM397+AN397+AO397</f>
        <v>0</v>
      </c>
    </row>
    <row r="398" spans="1:42" s="28" customFormat="1" ht="80.25" customHeight="1" x14ac:dyDescent="0.25">
      <c r="A398" s="20"/>
      <c r="B398" s="19"/>
      <c r="C398" s="99"/>
      <c r="D398" s="100"/>
      <c r="E398" s="100"/>
      <c r="F398" s="100"/>
      <c r="G398" s="102"/>
      <c r="H398" s="152">
        <v>85</v>
      </c>
      <c r="I398" s="151" t="s">
        <v>505</v>
      </c>
      <c r="J398" s="58">
        <v>0</v>
      </c>
      <c r="K398" s="94">
        <v>15</v>
      </c>
      <c r="L398" s="984"/>
      <c r="M398" s="908"/>
      <c r="N398" s="894"/>
      <c r="O398" s="152" t="s">
        <v>40</v>
      </c>
      <c r="P398" s="26">
        <v>0</v>
      </c>
      <c r="Q398" s="26">
        <v>0</v>
      </c>
      <c r="R398" s="26">
        <v>0</v>
      </c>
      <c r="S398" s="26">
        <v>0</v>
      </c>
      <c r="T398" s="26">
        <v>0</v>
      </c>
      <c r="U398" s="26">
        <v>0</v>
      </c>
      <c r="V398" s="26">
        <v>20000000</v>
      </c>
      <c r="W398" s="26"/>
      <c r="X398" s="26"/>
      <c r="Y398" s="26"/>
      <c r="Z398" s="26">
        <v>0</v>
      </c>
      <c r="AA398" s="26"/>
      <c r="AB398" s="26">
        <v>0</v>
      </c>
      <c r="AC398" s="26">
        <v>0</v>
      </c>
      <c r="AD398" s="26"/>
      <c r="AE398" s="26"/>
      <c r="AF398" s="26"/>
      <c r="AG398" s="26"/>
      <c r="AH398" s="26"/>
      <c r="AI398" s="26"/>
      <c r="AJ398" s="26">
        <v>0</v>
      </c>
      <c r="AK398" s="26">
        <v>0</v>
      </c>
      <c r="AL398" s="113"/>
      <c r="AM398" s="39"/>
      <c r="AN398" s="26">
        <v>0</v>
      </c>
      <c r="AO398" s="27">
        <v>0</v>
      </c>
      <c r="AP398" s="26">
        <f>P398+Q398+R398+S398+T398+U398+V398+W398+X398+Y398+Z398+AA398+AB398+AC398+AD398+AE398+AF398+AG398+AH398+AI398+AJ398+AK398+AL398+AM398+AN398+AO398</f>
        <v>20000000</v>
      </c>
    </row>
    <row r="399" spans="1:42" s="28" customFormat="1" ht="77.25" customHeight="1" x14ac:dyDescent="0.25">
      <c r="A399" s="20"/>
      <c r="B399" s="19"/>
      <c r="C399" s="134">
        <v>14</v>
      </c>
      <c r="D399" s="29" t="s">
        <v>465</v>
      </c>
      <c r="E399" s="147">
        <v>6.2E-2</v>
      </c>
      <c r="F399" s="147">
        <v>0.03</v>
      </c>
      <c r="G399" s="102"/>
      <c r="H399" s="152">
        <v>87</v>
      </c>
      <c r="I399" s="151" t="s">
        <v>506</v>
      </c>
      <c r="J399" s="58">
        <v>0</v>
      </c>
      <c r="K399" s="94">
        <v>30</v>
      </c>
      <c r="L399" s="984"/>
      <c r="M399" s="908"/>
      <c r="N399" s="894"/>
      <c r="O399" s="152" t="s">
        <v>44</v>
      </c>
      <c r="P399" s="26">
        <v>0</v>
      </c>
      <c r="Q399" s="26">
        <v>0</v>
      </c>
      <c r="R399" s="26">
        <v>0</v>
      </c>
      <c r="S399" s="26">
        <v>0</v>
      </c>
      <c r="T399" s="26">
        <v>0</v>
      </c>
      <c r="U399" s="26">
        <v>0</v>
      </c>
      <c r="V399" s="26">
        <v>0</v>
      </c>
      <c r="W399" s="26"/>
      <c r="X399" s="26"/>
      <c r="Y399" s="26"/>
      <c r="Z399" s="26">
        <v>0</v>
      </c>
      <c r="AA399" s="26"/>
      <c r="AB399" s="26">
        <v>0</v>
      </c>
      <c r="AC399" s="26">
        <v>0</v>
      </c>
      <c r="AD399" s="130">
        <v>136316152</v>
      </c>
      <c r="AE399" s="26"/>
      <c r="AF399" s="26"/>
      <c r="AG399" s="26"/>
      <c r="AH399" s="26"/>
      <c r="AI399" s="26"/>
      <c r="AJ399" s="26">
        <v>0</v>
      </c>
      <c r="AK399" s="26">
        <v>0</v>
      </c>
      <c r="AL399" s="113">
        <v>10000000</v>
      </c>
      <c r="AM399" s="39"/>
      <c r="AN399" s="26">
        <v>0</v>
      </c>
      <c r="AO399" s="27">
        <v>0</v>
      </c>
      <c r="AP399" s="26">
        <f>P399+Q399+R399+S399+T399+U399+V399+W399+X399+Y399+Z399+AA399+AB399+AC399+AD399+AE399+AF399+AG399+AH399+AI399+AJ399+AK399+AL399+AM399+AN399+AO399</f>
        <v>146316152</v>
      </c>
    </row>
    <row r="400" spans="1:42" s="28" customFormat="1" ht="77.25" customHeight="1" x14ac:dyDescent="0.25">
      <c r="A400" s="20"/>
      <c r="B400" s="19"/>
      <c r="C400" s="134">
        <v>15</v>
      </c>
      <c r="D400" s="137" t="s">
        <v>456</v>
      </c>
      <c r="E400" s="147">
        <v>0.73229999999999995</v>
      </c>
      <c r="F400" s="147">
        <v>0.78</v>
      </c>
      <c r="G400" s="102"/>
      <c r="H400" s="152">
        <v>88</v>
      </c>
      <c r="I400" s="151" t="s">
        <v>507</v>
      </c>
      <c r="J400" s="58">
        <v>21</v>
      </c>
      <c r="K400" s="94">
        <v>29</v>
      </c>
      <c r="L400" s="984"/>
      <c r="M400" s="908"/>
      <c r="N400" s="894"/>
      <c r="O400" s="152" t="s">
        <v>40</v>
      </c>
      <c r="P400" s="26">
        <v>0</v>
      </c>
      <c r="Q400" s="26">
        <v>0</v>
      </c>
      <c r="R400" s="26">
        <v>0</v>
      </c>
      <c r="S400" s="26">
        <v>0</v>
      </c>
      <c r="T400" s="26">
        <v>0</v>
      </c>
      <c r="U400" s="26">
        <v>0</v>
      </c>
      <c r="V400" s="26">
        <v>50000000</v>
      </c>
      <c r="W400" s="26"/>
      <c r="X400" s="26"/>
      <c r="Y400" s="26"/>
      <c r="Z400" s="26">
        <v>0</v>
      </c>
      <c r="AA400" s="26"/>
      <c r="AB400" s="26">
        <v>0</v>
      </c>
      <c r="AC400" s="26">
        <v>0</v>
      </c>
      <c r="AD400" s="26"/>
      <c r="AE400" s="26"/>
      <c r="AF400" s="26"/>
      <c r="AG400" s="26"/>
      <c r="AH400" s="26"/>
      <c r="AI400" s="26"/>
      <c r="AJ400" s="26">
        <v>0</v>
      </c>
      <c r="AK400" s="26">
        <v>0</v>
      </c>
      <c r="AL400" s="113"/>
      <c r="AM400" s="39"/>
      <c r="AN400" s="26">
        <v>0</v>
      </c>
      <c r="AO400" s="27">
        <v>0</v>
      </c>
      <c r="AP400" s="26">
        <f>P400+Q400+R400+S400+T400+U400+V400+W400+X400+Y400+Z400+AA400+AB400+AC400+AD400+AE400+AF400+AG400+AH400+AI400+AJ400+AK400+AL400+AM400+AN400+AO400</f>
        <v>50000000</v>
      </c>
    </row>
    <row r="401" spans="1:42" s="28" customFormat="1" ht="69" customHeight="1" x14ac:dyDescent="0.25">
      <c r="A401" s="20"/>
      <c r="B401" s="19"/>
      <c r="C401" s="134">
        <v>19</v>
      </c>
      <c r="D401" s="137" t="s">
        <v>461</v>
      </c>
      <c r="E401" s="147" t="s">
        <v>508</v>
      </c>
      <c r="F401" s="147" t="s">
        <v>509</v>
      </c>
      <c r="G401" s="102"/>
      <c r="H401" s="152">
        <v>86</v>
      </c>
      <c r="I401" s="151" t="s">
        <v>510</v>
      </c>
      <c r="J401" s="58">
        <v>0</v>
      </c>
      <c r="K401" s="94">
        <v>4</v>
      </c>
      <c r="L401" s="984"/>
      <c r="M401" s="908"/>
      <c r="N401" s="894"/>
      <c r="O401" s="152" t="s">
        <v>40</v>
      </c>
      <c r="P401" s="26"/>
      <c r="Q401" s="26"/>
      <c r="R401" s="26"/>
      <c r="S401" s="26"/>
      <c r="T401" s="26"/>
      <c r="U401" s="26"/>
      <c r="V401" s="103">
        <f>96673401-50000000</f>
        <v>46673401</v>
      </c>
      <c r="W401" s="26"/>
      <c r="X401" s="26"/>
      <c r="Y401" s="26"/>
      <c r="Z401" s="26"/>
      <c r="AA401" s="26"/>
      <c r="AB401" s="26"/>
      <c r="AC401" s="26"/>
      <c r="AD401" s="26"/>
      <c r="AE401" s="26"/>
      <c r="AF401" s="26"/>
      <c r="AG401" s="26"/>
      <c r="AH401" s="26"/>
      <c r="AI401" s="26"/>
      <c r="AJ401" s="26"/>
      <c r="AK401" s="26"/>
      <c r="AL401" s="113"/>
      <c r="AM401" s="39"/>
      <c r="AN401" s="26"/>
      <c r="AO401" s="27"/>
      <c r="AP401" s="26">
        <f>P401+Q401+R401+S401+T401+U401+V401+W401+X401+Y401+Z401+AA401+AB401+AC401+AD401+AE401+AF401+AG401+AH401+AI401+AJ401+AK401+AL401+AM401+AN401+AO401</f>
        <v>46673401</v>
      </c>
    </row>
    <row r="402" spans="1:42" s="28" customFormat="1" ht="57" x14ac:dyDescent="0.25">
      <c r="A402" s="20"/>
      <c r="B402" s="19"/>
      <c r="C402" s="134"/>
      <c r="D402" s="29"/>
      <c r="E402" s="104"/>
      <c r="F402" s="104"/>
      <c r="G402" s="102"/>
      <c r="H402" s="152">
        <v>89</v>
      </c>
      <c r="I402" s="151" t="s">
        <v>511</v>
      </c>
      <c r="J402" s="58" t="s">
        <v>36</v>
      </c>
      <c r="K402" s="94">
        <v>13000</v>
      </c>
      <c r="L402" s="984"/>
      <c r="M402" s="908"/>
      <c r="N402" s="894"/>
      <c r="O402" s="152" t="s">
        <v>40</v>
      </c>
      <c r="P402" s="26">
        <v>0</v>
      </c>
      <c r="Q402" s="26">
        <v>0</v>
      </c>
      <c r="R402" s="26">
        <v>0</v>
      </c>
      <c r="S402" s="26">
        <v>0</v>
      </c>
      <c r="T402" s="26">
        <v>0</v>
      </c>
      <c r="U402" s="26">
        <v>0</v>
      </c>
      <c r="V402" s="26">
        <v>0</v>
      </c>
      <c r="W402" s="26"/>
      <c r="X402" s="26"/>
      <c r="Y402" s="26"/>
      <c r="Z402" s="26">
        <v>0</v>
      </c>
      <c r="AA402" s="26"/>
      <c r="AB402" s="26">
        <v>0</v>
      </c>
      <c r="AC402" s="26">
        <v>0</v>
      </c>
      <c r="AD402" s="26"/>
      <c r="AE402" s="26"/>
      <c r="AF402" s="26"/>
      <c r="AG402" s="26"/>
      <c r="AH402" s="26"/>
      <c r="AI402" s="26"/>
      <c r="AJ402" s="26">
        <v>0</v>
      </c>
      <c r="AK402" s="26">
        <v>0</v>
      </c>
      <c r="AL402" s="113"/>
      <c r="AM402" s="39"/>
      <c r="AN402" s="26">
        <v>0</v>
      </c>
      <c r="AO402" s="27">
        <v>0</v>
      </c>
      <c r="AP402" s="26">
        <f>P402+Q402+R402+S402+T402+U402+V402+W402+X402+Y402+Z402+AA402+AB402+AC402+AD402+AE402+AF402+AG402+AH402+AI402+AJ402+AK402+AL402+AM402+AN402+AO402</f>
        <v>0</v>
      </c>
    </row>
    <row r="403" spans="1:42" s="28" customFormat="1" ht="57" x14ac:dyDescent="0.25">
      <c r="A403" s="20"/>
      <c r="B403" s="19"/>
      <c r="C403" s="134"/>
      <c r="D403" s="29"/>
      <c r="E403" s="104"/>
      <c r="F403" s="104"/>
      <c r="G403" s="102"/>
      <c r="H403" s="152">
        <v>90</v>
      </c>
      <c r="I403" s="151" t="s">
        <v>512</v>
      </c>
      <c r="J403" s="58">
        <v>100</v>
      </c>
      <c r="K403" s="94">
        <v>115</v>
      </c>
      <c r="L403" s="984"/>
      <c r="M403" s="908"/>
      <c r="N403" s="894"/>
      <c r="O403" s="152" t="s">
        <v>40</v>
      </c>
      <c r="P403" s="26">
        <v>0</v>
      </c>
      <c r="Q403" s="26">
        <v>0</v>
      </c>
      <c r="R403" s="26">
        <v>0</v>
      </c>
      <c r="S403" s="26">
        <v>0</v>
      </c>
      <c r="T403" s="26">
        <v>0</v>
      </c>
      <c r="U403" s="26">
        <v>0</v>
      </c>
      <c r="V403" s="809">
        <f>50000000-50000000</f>
        <v>0</v>
      </c>
      <c r="W403" s="26"/>
      <c r="X403" s="26"/>
      <c r="Y403" s="26"/>
      <c r="Z403" s="26">
        <v>0</v>
      </c>
      <c r="AA403" s="26"/>
      <c r="AB403" s="26">
        <v>0</v>
      </c>
      <c r="AC403" s="26">
        <v>0</v>
      </c>
      <c r="AD403" s="26"/>
      <c r="AE403" s="26"/>
      <c r="AF403" s="26"/>
      <c r="AG403" s="26"/>
      <c r="AH403" s="26"/>
      <c r="AI403" s="26"/>
      <c r="AJ403" s="26">
        <v>0</v>
      </c>
      <c r="AK403" s="26">
        <v>0</v>
      </c>
      <c r="AL403" s="113">
        <v>40000000</v>
      </c>
      <c r="AM403" s="39"/>
      <c r="AN403" s="26">
        <v>0</v>
      </c>
      <c r="AO403" s="27">
        <v>0</v>
      </c>
      <c r="AP403" s="26">
        <f>P403+Q403+R403+S403+T403+U403+V403+W403+X403+Y403+Z403+AA403+AB403+AC403+AD403+AE403+AF403+AG403+AH403+AI403+AJ403+AK403+AL403+AM403+AN403+AO403</f>
        <v>40000000</v>
      </c>
    </row>
    <row r="404" spans="1:42" s="28" customFormat="1" ht="71.25" x14ac:dyDescent="0.25">
      <c r="A404" s="20"/>
      <c r="B404" s="19"/>
      <c r="C404" s="134"/>
      <c r="D404" s="29"/>
      <c r="E404" s="104"/>
      <c r="F404" s="104"/>
      <c r="G404" s="102"/>
      <c r="H404" s="152">
        <v>91</v>
      </c>
      <c r="I404" s="151" t="s">
        <v>513</v>
      </c>
      <c r="J404" s="58">
        <v>0</v>
      </c>
      <c r="K404" s="94">
        <v>54</v>
      </c>
      <c r="L404" s="984"/>
      <c r="M404" s="908"/>
      <c r="N404" s="894"/>
      <c r="O404" s="152" t="s">
        <v>44</v>
      </c>
      <c r="P404" s="26">
        <v>0</v>
      </c>
      <c r="Q404" s="26">
        <v>0</v>
      </c>
      <c r="R404" s="26">
        <v>0</v>
      </c>
      <c r="S404" s="26">
        <v>0</v>
      </c>
      <c r="T404" s="26">
        <v>0</v>
      </c>
      <c r="U404" s="26">
        <v>0</v>
      </c>
      <c r="V404" s="26">
        <f>150000000+50000000</f>
        <v>200000000</v>
      </c>
      <c r="W404" s="26"/>
      <c r="X404" s="26"/>
      <c r="Y404" s="26"/>
      <c r="Z404" s="26">
        <v>0</v>
      </c>
      <c r="AA404" s="26"/>
      <c r="AB404" s="26">
        <v>0</v>
      </c>
      <c r="AC404" s="26">
        <v>0</v>
      </c>
      <c r="AD404" s="26"/>
      <c r="AE404" s="26"/>
      <c r="AF404" s="26"/>
      <c r="AG404" s="26"/>
      <c r="AH404" s="26"/>
      <c r="AI404" s="26"/>
      <c r="AJ404" s="26">
        <v>0</v>
      </c>
      <c r="AK404" s="26">
        <v>0</v>
      </c>
      <c r="AL404" s="113"/>
      <c r="AM404" s="39"/>
      <c r="AN404" s="26">
        <v>0</v>
      </c>
      <c r="AO404" s="27">
        <v>0</v>
      </c>
      <c r="AP404" s="26">
        <f>P404+Q404+R404+S404+T404+U404+V404+W404+X404+Y404+Z404+AA404+AB404+AC404+AD404+AE404+AF404+AG404+AH404+AI404+AJ404+AK404+AL404+AM404+AN404+AO404</f>
        <v>200000000</v>
      </c>
    </row>
    <row r="405" spans="1:42" s="28" customFormat="1" ht="84.75" customHeight="1" x14ac:dyDescent="0.25">
      <c r="A405" s="20"/>
      <c r="B405" s="19"/>
      <c r="C405" s="134"/>
      <c r="D405" s="137"/>
      <c r="E405" s="147"/>
      <c r="F405" s="147"/>
      <c r="G405" s="105"/>
      <c r="H405" s="152">
        <v>92</v>
      </c>
      <c r="I405" s="151" t="s">
        <v>514</v>
      </c>
      <c r="J405" s="58">
        <v>0</v>
      </c>
      <c r="K405" s="89">
        <v>2</v>
      </c>
      <c r="L405" s="985"/>
      <c r="M405" s="909"/>
      <c r="N405" s="895"/>
      <c r="O405" s="152" t="s">
        <v>40</v>
      </c>
      <c r="P405" s="26"/>
      <c r="Q405" s="26"/>
      <c r="R405" s="26"/>
      <c r="S405" s="26"/>
      <c r="T405" s="26"/>
      <c r="U405" s="26"/>
      <c r="V405" s="26"/>
      <c r="W405" s="26"/>
      <c r="X405" s="26"/>
      <c r="Y405" s="26"/>
      <c r="Z405" s="26"/>
      <c r="AA405" s="26"/>
      <c r="AB405" s="26"/>
      <c r="AC405" s="26"/>
      <c r="AD405" s="26"/>
      <c r="AE405" s="26"/>
      <c r="AF405" s="26"/>
      <c r="AG405" s="26"/>
      <c r="AH405" s="26"/>
      <c r="AI405" s="26"/>
      <c r="AJ405" s="26"/>
      <c r="AK405" s="26"/>
      <c r="AL405" s="113"/>
      <c r="AM405" s="39"/>
      <c r="AN405" s="26"/>
      <c r="AO405" s="27"/>
      <c r="AP405" s="26">
        <f>P405+Q405+R405+S405+T405+U405+V405+W405+X405+Y405+Z405+AA405+AB405+AC405+AD405+AE405+AF405+AG405+AH405+AI405+AJ405+AK405+AL405+AM405+AN405+AO405</f>
        <v>0</v>
      </c>
    </row>
    <row r="406" spans="1:42" s="196" customFormat="1" ht="15" x14ac:dyDescent="0.25">
      <c r="A406" s="20"/>
      <c r="B406" s="19"/>
      <c r="C406" s="135"/>
      <c r="D406" s="534"/>
      <c r="E406" s="148"/>
      <c r="F406" s="148"/>
      <c r="G406" s="492"/>
      <c r="H406" s="192"/>
      <c r="I406" s="191"/>
      <c r="J406" s="480"/>
      <c r="K406" s="494"/>
      <c r="L406" s="494"/>
      <c r="M406" s="194"/>
      <c r="N406" s="191"/>
      <c r="O406" s="192"/>
      <c r="P406" s="195">
        <f>SUM(P396:P405)</f>
        <v>0</v>
      </c>
      <c r="Q406" s="195">
        <f>SUM(Q396:Q405)</f>
        <v>0</v>
      </c>
      <c r="R406" s="195">
        <f>SUM(R396:R405)</f>
        <v>0</v>
      </c>
      <c r="S406" s="195">
        <f>SUM(S396:S405)</f>
        <v>0</v>
      </c>
      <c r="T406" s="195">
        <f>SUM(T396:T405)</f>
        <v>0</v>
      </c>
      <c r="U406" s="195">
        <f>SUM(U396:U405)</f>
        <v>0</v>
      </c>
      <c r="V406" s="195">
        <f>SUM(V396:V405)</f>
        <v>316673401</v>
      </c>
      <c r="W406" s="195">
        <f t="shared" ref="W406" si="144">SUM(W396:W405)</f>
        <v>0</v>
      </c>
      <c r="X406" s="195">
        <f>SUM(X396:X405)</f>
        <v>0</v>
      </c>
      <c r="Y406" s="195">
        <f>SUM(Y396:Y405)</f>
        <v>0</v>
      </c>
      <c r="Z406" s="195">
        <f>SUM(Z396:Z405)</f>
        <v>0</v>
      </c>
      <c r="AA406" s="195"/>
      <c r="AB406" s="195">
        <f>SUM(AB396:AB405)</f>
        <v>0</v>
      </c>
      <c r="AC406" s="195">
        <f>SUM(AC396:AC405)</f>
        <v>0</v>
      </c>
      <c r="AD406" s="195">
        <f>SUM(AD396:AD405)</f>
        <v>136316152</v>
      </c>
      <c r="AE406" s="195">
        <f>SUM(AE396:AE405)</f>
        <v>0</v>
      </c>
      <c r="AF406" s="195"/>
      <c r="AG406" s="195">
        <f>SUM(AG396:AG405)</f>
        <v>0</v>
      </c>
      <c r="AH406" s="195">
        <f>SUM(AH396:AH405)</f>
        <v>0</v>
      </c>
      <c r="AI406" s="195">
        <f>SUM(AI396:AI405)</f>
        <v>0</v>
      </c>
      <c r="AJ406" s="195">
        <f>SUM(AJ396:AJ405)</f>
        <v>0</v>
      </c>
      <c r="AK406" s="195">
        <f>SUM(AK396:AK405)</f>
        <v>0</v>
      </c>
      <c r="AL406" s="295">
        <f>SUM(AL396:AL405)</f>
        <v>50000000</v>
      </c>
      <c r="AM406" s="195"/>
      <c r="AN406" s="195">
        <f>SUM(AN396:AN405)</f>
        <v>0</v>
      </c>
      <c r="AO406" s="195">
        <f>SUM(AO396:AO405)</f>
        <v>0</v>
      </c>
      <c r="AP406" s="195">
        <f>SUM(AP396:AP405)</f>
        <v>502989553</v>
      </c>
    </row>
    <row r="407" spans="1:42" s="196" customFormat="1" ht="15" x14ac:dyDescent="0.25">
      <c r="A407" s="20"/>
      <c r="B407" s="20"/>
      <c r="C407" s="454"/>
      <c r="D407" s="214"/>
      <c r="E407" s="481"/>
      <c r="F407" s="481"/>
      <c r="G407" s="214"/>
      <c r="H407" s="454"/>
      <c r="I407" s="214"/>
      <c r="J407" s="383"/>
      <c r="K407" s="383"/>
      <c r="L407" s="396"/>
      <c r="M407" s="279"/>
      <c r="N407" s="265"/>
      <c r="O407" s="454"/>
      <c r="P407" s="217"/>
      <c r="Q407" s="217"/>
      <c r="R407" s="217"/>
      <c r="S407" s="217"/>
      <c r="T407" s="217"/>
      <c r="U407" s="217"/>
      <c r="V407" s="217"/>
      <c r="W407" s="217"/>
      <c r="X407" s="217"/>
      <c r="Y407" s="217"/>
      <c r="Z407" s="217"/>
      <c r="AA407" s="217"/>
      <c r="AB407" s="217"/>
      <c r="AC407" s="217"/>
      <c r="AD407" s="217"/>
      <c r="AE407" s="217"/>
      <c r="AF407" s="217"/>
      <c r="AG407" s="217"/>
      <c r="AH407" s="217"/>
      <c r="AI407" s="217"/>
      <c r="AJ407" s="217"/>
      <c r="AK407" s="217"/>
      <c r="AL407" s="219"/>
      <c r="AM407" s="217"/>
      <c r="AN407" s="217"/>
      <c r="AO407" s="217"/>
      <c r="AP407" s="238"/>
    </row>
    <row r="408" spans="1:42" s="196" customFormat="1" ht="15" x14ac:dyDescent="0.25">
      <c r="A408" s="20"/>
      <c r="B408" s="20"/>
      <c r="C408" s="143"/>
      <c r="D408" s="530"/>
      <c r="E408" s="146"/>
      <c r="F408" s="146"/>
      <c r="G408" s="308">
        <v>21</v>
      </c>
      <c r="H408" s="986" t="s">
        <v>515</v>
      </c>
      <c r="I408" s="904"/>
      <c r="J408" s="904"/>
      <c r="K408" s="904"/>
      <c r="L408" s="904"/>
      <c r="M408" s="904"/>
      <c r="N408" s="904"/>
      <c r="O408" s="904"/>
      <c r="P408" s="904"/>
      <c r="Q408" s="227"/>
      <c r="R408" s="227"/>
      <c r="S408" s="227"/>
      <c r="T408" s="227"/>
      <c r="U408" s="227"/>
      <c r="V408" s="227"/>
      <c r="W408" s="227"/>
      <c r="X408" s="227"/>
      <c r="Y408" s="227"/>
      <c r="Z408" s="227"/>
      <c r="AA408" s="227"/>
      <c r="AB408" s="227"/>
      <c r="AC408" s="227"/>
      <c r="AD408" s="227"/>
      <c r="AE408" s="227"/>
      <c r="AF408" s="227"/>
      <c r="AG408" s="227"/>
      <c r="AH408" s="227"/>
      <c r="AI408" s="227"/>
      <c r="AJ408" s="227"/>
      <c r="AK408" s="227"/>
      <c r="AL408" s="229"/>
      <c r="AM408" s="227"/>
      <c r="AN408" s="227"/>
      <c r="AO408" s="227"/>
      <c r="AP408" s="230"/>
    </row>
    <row r="409" spans="1:42" s="28" customFormat="1" ht="42.75" x14ac:dyDescent="0.25">
      <c r="A409" s="20"/>
      <c r="B409" s="19"/>
      <c r="C409" s="133">
        <v>14</v>
      </c>
      <c r="D409" s="23" t="s">
        <v>465</v>
      </c>
      <c r="E409" s="146">
        <v>6.2E-2</v>
      </c>
      <c r="F409" s="146">
        <v>0.03</v>
      </c>
      <c r="G409" s="101"/>
      <c r="H409" s="152">
        <v>93</v>
      </c>
      <c r="I409" s="151" t="s">
        <v>516</v>
      </c>
      <c r="J409" s="58" t="s">
        <v>36</v>
      </c>
      <c r="K409" s="94">
        <v>18</v>
      </c>
      <c r="L409" s="983" t="s">
        <v>458</v>
      </c>
      <c r="M409" s="907" t="s">
        <v>517</v>
      </c>
      <c r="N409" s="893" t="s">
        <v>518</v>
      </c>
      <c r="O409" s="152" t="s">
        <v>40</v>
      </c>
      <c r="P409" s="26">
        <v>0</v>
      </c>
      <c r="Q409" s="26">
        <v>0</v>
      </c>
      <c r="R409" s="26">
        <v>0</v>
      </c>
      <c r="S409" s="26">
        <v>0</v>
      </c>
      <c r="T409" s="26">
        <v>0</v>
      </c>
      <c r="U409" s="26">
        <v>0</v>
      </c>
      <c r="V409" s="26">
        <v>0</v>
      </c>
      <c r="W409" s="26"/>
      <c r="X409" s="26"/>
      <c r="Y409" s="26"/>
      <c r="Z409" s="26">
        <v>0</v>
      </c>
      <c r="AA409" s="26"/>
      <c r="AB409" s="26">
        <v>0</v>
      </c>
      <c r="AC409" s="26">
        <v>0</v>
      </c>
      <c r="AD409" s="111"/>
      <c r="AE409" s="111"/>
      <c r="AF409" s="111"/>
      <c r="AG409" s="111"/>
      <c r="AH409" s="111"/>
      <c r="AI409" s="111"/>
      <c r="AJ409" s="26">
        <v>0</v>
      </c>
      <c r="AK409" s="26">
        <v>0</v>
      </c>
      <c r="AL409" s="113">
        <v>0</v>
      </c>
      <c r="AM409" s="39"/>
      <c r="AN409" s="26">
        <v>0</v>
      </c>
      <c r="AO409" s="27">
        <v>0</v>
      </c>
      <c r="AP409" s="26">
        <f>P409+Q409+R409+S409+T409+U409+V409+W409+X409+Y409+Z409+AA409+AB409+AC409+AD409+AE409+AF409+AG409+AH409+AI409+AJ409+AK409+AL409+AM409+AN409+AO409</f>
        <v>0</v>
      </c>
    </row>
    <row r="410" spans="1:42" s="28" customFormat="1" ht="62.25" customHeight="1" x14ac:dyDescent="0.25">
      <c r="A410" s="20"/>
      <c r="B410" s="19"/>
      <c r="C410" s="134">
        <v>15</v>
      </c>
      <c r="D410" s="137" t="s">
        <v>456</v>
      </c>
      <c r="E410" s="147">
        <v>0.73229999999999995</v>
      </c>
      <c r="F410" s="147">
        <v>0.78</v>
      </c>
      <c r="G410" s="102"/>
      <c r="H410" s="152">
        <v>94</v>
      </c>
      <c r="I410" s="151" t="s">
        <v>519</v>
      </c>
      <c r="J410" s="58">
        <v>70</v>
      </c>
      <c r="K410" s="94">
        <v>105</v>
      </c>
      <c r="L410" s="984"/>
      <c r="M410" s="908"/>
      <c r="N410" s="894"/>
      <c r="O410" s="152" t="s">
        <v>40</v>
      </c>
      <c r="P410" s="26">
        <v>0</v>
      </c>
      <c r="Q410" s="26">
        <v>0</v>
      </c>
      <c r="R410" s="26">
        <v>0</v>
      </c>
      <c r="S410" s="26">
        <v>0</v>
      </c>
      <c r="T410" s="26">
        <v>0</v>
      </c>
      <c r="U410" s="26">
        <v>0</v>
      </c>
      <c r="V410" s="26">
        <v>253000000</v>
      </c>
      <c r="W410" s="26"/>
      <c r="X410" s="26"/>
      <c r="Y410" s="26"/>
      <c r="Z410" s="26">
        <v>0</v>
      </c>
      <c r="AA410" s="26"/>
      <c r="AB410" s="26">
        <v>0</v>
      </c>
      <c r="AC410" s="26">
        <v>0</v>
      </c>
      <c r="AD410" s="14"/>
      <c r="AE410" s="14"/>
      <c r="AF410" s="14"/>
      <c r="AG410" s="14"/>
      <c r="AH410" s="14"/>
      <c r="AI410" s="14"/>
      <c r="AJ410" s="26">
        <v>0</v>
      </c>
      <c r="AK410" s="26">
        <v>0</v>
      </c>
      <c r="AL410" s="113">
        <v>0</v>
      </c>
      <c r="AM410" s="39"/>
      <c r="AN410" s="26">
        <v>0</v>
      </c>
      <c r="AO410" s="27">
        <v>0</v>
      </c>
      <c r="AP410" s="26">
        <f>P410+Q410+R410+S410+T410+U410+V410+W410+X410+Y410+Z410+AA410+AB410+AC410+AD410+AE410+AF410+AG410+AH410+AI410+AJ410+AK410+AL410+AM410+AN410+AO410</f>
        <v>253000000</v>
      </c>
    </row>
    <row r="411" spans="1:42" s="28" customFormat="1" ht="81.75" customHeight="1" x14ac:dyDescent="0.25">
      <c r="A411" s="20"/>
      <c r="B411" s="19"/>
      <c r="C411" s="134">
        <v>19</v>
      </c>
      <c r="D411" s="137" t="s">
        <v>461</v>
      </c>
      <c r="E411" s="147" t="s">
        <v>520</v>
      </c>
      <c r="F411" s="147" t="s">
        <v>521</v>
      </c>
      <c r="G411" s="102"/>
      <c r="H411" s="152">
        <v>95</v>
      </c>
      <c r="I411" s="151" t="s">
        <v>522</v>
      </c>
      <c r="J411" s="58">
        <v>0</v>
      </c>
      <c r="K411" s="94">
        <v>500</v>
      </c>
      <c r="L411" s="984"/>
      <c r="M411" s="908"/>
      <c r="N411" s="894"/>
      <c r="O411" s="152" t="s">
        <v>44</v>
      </c>
      <c r="P411" s="26">
        <v>0</v>
      </c>
      <c r="Q411" s="26">
        <v>0</v>
      </c>
      <c r="R411" s="26">
        <v>0</v>
      </c>
      <c r="S411" s="26">
        <v>0</v>
      </c>
      <c r="T411" s="26">
        <v>0</v>
      </c>
      <c r="U411" s="26">
        <v>0</v>
      </c>
      <c r="V411" s="26">
        <v>4500000</v>
      </c>
      <c r="W411" s="26"/>
      <c r="X411" s="26"/>
      <c r="Y411" s="26"/>
      <c r="Z411" s="26">
        <v>0</v>
      </c>
      <c r="AA411" s="26"/>
      <c r="AB411" s="26">
        <v>0</v>
      </c>
      <c r="AC411" s="26">
        <v>0</v>
      </c>
      <c r="AD411" s="14"/>
      <c r="AE411" s="14"/>
      <c r="AF411" s="14"/>
      <c r="AG411" s="14"/>
      <c r="AH411" s="14"/>
      <c r="AI411" s="14"/>
      <c r="AJ411" s="26">
        <v>0</v>
      </c>
      <c r="AK411" s="26">
        <v>0</v>
      </c>
      <c r="AL411" s="113">
        <f>30000000-AL412</f>
        <v>13700000</v>
      </c>
      <c r="AM411" s="39"/>
      <c r="AN411" s="26">
        <v>0</v>
      </c>
      <c r="AO411" s="27">
        <v>0</v>
      </c>
      <c r="AP411" s="26">
        <f>P411+Q411+R411+S411+T411+U411+V411+W411+X411+Y411+Z411+AA411+AB411+AC411+AD411+AE411+AF411+AG411+AH411+AI411+AJ411+AK411+AL411+AM411+AN411+AO411</f>
        <v>18200000</v>
      </c>
    </row>
    <row r="412" spans="1:42" s="28" customFormat="1" ht="48.75" customHeight="1" x14ac:dyDescent="0.25">
      <c r="A412" s="20"/>
      <c r="B412" s="19"/>
      <c r="C412" s="135"/>
      <c r="D412" s="31"/>
      <c r="E412" s="31"/>
      <c r="F412" s="495"/>
      <c r="G412" s="105"/>
      <c r="H412" s="152">
        <v>96</v>
      </c>
      <c r="I412" s="151" t="s">
        <v>523</v>
      </c>
      <c r="J412" s="58">
        <v>0</v>
      </c>
      <c r="K412" s="94">
        <v>3</v>
      </c>
      <c r="L412" s="985"/>
      <c r="M412" s="909"/>
      <c r="N412" s="895"/>
      <c r="O412" s="152" t="s">
        <v>40</v>
      </c>
      <c r="P412" s="26">
        <v>0</v>
      </c>
      <c r="Q412" s="26">
        <v>0</v>
      </c>
      <c r="R412" s="26">
        <v>0</v>
      </c>
      <c r="S412" s="26">
        <v>0</v>
      </c>
      <c r="T412" s="26">
        <v>0</v>
      </c>
      <c r="U412" s="26">
        <v>0</v>
      </c>
      <c r="V412" s="26">
        <v>0</v>
      </c>
      <c r="W412" s="26"/>
      <c r="X412" s="26"/>
      <c r="Y412" s="26"/>
      <c r="Z412" s="26">
        <v>0</v>
      </c>
      <c r="AA412" s="26"/>
      <c r="AB412" s="26">
        <v>0</v>
      </c>
      <c r="AC412" s="26">
        <v>0</v>
      </c>
      <c r="AD412" s="14"/>
      <c r="AE412" s="14"/>
      <c r="AF412" s="14"/>
      <c r="AG412" s="14"/>
      <c r="AH412" s="14"/>
      <c r="AI412" s="14"/>
      <c r="AJ412" s="26">
        <v>0</v>
      </c>
      <c r="AK412" s="26">
        <v>0</v>
      </c>
      <c r="AL412" s="113">
        <v>16300000</v>
      </c>
      <c r="AM412" s="39"/>
      <c r="AN412" s="26">
        <v>0</v>
      </c>
      <c r="AO412" s="27">
        <v>0</v>
      </c>
      <c r="AP412" s="26">
        <f>P412+Q412+R412+S412+T412+U412+V412+W412+X412+Y412+Z412+AA412+AB412+AC412+AD412+AE412+AF412+AG412+AH412+AI412+AJ412+AK412+AL412+AM412+AN412+AO412</f>
        <v>16300000</v>
      </c>
    </row>
    <row r="413" spans="1:42" s="196" customFormat="1" ht="15" x14ac:dyDescent="0.25">
      <c r="A413" s="20"/>
      <c r="B413" s="20"/>
      <c r="C413" s="150"/>
      <c r="D413" s="151"/>
      <c r="E413" s="708"/>
      <c r="F413" s="81"/>
      <c r="G413" s="191"/>
      <c r="H413" s="192"/>
      <c r="I413" s="191"/>
      <c r="J413" s="480"/>
      <c r="K413" s="494"/>
      <c r="L413" s="494"/>
      <c r="M413" s="194"/>
      <c r="N413" s="191"/>
      <c r="O413" s="192"/>
      <c r="P413" s="195">
        <f>SUM(P409:P412)</f>
        <v>0</v>
      </c>
      <c r="Q413" s="195">
        <f>SUM(Q409:Q412)</f>
        <v>0</v>
      </c>
      <c r="R413" s="195">
        <f>SUM(R409:R412)</f>
        <v>0</v>
      </c>
      <c r="S413" s="195">
        <f>SUM(S409:S412)</f>
        <v>0</v>
      </c>
      <c r="T413" s="195">
        <f>SUM(T409:T412)</f>
        <v>0</v>
      </c>
      <c r="U413" s="195">
        <f>SUM(U409:U412)</f>
        <v>0</v>
      </c>
      <c r="V413" s="195">
        <f>SUM(V409:V412)</f>
        <v>257500000</v>
      </c>
      <c r="W413" s="195">
        <f>SUM(W409:W412)</f>
        <v>0</v>
      </c>
      <c r="X413" s="195">
        <f>SUM(X409:X412)</f>
        <v>0</v>
      </c>
      <c r="Y413" s="195">
        <f>SUM(Y409:Y412)</f>
        <v>0</v>
      </c>
      <c r="Z413" s="195">
        <f>SUM(Z409:Z412)</f>
        <v>0</v>
      </c>
      <c r="AA413" s="195"/>
      <c r="AB413" s="195">
        <f>SUM(AB409:AB412)</f>
        <v>0</v>
      </c>
      <c r="AC413" s="195">
        <f>SUM(AC409:AC412)</f>
        <v>0</v>
      </c>
      <c r="AD413" s="195">
        <f>SUM(AD409:AD412)</f>
        <v>0</v>
      </c>
      <c r="AE413" s="195">
        <f>SUM(AE409:AE412)</f>
        <v>0</v>
      </c>
      <c r="AF413" s="195"/>
      <c r="AG413" s="195">
        <f>SUM(AG409:AG412)</f>
        <v>0</v>
      </c>
      <c r="AH413" s="195">
        <f>SUM(AH409:AH412)</f>
        <v>0</v>
      </c>
      <c r="AI413" s="195">
        <f>SUM(AI409:AI412)</f>
        <v>0</v>
      </c>
      <c r="AJ413" s="195">
        <f>SUM(AJ409:AJ412)</f>
        <v>0</v>
      </c>
      <c r="AK413" s="195">
        <f>SUM(AK409:AK412)</f>
        <v>0</v>
      </c>
      <c r="AL413" s="295">
        <f>SUM(AL409:AL412)</f>
        <v>30000000</v>
      </c>
      <c r="AM413" s="195"/>
      <c r="AN413" s="195">
        <f>SUM(AN409:AN412)</f>
        <v>0</v>
      </c>
      <c r="AO413" s="195">
        <f>SUM(AO409:AO412)</f>
        <v>0</v>
      </c>
      <c r="AP413" s="195">
        <f>SUM(AP409:AP412)</f>
        <v>287500000</v>
      </c>
    </row>
    <row r="414" spans="1:42" s="196" customFormat="1" ht="15" x14ac:dyDescent="0.25">
      <c r="A414" s="20"/>
      <c r="B414" s="20"/>
      <c r="C414" s="454"/>
      <c r="D414" s="214"/>
      <c r="E414" s="481"/>
      <c r="F414" s="481"/>
      <c r="G414" s="214"/>
      <c r="H414" s="454"/>
      <c r="I414" s="214"/>
      <c r="J414" s="383"/>
      <c r="K414" s="383"/>
      <c r="L414" s="396"/>
      <c r="M414" s="279"/>
      <c r="N414" s="265"/>
      <c r="O414" s="454"/>
      <c r="P414" s="217"/>
      <c r="Q414" s="217"/>
      <c r="R414" s="217"/>
      <c r="S414" s="217"/>
      <c r="T414" s="217"/>
      <c r="U414" s="217"/>
      <c r="V414" s="217"/>
      <c r="W414" s="217"/>
      <c r="X414" s="217"/>
      <c r="Y414" s="217"/>
      <c r="Z414" s="217"/>
      <c r="AA414" s="217"/>
      <c r="AB414" s="217"/>
      <c r="AC414" s="217"/>
      <c r="AD414" s="217"/>
      <c r="AE414" s="217"/>
      <c r="AF414" s="217"/>
      <c r="AG414" s="217"/>
      <c r="AH414" s="217"/>
      <c r="AI414" s="217"/>
      <c r="AJ414" s="217"/>
      <c r="AK414" s="217"/>
      <c r="AL414" s="219"/>
      <c r="AM414" s="217"/>
      <c r="AN414" s="217"/>
      <c r="AO414" s="217"/>
      <c r="AP414" s="238"/>
    </row>
    <row r="415" spans="1:42" s="196" customFormat="1" ht="15" x14ac:dyDescent="0.25">
      <c r="A415" s="20"/>
      <c r="B415" s="20"/>
      <c r="C415" s="150"/>
      <c r="D415" s="190"/>
      <c r="E415" s="85"/>
      <c r="F415" s="85"/>
      <c r="G415" s="226">
        <v>22</v>
      </c>
      <c r="H415" s="904" t="s">
        <v>524</v>
      </c>
      <c r="I415" s="904"/>
      <c r="J415" s="904"/>
      <c r="K415" s="904"/>
      <c r="L415" s="904"/>
      <c r="M415" s="904"/>
      <c r="N415" s="904"/>
      <c r="O415" s="904"/>
      <c r="P415" s="904"/>
      <c r="Q415" s="227"/>
      <c r="R415" s="227"/>
      <c r="S415" s="227"/>
      <c r="T415" s="227"/>
      <c r="U415" s="227"/>
      <c r="V415" s="227"/>
      <c r="W415" s="227"/>
      <c r="X415" s="227"/>
      <c r="Y415" s="227"/>
      <c r="Z415" s="227"/>
      <c r="AA415" s="227"/>
      <c r="AB415" s="227"/>
      <c r="AC415" s="227"/>
      <c r="AD415" s="227"/>
      <c r="AE415" s="227"/>
      <c r="AF415" s="227"/>
      <c r="AG415" s="227"/>
      <c r="AH415" s="227"/>
      <c r="AI415" s="227"/>
      <c r="AJ415" s="227"/>
      <c r="AK415" s="227"/>
      <c r="AL415" s="229"/>
      <c r="AM415" s="227"/>
      <c r="AN415" s="227"/>
      <c r="AO415" s="227"/>
      <c r="AP415" s="230"/>
    </row>
    <row r="416" spans="1:42" s="28" customFormat="1" ht="118.5" customHeight="1" x14ac:dyDescent="0.25">
      <c r="A416" s="20"/>
      <c r="B416" s="20"/>
      <c r="C416" s="150" t="s">
        <v>479</v>
      </c>
      <c r="D416" s="151" t="s">
        <v>480</v>
      </c>
      <c r="E416" s="85" t="s">
        <v>525</v>
      </c>
      <c r="F416" s="85" t="s">
        <v>526</v>
      </c>
      <c r="G416" s="151"/>
      <c r="H416" s="152">
        <v>97</v>
      </c>
      <c r="I416" s="837" t="s">
        <v>935</v>
      </c>
      <c r="J416" s="58" t="s">
        <v>36</v>
      </c>
      <c r="K416" s="89">
        <v>26</v>
      </c>
      <c r="L416" s="496" t="s">
        <v>458</v>
      </c>
      <c r="M416" s="38" t="s">
        <v>527</v>
      </c>
      <c r="N416" s="151" t="s">
        <v>528</v>
      </c>
      <c r="O416" s="152" t="s">
        <v>40</v>
      </c>
      <c r="P416" s="26">
        <v>0</v>
      </c>
      <c r="Q416" s="26">
        <v>0</v>
      </c>
      <c r="R416" s="26">
        <v>0</v>
      </c>
      <c r="S416" s="26">
        <v>0</v>
      </c>
      <c r="T416" s="26">
        <v>0</v>
      </c>
      <c r="U416" s="26">
        <v>0</v>
      </c>
      <c r="V416" s="26">
        <v>113300000</v>
      </c>
      <c r="W416" s="26"/>
      <c r="X416" s="26"/>
      <c r="Y416" s="26"/>
      <c r="Z416" s="26">
        <v>0</v>
      </c>
      <c r="AA416" s="26"/>
      <c r="AB416" s="26">
        <v>0</v>
      </c>
      <c r="AC416" s="26">
        <v>0</v>
      </c>
      <c r="AD416" s="111"/>
      <c r="AE416" s="111"/>
      <c r="AF416" s="111"/>
      <c r="AG416" s="111"/>
      <c r="AH416" s="111"/>
      <c r="AI416" s="111"/>
      <c r="AJ416" s="111">
        <v>0</v>
      </c>
      <c r="AK416" s="26">
        <v>0</v>
      </c>
      <c r="AL416" s="113">
        <v>0</v>
      </c>
      <c r="AM416" s="39"/>
      <c r="AN416" s="26">
        <v>0</v>
      </c>
      <c r="AO416" s="27">
        <v>0</v>
      </c>
      <c r="AP416" s="26">
        <f>P416+Q416+R416+S416+T416+U416+V416+W416+X416+Y416+Z416+AA416+AB416+AC416+AD416+AE416+AF416+AG416+AH416+AI416+AJ416+AK416+AL416+AM416+AN416+AO416</f>
        <v>113300000</v>
      </c>
    </row>
    <row r="417" spans="1:42" s="196" customFormat="1" ht="15" x14ac:dyDescent="0.25">
      <c r="A417" s="20"/>
      <c r="B417" s="189"/>
      <c r="C417" s="150"/>
      <c r="D417" s="151"/>
      <c r="E417" s="497"/>
      <c r="F417" s="497"/>
      <c r="G417" s="191"/>
      <c r="H417" s="192"/>
      <c r="I417" s="191"/>
      <c r="J417" s="480"/>
      <c r="K417" s="494"/>
      <c r="L417" s="494"/>
      <c r="M417" s="194"/>
      <c r="N417" s="191"/>
      <c r="O417" s="192"/>
      <c r="P417" s="195">
        <f>SUM(P416)</f>
        <v>0</v>
      </c>
      <c r="Q417" s="195">
        <f>SUM(Q416)</f>
        <v>0</v>
      </c>
      <c r="R417" s="195">
        <f>SUM(R416)</f>
        <v>0</v>
      </c>
      <c r="S417" s="195">
        <f>SUM(S416)</f>
        <v>0</v>
      </c>
      <c r="T417" s="195">
        <f>SUM(T416)</f>
        <v>0</v>
      </c>
      <c r="U417" s="195">
        <f>SUM(U416)</f>
        <v>0</v>
      </c>
      <c r="V417" s="195">
        <f>SUM(V416)</f>
        <v>113300000</v>
      </c>
      <c r="W417" s="195">
        <f>SUM(W416)</f>
        <v>0</v>
      </c>
      <c r="X417" s="195">
        <f>SUM(X416)</f>
        <v>0</v>
      </c>
      <c r="Y417" s="195">
        <f>SUM(Y416)</f>
        <v>0</v>
      </c>
      <c r="Z417" s="195">
        <f>SUM(Z416)</f>
        <v>0</v>
      </c>
      <c r="AA417" s="195"/>
      <c r="AB417" s="195">
        <f>SUM(AB416)</f>
        <v>0</v>
      </c>
      <c r="AC417" s="195">
        <f>SUM(AC416)</f>
        <v>0</v>
      </c>
      <c r="AD417" s="195">
        <f>SUM(AD416)</f>
        <v>0</v>
      </c>
      <c r="AE417" s="195">
        <f t="shared" ref="AE417" si="145">SUM(AE416)</f>
        <v>0</v>
      </c>
      <c r="AF417" s="195">
        <f t="shared" ref="AF417" si="146">SUM(AF416)</f>
        <v>0</v>
      </c>
      <c r="AG417" s="195">
        <f>SUM(AG416)</f>
        <v>0</v>
      </c>
      <c r="AH417" s="195">
        <f>SUM(AH416)</f>
        <v>0</v>
      </c>
      <c r="AI417" s="195">
        <f>SUM(AI416)</f>
        <v>0</v>
      </c>
      <c r="AJ417" s="195">
        <f>SUM(AJ416)</f>
        <v>0</v>
      </c>
      <c r="AK417" s="195">
        <f>SUM(AK416)</f>
        <v>0</v>
      </c>
      <c r="AL417" s="295">
        <f>SUM(AL416)</f>
        <v>0</v>
      </c>
      <c r="AM417" s="195"/>
      <c r="AN417" s="195">
        <f>SUM(AN416)</f>
        <v>0</v>
      </c>
      <c r="AO417" s="195">
        <f>SUM(AO416)</f>
        <v>0</v>
      </c>
      <c r="AP417" s="195">
        <f>SUM(AP416)</f>
        <v>113300000</v>
      </c>
    </row>
    <row r="418" spans="1:42" s="196" customFormat="1" ht="15" x14ac:dyDescent="0.25">
      <c r="A418" s="20"/>
      <c r="B418" s="260"/>
      <c r="C418" s="199"/>
      <c r="D418" s="198"/>
      <c r="E418" s="488"/>
      <c r="F418" s="488"/>
      <c r="G418" s="198"/>
      <c r="H418" s="199"/>
      <c r="I418" s="198"/>
      <c r="J418" s="489"/>
      <c r="K418" s="489"/>
      <c r="L418" s="489"/>
      <c r="M418" s="201"/>
      <c r="N418" s="198"/>
      <c r="O418" s="199"/>
      <c r="P418" s="202">
        <f>P417+P413+P406+P393</f>
        <v>0</v>
      </c>
      <c r="Q418" s="202">
        <f>Q417+Q413+Q406+Q393</f>
        <v>0</v>
      </c>
      <c r="R418" s="202">
        <f>R417+R413+R406+R393</f>
        <v>0</v>
      </c>
      <c r="S418" s="202">
        <f>S417+S413+S406+S393</f>
        <v>0</v>
      </c>
      <c r="T418" s="202">
        <f>T417+T413+T406+T393</f>
        <v>0</v>
      </c>
      <c r="U418" s="202">
        <f>U417+U413+U406+U393</f>
        <v>0</v>
      </c>
      <c r="V418" s="202">
        <f>V417+V413+V406+V393</f>
        <v>870473401</v>
      </c>
      <c r="W418" s="202">
        <f>W417+W413+W406+W393</f>
        <v>0</v>
      </c>
      <c r="X418" s="202">
        <f>X417+X413+X406+X393</f>
        <v>0</v>
      </c>
      <c r="Y418" s="202">
        <f>Y417+Y413+Y406+Y393</f>
        <v>0</v>
      </c>
      <c r="Z418" s="202">
        <f>Z417+Z413+Z406+Z393</f>
        <v>0</v>
      </c>
      <c r="AA418" s="202"/>
      <c r="AB418" s="202">
        <f>AB417+AB413+AB406+AB393</f>
        <v>0</v>
      </c>
      <c r="AC418" s="202">
        <f>AC417+AC413+AC406+AC393</f>
        <v>0</v>
      </c>
      <c r="AD418" s="202">
        <f>AD417+AD413+AD406+AD393</f>
        <v>136316152</v>
      </c>
      <c r="AE418" s="202">
        <f t="shared" ref="AE418" si="147">AE417+AE413+AE406+AE393</f>
        <v>0</v>
      </c>
      <c r="AF418" s="202">
        <f t="shared" ref="AF418" si="148">AF417+AF413+AF406+AF393</f>
        <v>0</v>
      </c>
      <c r="AG418" s="202">
        <f>AG417+AG413+AG406+AG393</f>
        <v>0</v>
      </c>
      <c r="AH418" s="202">
        <f>AH417+AH413+AH406+AH393</f>
        <v>0</v>
      </c>
      <c r="AI418" s="202">
        <f>AI417+AI413+AI406+AI393</f>
        <v>0</v>
      </c>
      <c r="AJ418" s="202">
        <f>AJ417+AJ413+AJ406+AJ393</f>
        <v>0</v>
      </c>
      <c r="AK418" s="202">
        <f>AK417+AK413+AK406+AK393</f>
        <v>0</v>
      </c>
      <c r="AL418" s="297">
        <f>AL417+AL413+AL406+AL393</f>
        <v>80000000</v>
      </c>
      <c r="AM418" s="202"/>
      <c r="AN418" s="202">
        <f>AN417+AN413+AN406+AN393</f>
        <v>0</v>
      </c>
      <c r="AO418" s="202">
        <f>AO417+AO413+AO406+AO393</f>
        <v>0</v>
      </c>
      <c r="AP418" s="202">
        <f>AP417+AP413+AP406+AP393</f>
        <v>1086789553</v>
      </c>
    </row>
    <row r="419" spans="1:42" s="196" customFormat="1" ht="15" x14ac:dyDescent="0.25">
      <c r="A419" s="20"/>
      <c r="B419" s="498"/>
      <c r="C419" s="154"/>
      <c r="D419" s="498"/>
      <c r="E419" s="499"/>
      <c r="F419" s="499"/>
      <c r="G419" s="498"/>
      <c r="H419" s="154"/>
      <c r="I419" s="498"/>
      <c r="J419" s="500"/>
      <c r="K419" s="500"/>
      <c r="L419" s="501"/>
      <c r="M419" s="502"/>
      <c r="N419" s="503"/>
      <c r="O419" s="154"/>
      <c r="P419" s="334"/>
      <c r="Q419" s="334"/>
      <c r="R419" s="334"/>
      <c r="S419" s="334"/>
      <c r="T419" s="334"/>
      <c r="U419" s="334"/>
      <c r="V419" s="108"/>
      <c r="W419" s="334"/>
      <c r="X419" s="334"/>
      <c r="Y419" s="334"/>
      <c r="Z419" s="334"/>
      <c r="AA419" s="334"/>
      <c r="AB419" s="334"/>
      <c r="AC419" s="334"/>
      <c r="AD419" s="504"/>
      <c r="AE419" s="504"/>
      <c r="AF419" s="504"/>
      <c r="AG419" s="504"/>
      <c r="AH419" s="504"/>
      <c r="AI419" s="504"/>
      <c r="AJ419" s="334"/>
      <c r="AK419" s="334"/>
      <c r="AL419" s="346"/>
      <c r="AM419" s="108"/>
      <c r="AN419" s="334"/>
      <c r="AO419" s="334"/>
      <c r="AP419" s="505"/>
    </row>
    <row r="420" spans="1:42" s="196" customFormat="1" x14ac:dyDescent="0.25">
      <c r="A420" s="20"/>
      <c r="B420" s="291">
        <v>7</v>
      </c>
      <c r="C420" s="181" t="s">
        <v>529</v>
      </c>
      <c r="D420" s="182"/>
      <c r="E420" s="182"/>
      <c r="F420" s="182"/>
      <c r="G420" s="182"/>
      <c r="H420" s="183"/>
      <c r="I420" s="182"/>
      <c r="J420" s="182"/>
      <c r="K420" s="182"/>
      <c r="L420" s="182"/>
      <c r="M420" s="184"/>
      <c r="N420" s="182"/>
      <c r="O420" s="182"/>
      <c r="P420" s="182"/>
      <c r="Q420" s="182"/>
      <c r="R420" s="182"/>
      <c r="S420" s="182"/>
      <c r="T420" s="182"/>
      <c r="U420" s="182"/>
      <c r="V420" s="182"/>
      <c r="W420" s="182"/>
      <c r="X420" s="182"/>
      <c r="Y420" s="182"/>
      <c r="Z420" s="182"/>
      <c r="AA420" s="182"/>
      <c r="AB420" s="182"/>
      <c r="AC420" s="182"/>
      <c r="AD420" s="182"/>
      <c r="AE420" s="182"/>
      <c r="AF420" s="182"/>
      <c r="AG420" s="182"/>
      <c r="AH420" s="182"/>
      <c r="AI420" s="182"/>
      <c r="AJ420" s="182"/>
      <c r="AK420" s="182"/>
      <c r="AL420" s="185"/>
      <c r="AM420" s="182"/>
      <c r="AN420" s="182"/>
      <c r="AO420" s="182"/>
      <c r="AP420" s="186"/>
    </row>
    <row r="421" spans="1:42" s="196" customFormat="1" ht="15" x14ac:dyDescent="0.25">
      <c r="A421" s="20"/>
      <c r="B421" s="223"/>
      <c r="C421" s="454"/>
      <c r="D421" s="214"/>
      <c r="E421" s="454"/>
      <c r="F421" s="150"/>
      <c r="G421" s="410">
        <v>23</v>
      </c>
      <c r="H421" s="904" t="s">
        <v>530</v>
      </c>
      <c r="I421" s="904"/>
      <c r="J421" s="904"/>
      <c r="K421" s="904"/>
      <c r="L421" s="904"/>
      <c r="M421" s="904"/>
      <c r="N421" s="904"/>
      <c r="O421" s="904"/>
      <c r="P421" s="904"/>
      <c r="Q421" s="227"/>
      <c r="R421" s="227"/>
      <c r="S421" s="227"/>
      <c r="T421" s="227"/>
      <c r="U421" s="227"/>
      <c r="V421" s="227"/>
      <c r="W421" s="227"/>
      <c r="X421" s="227"/>
      <c r="Y421" s="227"/>
      <c r="Z421" s="227"/>
      <c r="AA421" s="227"/>
      <c r="AB421" s="227"/>
      <c r="AC421" s="227"/>
      <c r="AD421" s="227"/>
      <c r="AE421" s="227"/>
      <c r="AF421" s="227"/>
      <c r="AG421" s="227"/>
      <c r="AH421" s="227"/>
      <c r="AI421" s="227"/>
      <c r="AJ421" s="227"/>
      <c r="AK421" s="227"/>
      <c r="AL421" s="229"/>
      <c r="AM421" s="227"/>
      <c r="AN421" s="227"/>
      <c r="AO421" s="227"/>
      <c r="AP421" s="230"/>
    </row>
    <row r="422" spans="1:42" s="28" customFormat="1" ht="61.5" customHeight="1" x14ac:dyDescent="0.25">
      <c r="A422" s="19"/>
      <c r="B422" s="223"/>
      <c r="C422" s="143"/>
      <c r="D422" s="23"/>
      <c r="E422" s="85"/>
      <c r="F422" s="85"/>
      <c r="G422" s="23"/>
      <c r="H422" s="152">
        <v>98</v>
      </c>
      <c r="I422" s="151" t="s">
        <v>531</v>
      </c>
      <c r="J422" s="58">
        <v>60</v>
      </c>
      <c r="K422" s="89">
        <v>55</v>
      </c>
      <c r="L422" s="978" t="s">
        <v>458</v>
      </c>
      <c r="M422" s="907" t="s">
        <v>532</v>
      </c>
      <c r="N422" s="893" t="s">
        <v>533</v>
      </c>
      <c r="O422" s="152" t="s">
        <v>44</v>
      </c>
      <c r="P422" s="26">
        <v>0</v>
      </c>
      <c r="Q422" s="26">
        <v>0</v>
      </c>
      <c r="R422" s="26">
        <v>0</v>
      </c>
      <c r="S422" s="26">
        <v>0</v>
      </c>
      <c r="T422" s="26">
        <v>0</v>
      </c>
      <c r="U422" s="26">
        <v>0</v>
      </c>
      <c r="V422" s="26">
        <v>20600000</v>
      </c>
      <c r="W422" s="26"/>
      <c r="X422" s="26"/>
      <c r="Y422" s="26"/>
      <c r="Z422" s="26">
        <v>0</v>
      </c>
      <c r="AA422" s="26"/>
      <c r="AB422" s="26">
        <v>0</v>
      </c>
      <c r="AC422" s="26">
        <v>0</v>
      </c>
      <c r="AD422" s="11"/>
      <c r="AE422" s="11"/>
      <c r="AF422" s="11"/>
      <c r="AG422" s="11"/>
      <c r="AH422" s="11"/>
      <c r="AI422" s="11"/>
      <c r="AJ422" s="26">
        <v>0</v>
      </c>
      <c r="AK422" s="26">
        <v>0</v>
      </c>
      <c r="AL422" s="113">
        <v>0</v>
      </c>
      <c r="AM422" s="39"/>
      <c r="AN422" s="26">
        <v>0</v>
      </c>
      <c r="AO422" s="27">
        <v>0</v>
      </c>
      <c r="AP422" s="26">
        <f>P422+Q422+R422+S422+T422+U422+V422+W422+X422+Y422+Z422+AA422+AB422+AC422+AD422+AE422+AF422+AG422+AH422+AI422+AJ422+AK422+AL422+AM422+AN422+AO422</f>
        <v>20600000</v>
      </c>
    </row>
    <row r="423" spans="1:42" s="28" customFormat="1" ht="79.5" customHeight="1" x14ac:dyDescent="0.25">
      <c r="A423" s="19"/>
      <c r="B423" s="20"/>
      <c r="C423" s="145">
        <v>16</v>
      </c>
      <c r="D423" s="137" t="s">
        <v>534</v>
      </c>
      <c r="E423" s="12">
        <v>45</v>
      </c>
      <c r="F423" s="12">
        <v>90</v>
      </c>
      <c r="G423" s="29"/>
      <c r="H423" s="152">
        <v>99</v>
      </c>
      <c r="I423" s="151" t="s">
        <v>535</v>
      </c>
      <c r="J423" s="58">
        <v>76</v>
      </c>
      <c r="K423" s="94">
        <v>150</v>
      </c>
      <c r="L423" s="982"/>
      <c r="M423" s="908"/>
      <c r="N423" s="894"/>
      <c r="O423" s="152" t="s">
        <v>44</v>
      </c>
      <c r="P423" s="26">
        <v>0</v>
      </c>
      <c r="Q423" s="26">
        <v>0</v>
      </c>
      <c r="R423" s="26">
        <v>0</v>
      </c>
      <c r="S423" s="26">
        <v>0</v>
      </c>
      <c r="T423" s="26">
        <v>0</v>
      </c>
      <c r="U423" s="26">
        <v>0</v>
      </c>
      <c r="V423" s="26">
        <v>41200000</v>
      </c>
      <c r="W423" s="26"/>
      <c r="X423" s="26"/>
      <c r="Y423" s="26"/>
      <c r="Z423" s="26">
        <v>0</v>
      </c>
      <c r="AA423" s="26"/>
      <c r="AB423" s="26">
        <v>0</v>
      </c>
      <c r="AC423" s="26">
        <v>0</v>
      </c>
      <c r="AD423" s="11"/>
      <c r="AE423" s="11"/>
      <c r="AF423" s="11"/>
      <c r="AG423" s="11"/>
      <c r="AH423" s="11"/>
      <c r="AI423" s="11"/>
      <c r="AJ423" s="26">
        <v>0</v>
      </c>
      <c r="AK423" s="26">
        <v>0</v>
      </c>
      <c r="AL423" s="113">
        <v>0</v>
      </c>
      <c r="AM423" s="39"/>
      <c r="AN423" s="26">
        <v>0</v>
      </c>
      <c r="AO423" s="27">
        <v>0</v>
      </c>
      <c r="AP423" s="26">
        <f>P423+Q423+R423+S423+T423+U423+V423+W423+X423+Y423+Z423+AA423+AB423+AC423+AD423+AE423+AF423+AG423+AH423+AI423+AJ423+AK423+AL423+AM423+AN423+AO423</f>
        <v>41200000</v>
      </c>
    </row>
    <row r="424" spans="1:42" s="28" customFormat="1" ht="70.5" customHeight="1" x14ac:dyDescent="0.25">
      <c r="A424" s="19"/>
      <c r="B424" s="20"/>
      <c r="C424" s="145">
        <v>17</v>
      </c>
      <c r="D424" s="137" t="s">
        <v>495</v>
      </c>
      <c r="E424" s="85">
        <v>0.63270000000000004</v>
      </c>
      <c r="F424" s="85">
        <v>0.5</v>
      </c>
      <c r="G424" s="29"/>
      <c r="H424" s="152">
        <v>100</v>
      </c>
      <c r="I424" s="151" t="s">
        <v>536</v>
      </c>
      <c r="J424" s="58">
        <v>0</v>
      </c>
      <c r="K424" s="94">
        <v>6</v>
      </c>
      <c r="L424" s="982"/>
      <c r="M424" s="908"/>
      <c r="N424" s="894"/>
      <c r="O424" s="152" t="s">
        <v>44</v>
      </c>
      <c r="P424" s="26">
        <v>0</v>
      </c>
      <c r="Q424" s="26">
        <v>0</v>
      </c>
      <c r="R424" s="26">
        <v>0</v>
      </c>
      <c r="S424" s="26">
        <v>0</v>
      </c>
      <c r="T424" s="26">
        <v>0</v>
      </c>
      <c r="U424" s="26">
        <v>0</v>
      </c>
      <c r="V424" s="26">
        <v>0</v>
      </c>
      <c r="W424" s="26"/>
      <c r="X424" s="26"/>
      <c r="Y424" s="26"/>
      <c r="Z424" s="26">
        <v>0</v>
      </c>
      <c r="AA424" s="26"/>
      <c r="AB424" s="26">
        <v>0</v>
      </c>
      <c r="AC424" s="26">
        <v>0</v>
      </c>
      <c r="AD424" s="11"/>
      <c r="AE424" s="11"/>
      <c r="AF424" s="11"/>
      <c r="AG424" s="11"/>
      <c r="AH424" s="11"/>
      <c r="AI424" s="11"/>
      <c r="AJ424" s="26">
        <v>0</v>
      </c>
      <c r="AK424" s="26">
        <v>0</v>
      </c>
      <c r="AL424" s="113">
        <v>0</v>
      </c>
      <c r="AM424" s="39"/>
      <c r="AN424" s="26">
        <v>0</v>
      </c>
      <c r="AO424" s="27">
        <v>0</v>
      </c>
      <c r="AP424" s="26">
        <f>P424+Q424+R424+S424+T424+U424+V424+W424+X424+Y424+Z424+AA424+AB424+AC424+AD424+AE424+AF424+AG424+AH424+AI424+AJ424+AK424+AL424+AM424+AN424+AO424</f>
        <v>0</v>
      </c>
    </row>
    <row r="425" spans="1:42" s="28" customFormat="1" ht="57" x14ac:dyDescent="0.25">
      <c r="A425" s="19"/>
      <c r="B425" s="20"/>
      <c r="C425" s="145"/>
      <c r="D425" s="29"/>
      <c r="E425" s="91"/>
      <c r="F425" s="91"/>
      <c r="G425" s="29"/>
      <c r="H425" s="152">
        <v>101</v>
      </c>
      <c r="I425" s="151" t="s">
        <v>537</v>
      </c>
      <c r="J425" s="58">
        <v>0</v>
      </c>
      <c r="K425" s="94">
        <v>54</v>
      </c>
      <c r="L425" s="982"/>
      <c r="M425" s="908"/>
      <c r="N425" s="894"/>
      <c r="O425" s="152" t="s">
        <v>44</v>
      </c>
      <c r="P425" s="26">
        <v>0</v>
      </c>
      <c r="Q425" s="26">
        <v>0</v>
      </c>
      <c r="R425" s="26">
        <v>0</v>
      </c>
      <c r="S425" s="26">
        <v>0</v>
      </c>
      <c r="T425" s="26">
        <v>0</v>
      </c>
      <c r="U425" s="26">
        <v>0</v>
      </c>
      <c r="V425" s="26">
        <v>36050000</v>
      </c>
      <c r="W425" s="26"/>
      <c r="X425" s="26"/>
      <c r="Y425" s="26"/>
      <c r="Z425" s="26">
        <v>0</v>
      </c>
      <c r="AA425" s="26"/>
      <c r="AB425" s="26">
        <v>0</v>
      </c>
      <c r="AC425" s="26">
        <v>0</v>
      </c>
      <c r="AD425" s="11"/>
      <c r="AE425" s="11"/>
      <c r="AF425" s="11"/>
      <c r="AG425" s="11"/>
      <c r="AH425" s="11"/>
      <c r="AI425" s="11"/>
      <c r="AJ425" s="26">
        <v>0</v>
      </c>
      <c r="AK425" s="26">
        <v>0</v>
      </c>
      <c r="AL425" s="113">
        <v>0</v>
      </c>
      <c r="AM425" s="39"/>
      <c r="AN425" s="26">
        <v>0</v>
      </c>
      <c r="AO425" s="27">
        <v>0</v>
      </c>
      <c r="AP425" s="26">
        <f>P425+Q425+R425+S425+T425+U425+V425+W425+X425+Y425+Z425+AA425+AB425+AC425+AD425+AE425+AF425+AG425+AH425+AI425+AJ425+AK425+AL425+AM425+AN425+AO425</f>
        <v>36050000</v>
      </c>
    </row>
    <row r="426" spans="1:42" s="28" customFormat="1" ht="57" x14ac:dyDescent="0.25">
      <c r="A426" s="19"/>
      <c r="B426" s="20"/>
      <c r="C426" s="145"/>
      <c r="D426" s="31"/>
      <c r="E426" s="506"/>
      <c r="F426" s="506"/>
      <c r="G426" s="31"/>
      <c r="H426" s="152">
        <v>102</v>
      </c>
      <c r="I426" s="151" t="s">
        <v>538</v>
      </c>
      <c r="J426" s="58">
        <v>0</v>
      </c>
      <c r="K426" s="94">
        <v>3.5</v>
      </c>
      <c r="L426" s="979"/>
      <c r="M426" s="909"/>
      <c r="N426" s="895"/>
      <c r="O426" s="152" t="s">
        <v>40</v>
      </c>
      <c r="P426" s="26">
        <v>0</v>
      </c>
      <c r="Q426" s="26">
        <v>0</v>
      </c>
      <c r="R426" s="26">
        <v>0</v>
      </c>
      <c r="S426" s="26">
        <v>0</v>
      </c>
      <c r="T426" s="26">
        <v>0</v>
      </c>
      <c r="U426" s="26">
        <v>0</v>
      </c>
      <c r="V426" s="26">
        <v>5150000</v>
      </c>
      <c r="W426" s="26"/>
      <c r="X426" s="26"/>
      <c r="Y426" s="26"/>
      <c r="Z426" s="26">
        <v>0</v>
      </c>
      <c r="AA426" s="26"/>
      <c r="AB426" s="26">
        <v>0</v>
      </c>
      <c r="AC426" s="26">
        <v>0</v>
      </c>
      <c r="AD426" s="11"/>
      <c r="AE426" s="11"/>
      <c r="AF426" s="11"/>
      <c r="AG426" s="11"/>
      <c r="AH426" s="11"/>
      <c r="AI426" s="11"/>
      <c r="AJ426" s="26">
        <v>0</v>
      </c>
      <c r="AK426" s="26">
        <v>0</v>
      </c>
      <c r="AL426" s="113">
        <v>0</v>
      </c>
      <c r="AM426" s="39"/>
      <c r="AN426" s="26">
        <v>0</v>
      </c>
      <c r="AO426" s="27">
        <v>0</v>
      </c>
      <c r="AP426" s="26">
        <f>P426+Q426+R426+S426+T426+U426+V426+W426+X426+Y426+Z426+AA426+AB426+AC426+AD426+AE426+AF426+AG426+AH426+AI426+AJ426+AK426+AL426+AM426+AN426+AO426</f>
        <v>5150000</v>
      </c>
    </row>
    <row r="427" spans="1:42" s="196" customFormat="1" ht="15" x14ac:dyDescent="0.25">
      <c r="A427" s="19"/>
      <c r="B427" s="20"/>
      <c r="C427" s="387"/>
      <c r="D427" s="190"/>
      <c r="E427" s="497"/>
      <c r="F427" s="497"/>
      <c r="G427" s="191"/>
      <c r="H427" s="192"/>
      <c r="I427" s="191"/>
      <c r="J427" s="480"/>
      <c r="K427" s="494"/>
      <c r="L427" s="494"/>
      <c r="M427" s="194"/>
      <c r="N427" s="191"/>
      <c r="O427" s="192"/>
      <c r="P427" s="195">
        <f>SUM(P422:P426)</f>
        <v>0</v>
      </c>
      <c r="Q427" s="195">
        <f>SUM(Q422:Q426)</f>
        <v>0</v>
      </c>
      <c r="R427" s="195">
        <f>SUM(R422:R426)</f>
        <v>0</v>
      </c>
      <c r="S427" s="195">
        <f>SUM(S422:S426)</f>
        <v>0</v>
      </c>
      <c r="T427" s="195">
        <f>SUM(T422:T426)</f>
        <v>0</v>
      </c>
      <c r="U427" s="195">
        <f>SUM(U422:U426)</f>
        <v>0</v>
      </c>
      <c r="V427" s="195">
        <f>SUM(V422:V426)</f>
        <v>103000000</v>
      </c>
      <c r="W427" s="195"/>
      <c r="X427" s="195"/>
      <c r="Y427" s="195"/>
      <c r="Z427" s="195">
        <f>SUM(Z422:Z426)</f>
        <v>0</v>
      </c>
      <c r="AA427" s="195"/>
      <c r="AB427" s="195">
        <f>SUM(AB422:AB426)</f>
        <v>0</v>
      </c>
      <c r="AC427" s="195">
        <f>SUM(AC422:AC426)</f>
        <v>0</v>
      </c>
      <c r="AD427" s="195">
        <f>SUM(AD422:AD426)</f>
        <v>0</v>
      </c>
      <c r="AE427" s="195">
        <f>SUM(AE422:AE426)</f>
        <v>0</v>
      </c>
      <c r="AF427" s="195"/>
      <c r="AG427" s="195">
        <f>SUM(AG422:AG426)</f>
        <v>0</v>
      </c>
      <c r="AH427" s="195">
        <f>SUM(AH422:AH426)</f>
        <v>0</v>
      </c>
      <c r="AI427" s="195">
        <f>SUM(AI422:AI426)</f>
        <v>0</v>
      </c>
      <c r="AJ427" s="195">
        <f>SUM(AJ422:AJ426)</f>
        <v>0</v>
      </c>
      <c r="AK427" s="195">
        <f>SUM(AK422:AK426)</f>
        <v>0</v>
      </c>
      <c r="AL427" s="295">
        <f>SUM(AL422:AL426)</f>
        <v>0</v>
      </c>
      <c r="AM427" s="296"/>
      <c r="AN427" s="195">
        <f>SUM(AN422:AN426)</f>
        <v>0</v>
      </c>
      <c r="AO427" s="195">
        <f>SUM(AO422:AO426)</f>
        <v>0</v>
      </c>
      <c r="AP427" s="195">
        <f>SUM(AP422:AP426)</f>
        <v>103000000</v>
      </c>
    </row>
    <row r="428" spans="1:42" s="196" customFormat="1" ht="15" x14ac:dyDescent="0.25">
      <c r="A428" s="19"/>
      <c r="B428" s="20"/>
      <c r="C428" s="454"/>
      <c r="D428" s="214"/>
      <c r="E428" s="481"/>
      <c r="F428" s="481"/>
      <c r="G428" s="214"/>
      <c r="H428" s="454"/>
      <c r="I428" s="214"/>
      <c r="J428" s="383"/>
      <c r="K428" s="383"/>
      <c r="L428" s="396"/>
      <c r="M428" s="279"/>
      <c r="N428" s="265"/>
      <c r="O428" s="454"/>
      <c r="P428" s="217"/>
      <c r="Q428" s="217"/>
      <c r="R428" s="217"/>
      <c r="S428" s="217"/>
      <c r="T428" s="217"/>
      <c r="U428" s="217"/>
      <c r="V428" s="217"/>
      <c r="W428" s="217"/>
      <c r="X428" s="217"/>
      <c r="Y428" s="217"/>
      <c r="Z428" s="217"/>
      <c r="AA428" s="217"/>
      <c r="AB428" s="217"/>
      <c r="AC428" s="217"/>
      <c r="AD428" s="217"/>
      <c r="AE428" s="217"/>
      <c r="AF428" s="217"/>
      <c r="AG428" s="217"/>
      <c r="AH428" s="217"/>
      <c r="AI428" s="217"/>
      <c r="AJ428" s="217"/>
      <c r="AK428" s="217"/>
      <c r="AL428" s="219"/>
      <c r="AM428" s="217"/>
      <c r="AN428" s="217"/>
      <c r="AO428" s="217"/>
      <c r="AP428" s="238"/>
    </row>
    <row r="429" spans="1:42" s="196" customFormat="1" ht="15" x14ac:dyDescent="0.25">
      <c r="A429" s="19"/>
      <c r="B429" s="20"/>
      <c r="C429" s="143"/>
      <c r="D429" s="530"/>
      <c r="E429" s="146"/>
      <c r="F429" s="146"/>
      <c r="G429" s="226">
        <v>24</v>
      </c>
      <c r="H429" s="904" t="s">
        <v>539</v>
      </c>
      <c r="I429" s="904"/>
      <c r="J429" s="904"/>
      <c r="K429" s="904"/>
      <c r="L429" s="904"/>
      <c r="M429" s="904"/>
      <c r="N429" s="904"/>
      <c r="O429" s="904"/>
      <c r="P429" s="904"/>
      <c r="Q429" s="227"/>
      <c r="R429" s="227"/>
      <c r="S429" s="227"/>
      <c r="T429" s="227"/>
      <c r="U429" s="227"/>
      <c r="V429" s="227"/>
      <c r="W429" s="227"/>
      <c r="X429" s="227"/>
      <c r="Y429" s="227"/>
      <c r="Z429" s="227"/>
      <c r="AA429" s="227"/>
      <c r="AB429" s="227"/>
      <c r="AC429" s="227"/>
      <c r="AD429" s="227"/>
      <c r="AE429" s="227"/>
      <c r="AF429" s="227"/>
      <c r="AG429" s="227"/>
      <c r="AH429" s="227"/>
      <c r="AI429" s="227"/>
      <c r="AJ429" s="227"/>
      <c r="AK429" s="227"/>
      <c r="AL429" s="229"/>
      <c r="AM429" s="227"/>
      <c r="AN429" s="227"/>
      <c r="AO429" s="227"/>
      <c r="AP429" s="230"/>
    </row>
    <row r="430" spans="1:42" s="509" customFormat="1" ht="46.5" customHeight="1" x14ac:dyDescent="0.25">
      <c r="A430" s="19"/>
      <c r="B430" s="19"/>
      <c r="C430" s="743"/>
      <c r="D430" s="741"/>
      <c r="E430" s="746"/>
      <c r="F430" s="751"/>
      <c r="G430" s="743"/>
      <c r="H430" s="749">
        <v>103</v>
      </c>
      <c r="I430" s="748" t="s">
        <v>540</v>
      </c>
      <c r="J430" s="58">
        <v>3</v>
      </c>
      <c r="K430" s="94">
        <v>3</v>
      </c>
      <c r="L430" s="980" t="s">
        <v>458</v>
      </c>
      <c r="M430" s="939" t="s">
        <v>541</v>
      </c>
      <c r="N430" s="876" t="s">
        <v>542</v>
      </c>
      <c r="O430" s="749" t="s">
        <v>40</v>
      </c>
      <c r="P430" s="26">
        <v>0</v>
      </c>
      <c r="Q430" s="26">
        <v>0</v>
      </c>
      <c r="R430" s="26">
        <v>0</v>
      </c>
      <c r="S430" s="26">
        <v>0</v>
      </c>
      <c r="T430" s="26">
        <v>0</v>
      </c>
      <c r="U430" s="26">
        <v>0</v>
      </c>
      <c r="V430" s="26">
        <v>21400000</v>
      </c>
      <c r="W430" s="26"/>
      <c r="X430" s="26"/>
      <c r="Y430" s="26"/>
      <c r="Z430" s="26">
        <v>0</v>
      </c>
      <c r="AA430" s="26"/>
      <c r="AB430" s="26">
        <v>0</v>
      </c>
      <c r="AC430" s="26">
        <v>0</v>
      </c>
      <c r="AD430" s="14"/>
      <c r="AE430" s="14"/>
      <c r="AF430" s="14"/>
      <c r="AG430" s="14"/>
      <c r="AH430" s="14"/>
      <c r="AI430" s="14"/>
      <c r="AJ430" s="26">
        <v>0</v>
      </c>
      <c r="AK430" s="26">
        <v>0</v>
      </c>
      <c r="AL430" s="507"/>
      <c r="AM430" s="508"/>
      <c r="AN430" s="26">
        <v>0</v>
      </c>
      <c r="AO430" s="27">
        <v>0</v>
      </c>
      <c r="AP430" s="26">
        <f>P430+Q430+R430+S430+T430+U430+V430+W430+X430+Y430+Z430+AA430+AB430+AC430+AD430+AE430+AF430+AG430+AH430+AI430+AJ430+AK430+AL430+AM430+AN430+AO430</f>
        <v>21400000</v>
      </c>
    </row>
    <row r="431" spans="1:42" s="509" customFormat="1" ht="60" customHeight="1" x14ac:dyDescent="0.25">
      <c r="A431" s="19"/>
      <c r="B431" s="19"/>
      <c r="C431" s="744">
        <v>17</v>
      </c>
      <c r="D431" s="742" t="s">
        <v>543</v>
      </c>
      <c r="E431" s="750">
        <v>0.63270000000000004</v>
      </c>
      <c r="F431" s="745">
        <v>0.5</v>
      </c>
      <c r="G431" s="744"/>
      <c r="H431" s="749">
        <v>104</v>
      </c>
      <c r="I431" s="748" t="s">
        <v>544</v>
      </c>
      <c r="J431" s="58">
        <v>4</v>
      </c>
      <c r="K431" s="94">
        <v>27</v>
      </c>
      <c r="L431" s="981"/>
      <c r="M431" s="940"/>
      <c r="N431" s="877"/>
      <c r="O431" s="749" t="s">
        <v>40</v>
      </c>
      <c r="P431" s="26">
        <v>0</v>
      </c>
      <c r="Q431" s="26">
        <v>0</v>
      </c>
      <c r="R431" s="26">
        <v>0</v>
      </c>
      <c r="S431" s="26">
        <v>0</v>
      </c>
      <c r="T431" s="26">
        <v>0</v>
      </c>
      <c r="U431" s="26">
        <v>0</v>
      </c>
      <c r="V431" s="26">
        <v>32100000</v>
      </c>
      <c r="W431" s="26"/>
      <c r="X431" s="26"/>
      <c r="Y431" s="26"/>
      <c r="Z431" s="26">
        <v>0</v>
      </c>
      <c r="AA431" s="26"/>
      <c r="AB431" s="26">
        <v>0</v>
      </c>
      <c r="AC431" s="26">
        <v>0</v>
      </c>
      <c r="AD431" s="14"/>
      <c r="AE431" s="14"/>
      <c r="AF431" s="14"/>
      <c r="AG431" s="14"/>
      <c r="AH431" s="14"/>
      <c r="AI431" s="14"/>
      <c r="AJ431" s="26">
        <v>0</v>
      </c>
      <c r="AK431" s="26">
        <v>0</v>
      </c>
      <c r="AL431" s="116"/>
      <c r="AM431" s="42"/>
      <c r="AN431" s="26">
        <v>0</v>
      </c>
      <c r="AO431" s="27">
        <v>0</v>
      </c>
      <c r="AP431" s="26">
        <f>P431+Q431+R431+S431+T431+U431+V431+W431+X431+Y431+Z431+AA431+AB431+AC431+AD431+AE431+AF431+AG431+AH431+AI431+AJ431+AK431+AL431+AM431+AN431+AO431</f>
        <v>32100000</v>
      </c>
    </row>
    <row r="432" spans="1:42" s="509" customFormat="1" ht="81" customHeight="1" x14ac:dyDescent="0.25">
      <c r="A432" s="19"/>
      <c r="B432" s="19"/>
      <c r="C432" s="744">
        <v>18</v>
      </c>
      <c r="D432" s="742" t="s">
        <v>545</v>
      </c>
      <c r="E432" s="747">
        <v>6</v>
      </c>
      <c r="F432" s="510">
        <v>12</v>
      </c>
      <c r="G432" s="744"/>
      <c r="H432" s="749">
        <v>105</v>
      </c>
      <c r="I432" s="748" t="s">
        <v>546</v>
      </c>
      <c r="J432" s="58">
        <v>43</v>
      </c>
      <c r="K432" s="94">
        <v>47</v>
      </c>
      <c r="L432" s="981"/>
      <c r="M432" s="940"/>
      <c r="N432" s="877"/>
      <c r="O432" s="749" t="s">
        <v>44</v>
      </c>
      <c r="P432" s="26">
        <v>0</v>
      </c>
      <c r="Q432" s="26">
        <v>0</v>
      </c>
      <c r="R432" s="26">
        <v>0</v>
      </c>
      <c r="S432" s="26">
        <v>0</v>
      </c>
      <c r="T432" s="26">
        <v>0</v>
      </c>
      <c r="U432" s="26">
        <v>0</v>
      </c>
      <c r="V432" s="26">
        <v>0</v>
      </c>
      <c r="W432" s="26"/>
      <c r="X432" s="26"/>
      <c r="Y432" s="26"/>
      <c r="Z432" s="26">
        <v>0</v>
      </c>
      <c r="AA432" s="26"/>
      <c r="AB432" s="26">
        <v>0</v>
      </c>
      <c r="AC432" s="26">
        <v>0</v>
      </c>
      <c r="AD432" s="14"/>
      <c r="AE432" s="14"/>
      <c r="AF432" s="14"/>
      <c r="AG432" s="14"/>
      <c r="AH432" s="14"/>
      <c r="AI432" s="14"/>
      <c r="AJ432" s="26">
        <v>0</v>
      </c>
      <c r="AK432" s="26">
        <v>0</v>
      </c>
      <c r="AL432" s="113">
        <v>32100000</v>
      </c>
      <c r="AM432" s="14"/>
      <c r="AN432" s="26">
        <v>0</v>
      </c>
      <c r="AO432" s="27">
        <v>0</v>
      </c>
      <c r="AP432" s="26">
        <f>P432+Q432+R432+S432+T432+U432+V432+W432+X432+Y432+Z432+AA432+AB432+AC432+AD432+AE432+AF432+AG432+AH432+AI432+AJ432+AK432+AL432+AM432+AN432+AO432</f>
        <v>32100000</v>
      </c>
    </row>
    <row r="433" spans="1:42" s="509" customFormat="1" ht="60" customHeight="1" x14ac:dyDescent="0.25">
      <c r="A433" s="19"/>
      <c r="B433" s="19"/>
      <c r="C433" s="744">
        <v>20</v>
      </c>
      <c r="D433" s="742" t="s">
        <v>547</v>
      </c>
      <c r="E433" s="750" t="s">
        <v>548</v>
      </c>
      <c r="F433" s="750" t="s">
        <v>549</v>
      </c>
      <c r="G433" s="744"/>
      <c r="H433" s="743">
        <v>106</v>
      </c>
      <c r="I433" s="741" t="s">
        <v>550</v>
      </c>
      <c r="J433" s="61">
        <v>0</v>
      </c>
      <c r="K433" s="532">
        <v>1</v>
      </c>
      <c r="L433" s="981"/>
      <c r="M433" s="940"/>
      <c r="N433" s="877"/>
      <c r="O433" s="743" t="s">
        <v>44</v>
      </c>
      <c r="P433" s="82">
        <v>0</v>
      </c>
      <c r="Q433" s="82">
        <v>0</v>
      </c>
      <c r="R433" s="82">
        <v>0</v>
      </c>
      <c r="S433" s="82">
        <v>0</v>
      </c>
      <c r="T433" s="82">
        <v>0</v>
      </c>
      <c r="U433" s="82">
        <v>0</v>
      </c>
      <c r="V433" s="82">
        <v>0</v>
      </c>
      <c r="W433" s="82"/>
      <c r="X433" s="82"/>
      <c r="Y433" s="82"/>
      <c r="Z433" s="82">
        <v>0</v>
      </c>
      <c r="AA433" s="82"/>
      <c r="AB433" s="82">
        <v>0</v>
      </c>
      <c r="AC433" s="82">
        <v>0</v>
      </c>
      <c r="AD433" s="752"/>
      <c r="AE433" s="752"/>
      <c r="AF433" s="752"/>
      <c r="AG433" s="752"/>
      <c r="AH433" s="752"/>
      <c r="AI433" s="752"/>
      <c r="AJ433" s="82">
        <v>0</v>
      </c>
      <c r="AK433" s="82">
        <v>0</v>
      </c>
      <c r="AL433" s="118">
        <v>53600000</v>
      </c>
      <c r="AM433" s="752"/>
      <c r="AN433" s="82">
        <v>0</v>
      </c>
      <c r="AO433" s="83">
        <v>0</v>
      </c>
      <c r="AP433" s="82">
        <f>P433+Q433+R433+S433+T433+U433+V433+W433+X433+Y433+Z433+AA433+AB433+AC433+AD433+AE433+AF433+AG433+AH433+AI433+AJ433+AK433+AL433+AM433+AN433+AO433</f>
        <v>53600000</v>
      </c>
    </row>
    <row r="434" spans="1:42" s="509" customFormat="1" ht="84" customHeight="1" x14ac:dyDescent="0.25">
      <c r="A434" s="19"/>
      <c r="B434" s="19"/>
      <c r="C434" s="806">
        <v>20</v>
      </c>
      <c r="D434" s="805" t="s">
        <v>547</v>
      </c>
      <c r="E434" s="85" t="s">
        <v>548</v>
      </c>
      <c r="F434" s="85" t="s">
        <v>919</v>
      </c>
      <c r="G434" s="806"/>
      <c r="H434" s="806">
        <v>107</v>
      </c>
      <c r="I434" s="805" t="s">
        <v>551</v>
      </c>
      <c r="J434" s="58">
        <v>1</v>
      </c>
      <c r="K434" s="66">
        <v>1</v>
      </c>
      <c r="L434" s="807" t="s">
        <v>458</v>
      </c>
      <c r="M434" s="808">
        <v>2017003630122</v>
      </c>
      <c r="N434" s="805" t="s">
        <v>918</v>
      </c>
      <c r="O434" s="806" t="s">
        <v>44</v>
      </c>
      <c r="P434" s="26"/>
      <c r="Q434" s="26"/>
      <c r="R434" s="26"/>
      <c r="S434" s="26"/>
      <c r="T434" s="26"/>
      <c r="U434" s="26"/>
      <c r="V434" s="26">
        <v>49500000</v>
      </c>
      <c r="W434" s="26"/>
      <c r="X434" s="26"/>
      <c r="Y434" s="26"/>
      <c r="Z434" s="26"/>
      <c r="AA434" s="26"/>
      <c r="AB434" s="26"/>
      <c r="AC434" s="26"/>
      <c r="AD434" s="14"/>
      <c r="AE434" s="14"/>
      <c r="AF434" s="14"/>
      <c r="AG434" s="14"/>
      <c r="AH434" s="14"/>
      <c r="AI434" s="14"/>
      <c r="AJ434" s="26"/>
      <c r="AK434" s="26"/>
      <c r="AL434" s="116">
        <v>4300000</v>
      </c>
      <c r="AM434" s="42"/>
      <c r="AN434" s="26"/>
      <c r="AO434" s="26"/>
      <c r="AP434" s="26">
        <f>P434+Q434+R434+S434+T434+U434+V434+W434+X434+Y434+Z434+AA434+AB434+AC434+AD434+AE434+AF434+AG434+AH434+AI434+AJ434+AK434+AL434+AM434+AN434+AO434</f>
        <v>53800000</v>
      </c>
    </row>
    <row r="435" spans="1:42" s="512" customFormat="1" ht="15" x14ac:dyDescent="0.25">
      <c r="A435" s="19"/>
      <c r="B435" s="189"/>
      <c r="C435" s="387"/>
      <c r="D435" s="138"/>
      <c r="E435" s="148"/>
      <c r="F435" s="511"/>
      <c r="G435" s="591"/>
      <c r="H435" s="592"/>
      <c r="I435" s="591"/>
      <c r="J435" s="753"/>
      <c r="K435" s="754"/>
      <c r="L435" s="754"/>
      <c r="M435" s="755"/>
      <c r="N435" s="591"/>
      <c r="O435" s="592"/>
      <c r="P435" s="756">
        <f>SUM(P430:P434)</f>
        <v>0</v>
      </c>
      <c r="Q435" s="756">
        <f>SUM(Q430:Q434)</f>
        <v>0</v>
      </c>
      <c r="R435" s="756">
        <f>SUM(R430:R434)</f>
        <v>0</v>
      </c>
      <c r="S435" s="756">
        <f>SUM(S430:S434)</f>
        <v>0</v>
      </c>
      <c r="T435" s="756">
        <f>SUM(T430:T434)</f>
        <v>0</v>
      </c>
      <c r="U435" s="756">
        <f>SUM(U430:U434)</f>
        <v>0</v>
      </c>
      <c r="V435" s="756">
        <f>SUM(V430:V434)</f>
        <v>103000000</v>
      </c>
      <c r="W435" s="756">
        <f>SUM(W430:W434)</f>
        <v>0</v>
      </c>
      <c r="X435" s="756">
        <f>SUM(X430:X434)</f>
        <v>0</v>
      </c>
      <c r="Y435" s="756">
        <f>SUM(Y430:Y434)</f>
        <v>0</v>
      </c>
      <c r="Z435" s="756">
        <f>SUM(Z430:Z434)</f>
        <v>0</v>
      </c>
      <c r="AA435" s="756"/>
      <c r="AB435" s="756">
        <f>SUM(AB430:AB434)</f>
        <v>0</v>
      </c>
      <c r="AC435" s="756">
        <f>SUM(AC430:AC434)</f>
        <v>0</v>
      </c>
      <c r="AD435" s="756">
        <f>SUM(AD430:AD434)</f>
        <v>0</v>
      </c>
      <c r="AE435" s="756">
        <f>SUM(AE430:AE434)</f>
        <v>0</v>
      </c>
      <c r="AF435" s="756"/>
      <c r="AG435" s="756">
        <f>SUM(AG430:AG434)</f>
        <v>0</v>
      </c>
      <c r="AH435" s="756">
        <f>SUM(AH430:AH434)</f>
        <v>0</v>
      </c>
      <c r="AI435" s="756">
        <f>SUM(AI430:AI434)</f>
        <v>0</v>
      </c>
      <c r="AJ435" s="756">
        <f>SUM(AJ430:AJ434)</f>
        <v>0</v>
      </c>
      <c r="AK435" s="756">
        <f>SUM(AK430:AK434)</f>
        <v>0</v>
      </c>
      <c r="AL435" s="757">
        <f>SUM(AL430:AL434)</f>
        <v>90000000</v>
      </c>
      <c r="AM435" s="756"/>
      <c r="AN435" s="756">
        <f>SUM(AN430:AN434)</f>
        <v>0</v>
      </c>
      <c r="AO435" s="756">
        <f>SUM(AO430:AO434)</f>
        <v>0</v>
      </c>
      <c r="AP435" s="756">
        <f>SUM(AP430:AP434)</f>
        <v>193000000</v>
      </c>
    </row>
    <row r="436" spans="1:42" s="512" customFormat="1" ht="15" x14ac:dyDescent="0.25">
      <c r="A436" s="20"/>
      <c r="B436" s="513"/>
      <c r="C436" s="199"/>
      <c r="D436" s="198"/>
      <c r="E436" s="488"/>
      <c r="F436" s="488"/>
      <c r="G436" s="198"/>
      <c r="H436" s="199"/>
      <c r="I436" s="198"/>
      <c r="J436" s="489"/>
      <c r="K436" s="514"/>
      <c r="L436" s="514"/>
      <c r="M436" s="201"/>
      <c r="N436" s="198"/>
      <c r="O436" s="199"/>
      <c r="P436" s="202">
        <f>P435+P427</f>
        <v>0</v>
      </c>
      <c r="Q436" s="202">
        <f>Q435+Q427</f>
        <v>0</v>
      </c>
      <c r="R436" s="202">
        <f>R435+R427</f>
        <v>0</v>
      </c>
      <c r="S436" s="202">
        <f>S435+S427</f>
        <v>0</v>
      </c>
      <c r="T436" s="202">
        <f>T435+T427</f>
        <v>0</v>
      </c>
      <c r="U436" s="202">
        <f>U435+U427</f>
        <v>0</v>
      </c>
      <c r="V436" s="202">
        <f>V435+V427</f>
        <v>206000000</v>
      </c>
      <c r="W436" s="202">
        <f>W435+W427</f>
        <v>0</v>
      </c>
      <c r="X436" s="202">
        <f>X435+X427</f>
        <v>0</v>
      </c>
      <c r="Y436" s="202">
        <f>Y435+Y427</f>
        <v>0</v>
      </c>
      <c r="Z436" s="202">
        <f>Z435+Z427</f>
        <v>0</v>
      </c>
      <c r="AA436" s="202"/>
      <c r="AB436" s="202">
        <f>AB435+AB427</f>
        <v>0</v>
      </c>
      <c r="AC436" s="202">
        <f>AC435+AC427</f>
        <v>0</v>
      </c>
      <c r="AD436" s="202">
        <f>AD435+AD427</f>
        <v>0</v>
      </c>
      <c r="AE436" s="202">
        <f>AE435+AE427</f>
        <v>0</v>
      </c>
      <c r="AF436" s="202"/>
      <c r="AG436" s="202">
        <f>AG435+AG427</f>
        <v>0</v>
      </c>
      <c r="AH436" s="202">
        <f>AH435+AH427</f>
        <v>0</v>
      </c>
      <c r="AI436" s="202">
        <f>AI435+AI427</f>
        <v>0</v>
      </c>
      <c r="AJ436" s="202">
        <f>AJ435+AJ427</f>
        <v>0</v>
      </c>
      <c r="AK436" s="202">
        <f>AK435+AK427</f>
        <v>0</v>
      </c>
      <c r="AL436" s="297">
        <f>AL435+AL427</f>
        <v>90000000</v>
      </c>
      <c r="AM436" s="202"/>
      <c r="AN436" s="202">
        <f>AN435+AN427</f>
        <v>0</v>
      </c>
      <c r="AO436" s="202">
        <f>AO435+AO427</f>
        <v>0</v>
      </c>
      <c r="AP436" s="202">
        <f>AP435+AP427</f>
        <v>296000000</v>
      </c>
    </row>
    <row r="437" spans="1:42" s="509" customFormat="1" ht="15" x14ac:dyDescent="0.25">
      <c r="A437" s="20"/>
      <c r="B437" s="214"/>
      <c r="C437" s="454"/>
      <c r="D437" s="214"/>
      <c r="E437" s="481"/>
      <c r="F437" s="481"/>
      <c r="G437" s="214"/>
      <c r="H437" s="454"/>
      <c r="I437" s="214"/>
      <c r="J437" s="482"/>
      <c r="K437" s="482"/>
      <c r="L437" s="483"/>
      <c r="M437" s="279"/>
      <c r="N437" s="265"/>
      <c r="O437" s="454"/>
      <c r="P437" s="217"/>
      <c r="Q437" s="217"/>
      <c r="R437" s="217"/>
      <c r="S437" s="217"/>
      <c r="T437" s="217"/>
      <c r="U437" s="217"/>
      <c r="V437" s="108"/>
      <c r="W437" s="217"/>
      <c r="X437" s="217"/>
      <c r="Y437" s="217"/>
      <c r="Z437" s="217"/>
      <c r="AA437" s="217"/>
      <c r="AB437" s="217"/>
      <c r="AC437" s="217"/>
      <c r="AD437" s="217"/>
      <c r="AE437" s="217"/>
      <c r="AF437" s="217"/>
      <c r="AG437" s="217"/>
      <c r="AH437" s="217"/>
      <c r="AI437" s="217"/>
      <c r="AJ437" s="217"/>
      <c r="AK437" s="217"/>
      <c r="AL437" s="346"/>
      <c r="AM437" s="108"/>
      <c r="AN437" s="217"/>
      <c r="AO437" s="217"/>
      <c r="AP437" s="238"/>
    </row>
    <row r="438" spans="1:42" s="509" customFormat="1" x14ac:dyDescent="0.25">
      <c r="A438" s="20"/>
      <c r="B438" s="291">
        <v>8</v>
      </c>
      <c r="C438" s="181" t="s">
        <v>552</v>
      </c>
      <c r="D438" s="182"/>
      <c r="E438" s="182"/>
      <c r="F438" s="182"/>
      <c r="G438" s="182"/>
      <c r="H438" s="183"/>
      <c r="I438" s="182"/>
      <c r="J438" s="182"/>
      <c r="K438" s="182"/>
      <c r="L438" s="182"/>
      <c r="M438" s="184"/>
      <c r="N438" s="182"/>
      <c r="O438" s="182"/>
      <c r="P438" s="182"/>
      <c r="Q438" s="182"/>
      <c r="R438" s="182"/>
      <c r="S438" s="182"/>
      <c r="T438" s="182"/>
      <c r="U438" s="182"/>
      <c r="V438" s="182"/>
      <c r="W438" s="182"/>
      <c r="X438" s="182"/>
      <c r="Y438" s="182"/>
      <c r="Z438" s="182"/>
      <c r="AA438" s="182"/>
      <c r="AB438" s="182"/>
      <c r="AC438" s="182"/>
      <c r="AD438" s="182"/>
      <c r="AE438" s="182"/>
      <c r="AF438" s="182"/>
      <c r="AG438" s="182"/>
      <c r="AH438" s="182"/>
      <c r="AI438" s="182"/>
      <c r="AJ438" s="182"/>
      <c r="AK438" s="182"/>
      <c r="AL438" s="185"/>
      <c r="AM438" s="182"/>
      <c r="AN438" s="182"/>
      <c r="AO438" s="182"/>
      <c r="AP438" s="186"/>
    </row>
    <row r="439" spans="1:42" s="509" customFormat="1" ht="15" x14ac:dyDescent="0.25">
      <c r="A439" s="20"/>
      <c r="B439" s="223"/>
      <c r="C439" s="454"/>
      <c r="D439" s="214"/>
      <c r="E439" s="454"/>
      <c r="F439" s="150"/>
      <c r="G439" s="410">
        <v>25</v>
      </c>
      <c r="H439" s="904" t="s">
        <v>553</v>
      </c>
      <c r="I439" s="904"/>
      <c r="J439" s="904"/>
      <c r="K439" s="904"/>
      <c r="L439" s="904"/>
      <c r="M439" s="904"/>
      <c r="N439" s="904"/>
      <c r="O439" s="904"/>
      <c r="P439" s="904"/>
      <c r="Q439" s="227"/>
      <c r="R439" s="227"/>
      <c r="S439" s="227"/>
      <c r="T439" s="227"/>
      <c r="U439" s="227"/>
      <c r="V439" s="227"/>
      <c r="W439" s="227"/>
      <c r="X439" s="227"/>
      <c r="Y439" s="227"/>
      <c r="Z439" s="227"/>
      <c r="AA439" s="227"/>
      <c r="AB439" s="227"/>
      <c r="AC439" s="227"/>
      <c r="AD439" s="227"/>
      <c r="AE439" s="227"/>
      <c r="AF439" s="227"/>
      <c r="AG439" s="227"/>
      <c r="AH439" s="227"/>
      <c r="AI439" s="227"/>
      <c r="AJ439" s="227"/>
      <c r="AK439" s="227"/>
      <c r="AL439" s="229"/>
      <c r="AM439" s="227"/>
      <c r="AN439" s="227"/>
      <c r="AO439" s="227"/>
      <c r="AP439" s="230"/>
    </row>
    <row r="440" spans="1:42" s="509" customFormat="1" ht="75.75" customHeight="1" x14ac:dyDescent="0.25">
      <c r="A440" s="20"/>
      <c r="B440" s="20"/>
      <c r="C440" s="864" t="s">
        <v>479</v>
      </c>
      <c r="D440" s="893" t="s">
        <v>480</v>
      </c>
      <c r="E440" s="971" t="s">
        <v>525</v>
      </c>
      <c r="F440" s="971" t="s">
        <v>526</v>
      </c>
      <c r="G440" s="23"/>
      <c r="H440" s="152">
        <v>108</v>
      </c>
      <c r="I440" s="151" t="s">
        <v>554</v>
      </c>
      <c r="J440" s="58">
        <v>4</v>
      </c>
      <c r="K440" s="89">
        <v>4</v>
      </c>
      <c r="L440" s="978" t="s">
        <v>458</v>
      </c>
      <c r="M440" s="907" t="s">
        <v>555</v>
      </c>
      <c r="N440" s="893" t="s">
        <v>556</v>
      </c>
      <c r="O440" s="152" t="s">
        <v>44</v>
      </c>
      <c r="P440" s="151">
        <v>0</v>
      </c>
      <c r="Q440" s="151">
        <v>0</v>
      </c>
      <c r="R440" s="151">
        <v>0</v>
      </c>
      <c r="S440" s="151">
        <v>0</v>
      </c>
      <c r="T440" s="151">
        <v>0</v>
      </c>
      <c r="U440" s="151">
        <v>0</v>
      </c>
      <c r="V440" s="151">
        <v>0</v>
      </c>
      <c r="W440" s="151"/>
      <c r="X440" s="151"/>
      <c r="Y440" s="151"/>
      <c r="Z440" s="151">
        <v>0</v>
      </c>
      <c r="AA440" s="151"/>
      <c r="AB440" s="151">
        <v>0</v>
      </c>
      <c r="AC440" s="151">
        <v>0</v>
      </c>
      <c r="AD440" s="151"/>
      <c r="AE440" s="151"/>
      <c r="AF440" s="151"/>
      <c r="AG440" s="151"/>
      <c r="AH440" s="151"/>
      <c r="AI440" s="151"/>
      <c r="AJ440" s="151">
        <v>0</v>
      </c>
      <c r="AK440" s="151">
        <v>0</v>
      </c>
      <c r="AL440" s="114">
        <v>10000000</v>
      </c>
      <c r="AM440" s="515"/>
      <c r="AN440" s="151">
        <v>0</v>
      </c>
      <c r="AO440" s="213">
        <v>0</v>
      </c>
      <c r="AP440" s="26">
        <f>P440+Q440+R440+S440+T440+U440+V440+W440+X440+Y440+Z440+AA440+AB440+AC440+AD440+AE440+AF440+AG440+AH440+AI440+AJ440+AK440+AL440+AM440+AN440+AO440</f>
        <v>10000000</v>
      </c>
    </row>
    <row r="441" spans="1:42" s="509" customFormat="1" ht="71.25" x14ac:dyDescent="0.25">
      <c r="A441" s="20"/>
      <c r="B441" s="20"/>
      <c r="C441" s="866"/>
      <c r="D441" s="895"/>
      <c r="E441" s="972"/>
      <c r="F441" s="972"/>
      <c r="G441" s="31"/>
      <c r="H441" s="152">
        <v>109</v>
      </c>
      <c r="I441" s="151" t="s">
        <v>557</v>
      </c>
      <c r="J441" s="58">
        <v>0</v>
      </c>
      <c r="K441" s="89">
        <v>52</v>
      </c>
      <c r="L441" s="979"/>
      <c r="M441" s="909"/>
      <c r="N441" s="895"/>
      <c r="O441" s="152" t="s">
        <v>44</v>
      </c>
      <c r="P441" s="151">
        <v>0</v>
      </c>
      <c r="Q441" s="151">
        <v>0</v>
      </c>
      <c r="R441" s="151">
        <v>0</v>
      </c>
      <c r="S441" s="151">
        <v>0</v>
      </c>
      <c r="T441" s="151">
        <v>0</v>
      </c>
      <c r="U441" s="151">
        <v>0</v>
      </c>
      <c r="V441" s="151">
        <v>0</v>
      </c>
      <c r="W441" s="151"/>
      <c r="X441" s="151"/>
      <c r="Y441" s="151"/>
      <c r="Z441" s="151">
        <v>0</v>
      </c>
      <c r="AA441" s="151"/>
      <c r="AB441" s="151">
        <v>0</v>
      </c>
      <c r="AC441" s="151">
        <v>0</v>
      </c>
      <c r="AD441" s="151"/>
      <c r="AE441" s="151"/>
      <c r="AF441" s="151"/>
      <c r="AG441" s="151"/>
      <c r="AH441" s="151"/>
      <c r="AI441" s="151"/>
      <c r="AJ441" s="151">
        <v>0</v>
      </c>
      <c r="AK441" s="151">
        <v>0</v>
      </c>
      <c r="AL441" s="114">
        <v>70000000</v>
      </c>
      <c r="AM441" s="515"/>
      <c r="AN441" s="151">
        <v>0</v>
      </c>
      <c r="AO441" s="213">
        <v>0</v>
      </c>
      <c r="AP441" s="26">
        <f>P441+Q441+R441+S441+T441+U441+V441+W441+X441+Y441+Z441+AA441+AB441+AC441+AD441+AE441+AF441+AG441+AH441+AI441+AJ441+AK441+AL441+AM441+AN441+AO441</f>
        <v>70000000</v>
      </c>
    </row>
    <row r="442" spans="1:42" s="512" customFormat="1" ht="15" x14ac:dyDescent="0.25">
      <c r="A442" s="20"/>
      <c r="B442" s="20"/>
      <c r="C442" s="150"/>
      <c r="D442" s="151"/>
      <c r="E442" s="81"/>
      <c r="F442" s="81"/>
      <c r="G442" s="191"/>
      <c r="H442" s="192"/>
      <c r="I442" s="191"/>
      <c r="J442" s="480"/>
      <c r="K442" s="494"/>
      <c r="L442" s="494"/>
      <c r="M442" s="194"/>
      <c r="N442" s="191"/>
      <c r="O442" s="192"/>
      <c r="P442" s="516">
        <f>SUM(P440:P441)</f>
        <v>0</v>
      </c>
      <c r="Q442" s="516">
        <f>SUM(Q440:Q441)</f>
        <v>0</v>
      </c>
      <c r="R442" s="516">
        <f>SUM(R440:R441)</f>
        <v>0</v>
      </c>
      <c r="S442" s="516">
        <f>SUM(S440:S441)</f>
        <v>0</v>
      </c>
      <c r="T442" s="516">
        <f>SUM(T440:T441)</f>
        <v>0</v>
      </c>
      <c r="U442" s="516">
        <f>SUM(U440:U441)</f>
        <v>0</v>
      </c>
      <c r="V442" s="516">
        <f>SUM(V440:V441)</f>
        <v>0</v>
      </c>
      <c r="W442" s="516">
        <f>SUM(W440:W441)</f>
        <v>0</v>
      </c>
      <c r="X442" s="516">
        <f>SUM(X440:X441)</f>
        <v>0</v>
      </c>
      <c r="Y442" s="516">
        <f>SUM(Y440:Y441)</f>
        <v>0</v>
      </c>
      <c r="Z442" s="516">
        <f>SUM(Z440:Z441)</f>
        <v>0</v>
      </c>
      <c r="AA442" s="516"/>
      <c r="AB442" s="516">
        <f>SUM(AB440:AB441)</f>
        <v>0</v>
      </c>
      <c r="AC442" s="516">
        <f>SUM(AC440:AC441)</f>
        <v>0</v>
      </c>
      <c r="AD442" s="516">
        <f>SUM(AD440:AD441)</f>
        <v>0</v>
      </c>
      <c r="AE442" s="516">
        <f>SUM(AE440:AE441)</f>
        <v>0</v>
      </c>
      <c r="AF442" s="516"/>
      <c r="AG442" s="516">
        <f>SUM(AG440:AG441)</f>
        <v>0</v>
      </c>
      <c r="AH442" s="516">
        <f>SUM(AH440:AH441)</f>
        <v>0</v>
      </c>
      <c r="AI442" s="516">
        <f>SUM(AI440:AI441)</f>
        <v>0</v>
      </c>
      <c r="AJ442" s="516">
        <f>SUM(AJ440:AJ441)</f>
        <v>0</v>
      </c>
      <c r="AK442" s="516">
        <f>SUM(AK440:AK441)</f>
        <v>0</v>
      </c>
      <c r="AL442" s="517">
        <f>SUM(AL440:AL441)</f>
        <v>80000000</v>
      </c>
      <c r="AM442" s="516"/>
      <c r="AN442" s="516">
        <f>SUM(AN440:AN441)</f>
        <v>0</v>
      </c>
      <c r="AO442" s="516">
        <f>SUM(AO440:AO441)</f>
        <v>0</v>
      </c>
      <c r="AP442" s="518">
        <f>SUM(AP440:AP441)</f>
        <v>80000000</v>
      </c>
    </row>
    <row r="443" spans="1:42" s="512" customFormat="1" ht="15" x14ac:dyDescent="0.25">
      <c r="A443" s="20"/>
      <c r="B443" s="20"/>
      <c r="C443" s="454"/>
      <c r="D443" s="214"/>
      <c r="E443" s="481"/>
      <c r="F443" s="481"/>
      <c r="G443" s="214"/>
      <c r="H443" s="454"/>
      <c r="I443" s="214"/>
      <c r="J443" s="482"/>
      <c r="K443" s="482"/>
      <c r="L443" s="483"/>
      <c r="M443" s="279"/>
      <c r="N443" s="265"/>
      <c r="O443" s="454"/>
      <c r="P443" s="217"/>
      <c r="Q443" s="217"/>
      <c r="R443" s="217"/>
      <c r="S443" s="217"/>
      <c r="T443" s="217"/>
      <c r="U443" s="217"/>
      <c r="V443" s="108"/>
      <c r="W443" s="217"/>
      <c r="X443" s="217"/>
      <c r="Y443" s="217"/>
      <c r="Z443" s="217"/>
      <c r="AA443" s="217"/>
      <c r="AB443" s="217"/>
      <c r="AC443" s="217"/>
      <c r="AD443" s="217"/>
      <c r="AE443" s="217"/>
      <c r="AF443" s="217"/>
      <c r="AG443" s="217"/>
      <c r="AH443" s="217"/>
      <c r="AI443" s="217"/>
      <c r="AJ443" s="217"/>
      <c r="AK443" s="217"/>
      <c r="AL443" s="346"/>
      <c r="AM443" s="108"/>
      <c r="AN443" s="217"/>
      <c r="AO443" s="217"/>
      <c r="AP443" s="238"/>
    </row>
    <row r="444" spans="1:42" s="512" customFormat="1" ht="15" x14ac:dyDescent="0.25">
      <c r="A444" s="20"/>
      <c r="B444" s="20"/>
      <c r="C444" s="150"/>
      <c r="D444" s="151"/>
      <c r="E444" s="81"/>
      <c r="F444" s="81"/>
      <c r="G444" s="410">
        <v>26</v>
      </c>
      <c r="H444" s="904" t="s">
        <v>558</v>
      </c>
      <c r="I444" s="904"/>
      <c r="J444" s="904"/>
      <c r="K444" s="904"/>
      <c r="L444" s="904"/>
      <c r="M444" s="904"/>
      <c r="N444" s="904"/>
      <c r="O444" s="904"/>
      <c r="P444" s="904"/>
      <c r="Q444" s="227"/>
      <c r="R444" s="227" t="s">
        <v>0</v>
      </c>
      <c r="S444" s="227"/>
      <c r="T444" s="227"/>
      <c r="U444" s="227"/>
      <c r="V444" s="227"/>
      <c r="W444" s="227"/>
      <c r="X444" s="227"/>
      <c r="Y444" s="227"/>
      <c r="Z444" s="227"/>
      <c r="AA444" s="227"/>
      <c r="AB444" s="227"/>
      <c r="AC444" s="227"/>
      <c r="AD444" s="227"/>
      <c r="AE444" s="227"/>
      <c r="AF444" s="227"/>
      <c r="AG444" s="227"/>
      <c r="AH444" s="227"/>
      <c r="AI444" s="227"/>
      <c r="AJ444" s="227"/>
      <c r="AK444" s="227"/>
      <c r="AL444" s="229"/>
      <c r="AM444" s="227"/>
      <c r="AN444" s="227"/>
      <c r="AO444" s="227"/>
      <c r="AP444" s="230"/>
    </row>
    <row r="445" spans="1:42" s="512" customFormat="1" ht="216" customHeight="1" x14ac:dyDescent="0.25">
      <c r="A445" s="20"/>
      <c r="B445" s="20"/>
      <c r="C445" s="150" t="s">
        <v>559</v>
      </c>
      <c r="D445" s="190" t="s">
        <v>560</v>
      </c>
      <c r="E445" s="85" t="s">
        <v>561</v>
      </c>
      <c r="F445" s="85" t="s">
        <v>562</v>
      </c>
      <c r="G445" s="151"/>
      <c r="H445" s="152">
        <v>110</v>
      </c>
      <c r="I445" s="151" t="s">
        <v>563</v>
      </c>
      <c r="J445" s="58">
        <v>180</v>
      </c>
      <c r="K445" s="519">
        <v>200</v>
      </c>
      <c r="L445" s="519" t="s">
        <v>458</v>
      </c>
      <c r="M445" s="38" t="s">
        <v>564</v>
      </c>
      <c r="N445" s="151" t="s">
        <v>565</v>
      </c>
      <c r="O445" s="152" t="s">
        <v>44</v>
      </c>
      <c r="P445" s="151">
        <v>0</v>
      </c>
      <c r="Q445" s="151">
        <v>0</v>
      </c>
      <c r="R445" s="151">
        <v>0</v>
      </c>
      <c r="S445" s="151">
        <v>0</v>
      </c>
      <c r="T445" s="151">
        <v>0</v>
      </c>
      <c r="U445" s="151">
        <v>0</v>
      </c>
      <c r="V445" s="151">
        <v>0</v>
      </c>
      <c r="W445" s="151"/>
      <c r="X445" s="151"/>
      <c r="Y445" s="151"/>
      <c r="Z445" s="151">
        <v>0</v>
      </c>
      <c r="AA445" s="151"/>
      <c r="AB445" s="151">
        <v>0</v>
      </c>
      <c r="AC445" s="151">
        <v>0</v>
      </c>
      <c r="AD445" s="520"/>
      <c r="AE445" s="520"/>
      <c r="AF445" s="520"/>
      <c r="AG445" s="520"/>
      <c r="AH445" s="520"/>
      <c r="AI445" s="520">
        <v>1200000000</v>
      </c>
      <c r="AJ445" s="151">
        <v>0</v>
      </c>
      <c r="AK445" s="151">
        <v>0</v>
      </c>
      <c r="AL445" s="521">
        <v>0</v>
      </c>
      <c r="AM445" s="294"/>
      <c r="AN445" s="190">
        <v>0</v>
      </c>
      <c r="AO445" s="49">
        <v>0</v>
      </c>
      <c r="AP445" s="26">
        <f>P445+Q445+R445+S445+T445+U445+V445+W445+X445+Y445+Z445+AA445+AB445+AC445+AD445+AE445+AF445+AG445+AH445+AI445+AJ445+AK445+AL445+AM445+AN445+AO445</f>
        <v>1200000000</v>
      </c>
    </row>
    <row r="446" spans="1:42" s="512" customFormat="1" ht="15" x14ac:dyDescent="0.25">
      <c r="A446" s="20"/>
      <c r="B446" s="20"/>
      <c r="C446" s="150"/>
      <c r="D446" s="190"/>
      <c r="E446" s="85"/>
      <c r="F446" s="85"/>
      <c r="G446" s="191"/>
      <c r="H446" s="192"/>
      <c r="I446" s="191"/>
      <c r="J446" s="480"/>
      <c r="K446" s="494"/>
      <c r="L446" s="494"/>
      <c r="M446" s="194"/>
      <c r="N446" s="191"/>
      <c r="O446" s="192"/>
      <c r="P446" s="191">
        <f>SUM(P445)</f>
        <v>0</v>
      </c>
      <c r="Q446" s="191">
        <f>SUM(Q445)</f>
        <v>0</v>
      </c>
      <c r="R446" s="191">
        <f>SUM(R445)</f>
        <v>0</v>
      </c>
      <c r="S446" s="191">
        <f>SUM(S445)</f>
        <v>0</v>
      </c>
      <c r="T446" s="191">
        <f>SUM(T445)</f>
        <v>0</v>
      </c>
      <c r="U446" s="191">
        <f>SUM(U445)</f>
        <v>0</v>
      </c>
      <c r="V446" s="191">
        <f>SUM(V445)</f>
        <v>0</v>
      </c>
      <c r="W446" s="191">
        <f>SUM(W445)</f>
        <v>0</v>
      </c>
      <c r="X446" s="191">
        <f>SUM(X445)</f>
        <v>0</v>
      </c>
      <c r="Y446" s="191">
        <f>SUM(Y445)</f>
        <v>0</v>
      </c>
      <c r="Z446" s="191">
        <f>SUM(Z445)</f>
        <v>0</v>
      </c>
      <c r="AA446" s="191"/>
      <c r="AB446" s="191">
        <f>SUM(AB445)</f>
        <v>0</v>
      </c>
      <c r="AC446" s="191">
        <f>SUM(AC445)</f>
        <v>0</v>
      </c>
      <c r="AD446" s="191">
        <f>SUM(AD445)</f>
        <v>0</v>
      </c>
      <c r="AE446" s="191">
        <f>SUM(AE445)</f>
        <v>0</v>
      </c>
      <c r="AF446" s="191"/>
      <c r="AG446" s="191">
        <f>SUM(AG445)</f>
        <v>0</v>
      </c>
      <c r="AH446" s="191">
        <f>SUM(AH445)</f>
        <v>0</v>
      </c>
      <c r="AI446" s="523">
        <f>SUM(AI445)</f>
        <v>1200000000</v>
      </c>
      <c r="AJ446" s="191">
        <f>SUM(AJ445)</f>
        <v>0</v>
      </c>
      <c r="AK446" s="191">
        <f>SUM(AK445)</f>
        <v>0</v>
      </c>
      <c r="AL446" s="517">
        <f>SUM(AL445)</f>
        <v>0</v>
      </c>
      <c r="AM446" s="191"/>
      <c r="AN446" s="191">
        <f>SUM(AN445)</f>
        <v>0</v>
      </c>
      <c r="AO446" s="191">
        <f>SUM(AO445)</f>
        <v>0</v>
      </c>
      <c r="AP446" s="518">
        <f>SUM(AP445)</f>
        <v>1200000000</v>
      </c>
    </row>
    <row r="447" spans="1:42" s="512" customFormat="1" ht="15" x14ac:dyDescent="0.25">
      <c r="A447" s="20"/>
      <c r="B447" s="20"/>
      <c r="C447" s="454"/>
      <c r="D447" s="214"/>
      <c r="E447" s="481"/>
      <c r="F447" s="481"/>
      <c r="G447" s="214"/>
      <c r="H447" s="454"/>
      <c r="I447" s="214"/>
      <c r="J447" s="482"/>
      <c r="K447" s="482"/>
      <c r="L447" s="483"/>
      <c r="M447" s="279"/>
      <c r="N447" s="265"/>
      <c r="O447" s="454"/>
      <c r="P447" s="217"/>
      <c r="Q447" s="217"/>
      <c r="R447" s="217"/>
      <c r="S447" s="217"/>
      <c r="T447" s="217"/>
      <c r="U447" s="217"/>
      <c r="V447" s="108"/>
      <c r="W447" s="217"/>
      <c r="X447" s="217"/>
      <c r="Y447" s="217"/>
      <c r="Z447" s="217"/>
      <c r="AA447" s="217"/>
      <c r="AB447" s="217"/>
      <c r="AC447" s="217"/>
      <c r="AD447" s="218"/>
      <c r="AE447" s="218"/>
      <c r="AF447" s="218"/>
      <c r="AG447" s="218"/>
      <c r="AH447" s="218"/>
      <c r="AI447" s="218"/>
      <c r="AJ447" s="217"/>
      <c r="AK447" s="217"/>
      <c r="AL447" s="346"/>
      <c r="AM447" s="108"/>
      <c r="AN447" s="217"/>
      <c r="AO447" s="217"/>
      <c r="AP447" s="238"/>
    </row>
    <row r="448" spans="1:42" s="512" customFormat="1" ht="15" x14ac:dyDescent="0.25">
      <c r="A448" s="20"/>
      <c r="B448" s="20"/>
      <c r="C448" s="150"/>
      <c r="D448" s="151"/>
      <c r="E448" s="81"/>
      <c r="F448" s="81"/>
      <c r="G448" s="410">
        <v>27</v>
      </c>
      <c r="H448" s="904" t="s">
        <v>894</v>
      </c>
      <c r="I448" s="904"/>
      <c r="J448" s="904"/>
      <c r="K448" s="904"/>
      <c r="L448" s="904"/>
      <c r="M448" s="904"/>
      <c r="N448" s="904"/>
      <c r="O448" s="904"/>
      <c r="P448" s="904"/>
      <c r="Q448" s="904"/>
      <c r="R448" s="227"/>
      <c r="S448" s="227"/>
      <c r="T448" s="227"/>
      <c r="U448" s="227"/>
      <c r="V448" s="227"/>
      <c r="W448" s="227"/>
      <c r="X448" s="227"/>
      <c r="Y448" s="227"/>
      <c r="Z448" s="227"/>
      <c r="AA448" s="227"/>
      <c r="AB448" s="227"/>
      <c r="AC448" s="227"/>
      <c r="AD448" s="227"/>
      <c r="AE448" s="227"/>
      <c r="AF448" s="227"/>
      <c r="AG448" s="227"/>
      <c r="AH448" s="227"/>
      <c r="AI448" s="227"/>
      <c r="AJ448" s="227"/>
      <c r="AK448" s="227"/>
      <c r="AL448" s="229"/>
      <c r="AM448" s="227"/>
      <c r="AN448" s="227"/>
      <c r="AO448" s="227"/>
      <c r="AP448" s="230"/>
    </row>
    <row r="449" spans="1:42" s="196" customFormat="1" ht="147.75" customHeight="1" x14ac:dyDescent="0.25">
      <c r="A449" s="20"/>
      <c r="B449" s="20"/>
      <c r="C449" s="150" t="s">
        <v>479</v>
      </c>
      <c r="D449" s="190" t="s">
        <v>480</v>
      </c>
      <c r="E449" s="85" t="s">
        <v>525</v>
      </c>
      <c r="F449" s="85" t="s">
        <v>526</v>
      </c>
      <c r="G449" s="23"/>
      <c r="H449" s="152">
        <v>111</v>
      </c>
      <c r="I449" s="151" t="s">
        <v>566</v>
      </c>
      <c r="J449" s="524">
        <v>1</v>
      </c>
      <c r="K449" s="524">
        <v>1</v>
      </c>
      <c r="L449" s="54" t="s">
        <v>458</v>
      </c>
      <c r="M449" s="38" t="s">
        <v>567</v>
      </c>
      <c r="N449" s="655" t="s">
        <v>568</v>
      </c>
      <c r="O449" s="152" t="s">
        <v>44</v>
      </c>
      <c r="P449" s="151">
        <v>0</v>
      </c>
      <c r="Q449" s="151">
        <v>0</v>
      </c>
      <c r="R449" s="151">
        <v>0</v>
      </c>
      <c r="S449" s="151">
        <v>0</v>
      </c>
      <c r="T449" s="151">
        <v>0</v>
      </c>
      <c r="U449" s="151">
        <v>0</v>
      </c>
      <c r="V449" s="151">
        <v>0</v>
      </c>
      <c r="W449" s="151"/>
      <c r="X449" s="151"/>
      <c r="Y449" s="151"/>
      <c r="Z449" s="151">
        <v>0</v>
      </c>
      <c r="AA449" s="151"/>
      <c r="AB449" s="151">
        <v>0</v>
      </c>
      <c r="AC449" s="151">
        <v>0</v>
      </c>
      <c r="AD449" s="525"/>
      <c r="AE449" s="526">
        <v>17987346928</v>
      </c>
      <c r="AF449" s="526"/>
      <c r="AG449" s="525"/>
      <c r="AH449" s="525"/>
      <c r="AI449" s="525"/>
      <c r="AJ449" s="151">
        <v>0</v>
      </c>
      <c r="AK449" s="151">
        <v>0</v>
      </c>
      <c r="AL449" s="521">
        <v>0</v>
      </c>
      <c r="AM449" s="294"/>
      <c r="AN449" s="190">
        <v>0</v>
      </c>
      <c r="AO449" s="522">
        <v>0</v>
      </c>
      <c r="AP449" s="26">
        <f>P449+Q449+R449+S449+T449+U449+V449+W449+X449+Y449+Z449+AA449+AB449+AC449+AD449+AE449+AF449+AG449+AH449+AI449+AJ449+AK449+AL449+AM449+AN449+AO449</f>
        <v>17987346928</v>
      </c>
    </row>
    <row r="450" spans="1:42" s="196" customFormat="1" ht="15" x14ac:dyDescent="0.25">
      <c r="A450" s="20"/>
      <c r="B450" s="20"/>
      <c r="C450" s="150"/>
      <c r="D450" s="190"/>
      <c r="E450" s="81"/>
      <c r="F450" s="81"/>
      <c r="G450" s="191"/>
      <c r="H450" s="192"/>
      <c r="I450" s="191"/>
      <c r="J450" s="527"/>
      <c r="K450" s="527"/>
      <c r="L450" s="527"/>
      <c r="M450" s="194"/>
      <c r="N450" s="191"/>
      <c r="O450" s="192"/>
      <c r="P450" s="191">
        <f>SUM(P449:P449)</f>
        <v>0</v>
      </c>
      <c r="Q450" s="191">
        <f>SUM(Q449:Q449)</f>
        <v>0</v>
      </c>
      <c r="R450" s="191">
        <f>SUM(R449:R449)</f>
        <v>0</v>
      </c>
      <c r="S450" s="191">
        <f>SUM(S449:S449)</f>
        <v>0</v>
      </c>
      <c r="T450" s="191">
        <f>SUM(T449:T449)</f>
        <v>0</v>
      </c>
      <c r="U450" s="191">
        <f>SUM(U449:U449)</f>
        <v>0</v>
      </c>
      <c r="V450" s="191">
        <f>SUM(V449:V449)</f>
        <v>0</v>
      </c>
      <c r="W450" s="191"/>
      <c r="X450" s="191"/>
      <c r="Y450" s="191"/>
      <c r="Z450" s="191">
        <f>SUM(Z449:Z449)</f>
        <v>0</v>
      </c>
      <c r="AA450" s="191"/>
      <c r="AB450" s="191">
        <f>SUM(AB449:AB449)</f>
        <v>0</v>
      </c>
      <c r="AC450" s="191">
        <f>SUM(AC449:AC449)</f>
        <v>0</v>
      </c>
      <c r="AD450" s="528">
        <f>SUM(AD449:AD449)</f>
        <v>0</v>
      </c>
      <c r="AE450" s="528">
        <f>SUM(AE449:AE449)</f>
        <v>17987346928</v>
      </c>
      <c r="AF450" s="528">
        <f t="shared" ref="AF450:AI450" si="149">SUM(AF449:AF449)</f>
        <v>0</v>
      </c>
      <c r="AG450" s="528">
        <f t="shared" si="149"/>
        <v>0</v>
      </c>
      <c r="AH450" s="528">
        <f t="shared" si="149"/>
        <v>0</v>
      </c>
      <c r="AI450" s="528">
        <f t="shared" si="149"/>
        <v>0</v>
      </c>
      <c r="AJ450" s="528">
        <f>SUM(AJ449:AJ449)</f>
        <v>0</v>
      </c>
      <c r="AK450" s="528">
        <f>SUM(AK449:AK449)</f>
        <v>0</v>
      </c>
      <c r="AL450" s="517">
        <f>SUM(AL449:AL449)</f>
        <v>0</v>
      </c>
      <c r="AM450" s="529"/>
      <c r="AN450" s="528">
        <f>SUM(AN449:AN449)</f>
        <v>0</v>
      </c>
      <c r="AO450" s="528">
        <f>SUM(AO449:AO449)</f>
        <v>0</v>
      </c>
      <c r="AP450" s="528">
        <f>SUM(AP449:AP449)</f>
        <v>17987346928</v>
      </c>
    </row>
    <row r="451" spans="1:42" s="196" customFormat="1" ht="15" x14ac:dyDescent="0.25">
      <c r="A451" s="20"/>
      <c r="B451" s="20"/>
      <c r="C451" s="454"/>
      <c r="D451" s="214"/>
      <c r="E451" s="481"/>
      <c r="F451" s="481"/>
      <c r="G451" s="214"/>
      <c r="H451" s="454"/>
      <c r="I451" s="214"/>
      <c r="J451" s="482"/>
      <c r="K451" s="482"/>
      <c r="L451" s="483"/>
      <c r="M451" s="279"/>
      <c r="N451" s="265"/>
      <c r="O451" s="454"/>
      <c r="P451" s="217"/>
      <c r="Q451" s="217"/>
      <c r="R451" s="217"/>
      <c r="S451" s="217"/>
      <c r="T451" s="217"/>
      <c r="U451" s="217"/>
      <c r="V451" s="108"/>
      <c r="W451" s="217"/>
      <c r="X451" s="217"/>
      <c r="Y451" s="217"/>
      <c r="Z451" s="217"/>
      <c r="AA451" s="217"/>
      <c r="AB451" s="217"/>
      <c r="AC451" s="217"/>
      <c r="AD451" s="217"/>
      <c r="AE451" s="217"/>
      <c r="AF451" s="217"/>
      <c r="AG451" s="217"/>
      <c r="AH451" s="217"/>
      <c r="AI451" s="217"/>
      <c r="AJ451" s="217"/>
      <c r="AK451" s="217"/>
      <c r="AL451" s="346"/>
      <c r="AM451" s="108"/>
      <c r="AN451" s="217"/>
      <c r="AO451" s="217"/>
      <c r="AP451" s="238"/>
    </row>
    <row r="452" spans="1:42" s="196" customFormat="1" ht="15" x14ac:dyDescent="0.25">
      <c r="A452" s="20"/>
      <c r="B452" s="20"/>
      <c r="C452" s="150"/>
      <c r="D452" s="151"/>
      <c r="E452" s="81"/>
      <c r="F452" s="81"/>
      <c r="G452" s="410">
        <v>28</v>
      </c>
      <c r="H452" s="904" t="s">
        <v>569</v>
      </c>
      <c r="I452" s="904"/>
      <c r="J452" s="904"/>
      <c r="K452" s="904"/>
      <c r="L452" s="904"/>
      <c r="M452" s="904"/>
      <c r="N452" s="904"/>
      <c r="O452" s="904"/>
      <c r="P452" s="904"/>
      <c r="Q452" s="227"/>
      <c r="R452" s="227"/>
      <c r="S452" s="227"/>
      <c r="T452" s="227"/>
      <c r="U452" s="227"/>
      <c r="V452" s="227"/>
      <c r="W452" s="227"/>
      <c r="X452" s="227"/>
      <c r="Y452" s="227"/>
      <c r="Z452" s="227"/>
      <c r="AA452" s="227"/>
      <c r="AB452" s="227"/>
      <c r="AC452" s="227"/>
      <c r="AD452" s="227"/>
      <c r="AE452" s="227"/>
      <c r="AF452" s="227"/>
      <c r="AG452" s="227"/>
      <c r="AH452" s="227"/>
      <c r="AI452" s="227"/>
      <c r="AJ452" s="227"/>
      <c r="AK452" s="227"/>
      <c r="AL452" s="229"/>
      <c r="AM452" s="227"/>
      <c r="AN452" s="227"/>
      <c r="AO452" s="227"/>
      <c r="AP452" s="230"/>
    </row>
    <row r="453" spans="1:42" s="196" customFormat="1" ht="90.75" customHeight="1" x14ac:dyDescent="0.25">
      <c r="A453" s="20"/>
      <c r="B453" s="20"/>
      <c r="C453" s="864" t="s">
        <v>479</v>
      </c>
      <c r="D453" s="913" t="s">
        <v>480</v>
      </c>
      <c r="E453" s="971" t="s">
        <v>525</v>
      </c>
      <c r="F453" s="971" t="s">
        <v>526</v>
      </c>
      <c r="G453" s="23"/>
      <c r="H453" s="152">
        <v>112</v>
      </c>
      <c r="I453" s="151" t="s">
        <v>570</v>
      </c>
      <c r="J453" s="531">
        <v>0</v>
      </c>
      <c r="K453" s="94">
        <v>20</v>
      </c>
      <c r="L453" s="974">
        <v>1</v>
      </c>
      <c r="M453" s="976" t="s">
        <v>571</v>
      </c>
      <c r="N453" s="893" t="s">
        <v>572</v>
      </c>
      <c r="O453" s="152" t="s">
        <v>40</v>
      </c>
      <c r="P453" s="151">
        <v>0</v>
      </c>
      <c r="Q453" s="151">
        <v>0</v>
      </c>
      <c r="R453" s="151">
        <v>0</v>
      </c>
      <c r="S453" s="151">
        <v>0</v>
      </c>
      <c r="T453" s="151">
        <v>0</v>
      </c>
      <c r="U453" s="151">
        <v>0</v>
      </c>
      <c r="V453" s="304">
        <v>720000</v>
      </c>
      <c r="W453" s="151"/>
      <c r="X453" s="151"/>
      <c r="Y453" s="151"/>
      <c r="Z453" s="151">
        <v>0</v>
      </c>
      <c r="AA453" s="151"/>
      <c r="AB453" s="151">
        <v>0</v>
      </c>
      <c r="AC453" s="151">
        <v>0</v>
      </c>
      <c r="AD453" s="533"/>
      <c r="AE453" s="533"/>
      <c r="AF453" s="533"/>
      <c r="AG453" s="533"/>
      <c r="AH453" s="533"/>
      <c r="AI453" s="533"/>
      <c r="AJ453" s="151">
        <v>0</v>
      </c>
      <c r="AK453" s="151">
        <v>0</v>
      </c>
      <c r="AL453" s="114">
        <v>30000000</v>
      </c>
      <c r="AM453" s="515"/>
      <c r="AN453" s="190">
        <v>0</v>
      </c>
      <c r="AO453" s="522">
        <v>0</v>
      </c>
      <c r="AP453" s="26">
        <f>P453+Q453+R453+S453+T453+U453+V453+W453+X453+Y453+Z453+AA453+AB453+AC453+AD453+AE453+AF453+AG453+AH453+AI453+AJ453+AK453+AL453+AM453+AN453+AO453</f>
        <v>30720000</v>
      </c>
    </row>
    <row r="454" spans="1:42" s="196" customFormat="1" ht="78" customHeight="1" x14ac:dyDescent="0.25">
      <c r="A454" s="20"/>
      <c r="B454" s="20"/>
      <c r="C454" s="866"/>
      <c r="D454" s="914"/>
      <c r="E454" s="972"/>
      <c r="F454" s="972"/>
      <c r="G454" s="31"/>
      <c r="H454" s="152">
        <v>113</v>
      </c>
      <c r="I454" s="151" t="s">
        <v>573</v>
      </c>
      <c r="J454" s="531">
        <v>0</v>
      </c>
      <c r="K454" s="94">
        <v>3</v>
      </c>
      <c r="L454" s="975"/>
      <c r="M454" s="977"/>
      <c r="N454" s="895"/>
      <c r="O454" s="152" t="s">
        <v>40</v>
      </c>
      <c r="P454" s="151">
        <v>0</v>
      </c>
      <c r="Q454" s="151">
        <v>0</v>
      </c>
      <c r="R454" s="151">
        <v>0</v>
      </c>
      <c r="S454" s="151">
        <v>0</v>
      </c>
      <c r="T454" s="151">
        <v>0</v>
      </c>
      <c r="U454" s="151">
        <v>0</v>
      </c>
      <c r="V454" s="26">
        <v>11880000</v>
      </c>
      <c r="W454" s="151"/>
      <c r="X454" s="151"/>
      <c r="Y454" s="151"/>
      <c r="Z454" s="151">
        <v>0</v>
      </c>
      <c r="AA454" s="151"/>
      <c r="AB454" s="151">
        <v>0</v>
      </c>
      <c r="AC454" s="151">
        <v>0</v>
      </c>
      <c r="AD454" s="16"/>
      <c r="AE454" s="16"/>
      <c r="AF454" s="16"/>
      <c r="AG454" s="16"/>
      <c r="AH454" s="16"/>
      <c r="AI454" s="16"/>
      <c r="AJ454" s="151">
        <v>0</v>
      </c>
      <c r="AK454" s="151">
        <v>0</v>
      </c>
      <c r="AL454" s="114">
        <v>0</v>
      </c>
      <c r="AM454" s="88"/>
      <c r="AN454" s="190">
        <v>0</v>
      </c>
      <c r="AO454" s="522">
        <v>0</v>
      </c>
      <c r="AP454" s="26">
        <f>P454+Q454+R454+S454+T454+U454+V454+W454+X454+Y454+Z454+AA454+AB454+AC454+AD454+AE454+AF454+AG454+AH454+AI454+AJ454+AK454+AL454+AM454+AN454+AO454</f>
        <v>11880000</v>
      </c>
    </row>
    <row r="455" spans="1:42" s="540" customFormat="1" ht="20.25" x14ac:dyDescent="0.25">
      <c r="A455" s="535"/>
      <c r="B455" s="536"/>
      <c r="C455" s="150"/>
      <c r="D455" s="537"/>
      <c r="E455" s="538"/>
      <c r="F455" s="538"/>
      <c r="G455" s="516"/>
      <c r="H455" s="192"/>
      <c r="I455" s="516"/>
      <c r="J455" s="528"/>
      <c r="K455" s="539"/>
      <c r="L455" s="539"/>
      <c r="M455" s="194"/>
      <c r="N455" s="516"/>
      <c r="O455" s="516"/>
      <c r="P455" s="516">
        <f>SUM(P453:P454)</f>
        <v>0</v>
      </c>
      <c r="Q455" s="516">
        <f>SUM(Q453:Q454)</f>
        <v>0</v>
      </c>
      <c r="R455" s="516">
        <f>SUM(R453:R454)</f>
        <v>0</v>
      </c>
      <c r="S455" s="516">
        <f>SUM(S453:S454)</f>
        <v>0</v>
      </c>
      <c r="T455" s="516">
        <f>SUM(T453:T454)</f>
        <v>0</v>
      </c>
      <c r="U455" s="516">
        <f>SUM(U453:U454)</f>
        <v>0</v>
      </c>
      <c r="V455" s="528">
        <f>SUM(V453:V454)</f>
        <v>12600000</v>
      </c>
      <c r="W455" s="516">
        <f>SUM(W453:W454)</f>
        <v>0</v>
      </c>
      <c r="X455" s="516">
        <f>SUM(X453:X454)</f>
        <v>0</v>
      </c>
      <c r="Y455" s="516">
        <f>SUM(Y453:Y454)</f>
        <v>0</v>
      </c>
      <c r="Z455" s="516">
        <f>SUM(Z453:Z454)</f>
        <v>0</v>
      </c>
      <c r="AA455" s="516"/>
      <c r="AB455" s="516">
        <f>SUM(AB453:AB454)</f>
        <v>0</v>
      </c>
      <c r="AC455" s="516">
        <f>SUM(AC453:AC454)</f>
        <v>0</v>
      </c>
      <c r="AD455" s="516">
        <f>SUM(AD453:AD454)</f>
        <v>0</v>
      </c>
      <c r="AE455" s="516">
        <f t="shared" ref="AE455" si="150">SUM(AE453:AE454)</f>
        <v>0</v>
      </c>
      <c r="AF455" s="516"/>
      <c r="AG455" s="516">
        <f>SUM(AG453:AG454)</f>
        <v>0</v>
      </c>
      <c r="AH455" s="516">
        <f t="shared" ref="AH455:AJ455" si="151">SUM(AH453:AH454)</f>
        <v>0</v>
      </c>
      <c r="AI455" s="516">
        <f t="shared" si="151"/>
        <v>0</v>
      </c>
      <c r="AJ455" s="516">
        <f t="shared" si="151"/>
        <v>0</v>
      </c>
      <c r="AK455" s="516">
        <f>SUM(AK453:AK454)</f>
        <v>0</v>
      </c>
      <c r="AL455" s="517">
        <f>SUM(AL453:AL454)</f>
        <v>30000000</v>
      </c>
      <c r="AM455" s="516"/>
      <c r="AN455" s="516">
        <f>SUM(AN453:AN454)</f>
        <v>0</v>
      </c>
      <c r="AO455" s="516">
        <f>SUM(AO453:AO454)</f>
        <v>0</v>
      </c>
      <c r="AP455" s="516">
        <f>SUM(AP453:AP454)</f>
        <v>42600000</v>
      </c>
    </row>
    <row r="456" spans="1:42" s="546" customFormat="1" ht="15" x14ac:dyDescent="0.25">
      <c r="A456" s="535"/>
      <c r="B456" s="541"/>
      <c r="C456" s="199"/>
      <c r="D456" s="542"/>
      <c r="E456" s="542"/>
      <c r="F456" s="542"/>
      <c r="G456" s="542"/>
      <c r="H456" s="199"/>
      <c r="I456" s="542"/>
      <c r="J456" s="543"/>
      <c r="K456" s="544"/>
      <c r="L456" s="544"/>
      <c r="M456" s="201"/>
      <c r="N456" s="542"/>
      <c r="O456" s="542"/>
      <c r="P456" s="542">
        <f>P455+P450+P446+P442</f>
        <v>0</v>
      </c>
      <c r="Q456" s="542">
        <f>Q455+Q450+Q446+Q442</f>
        <v>0</v>
      </c>
      <c r="R456" s="542">
        <f>R455+R450+R446+R442</f>
        <v>0</v>
      </c>
      <c r="S456" s="542">
        <f>S455+S450+S446+S442</f>
        <v>0</v>
      </c>
      <c r="T456" s="542">
        <f>T455+T450+T446+T442</f>
        <v>0</v>
      </c>
      <c r="U456" s="542">
        <f>U455+U450+U446+U442</f>
        <v>0</v>
      </c>
      <c r="V456" s="543">
        <f>V455+V450+V446+V442</f>
        <v>12600000</v>
      </c>
      <c r="W456" s="542">
        <f>W455+W450+W446+W442</f>
        <v>0</v>
      </c>
      <c r="X456" s="542">
        <f>X455+X450+X446+X442</f>
        <v>0</v>
      </c>
      <c r="Y456" s="542">
        <f>Y455+Y450+Y446+Y442</f>
        <v>0</v>
      </c>
      <c r="Z456" s="542">
        <f>Z455+Z450+Z446+Z442</f>
        <v>0</v>
      </c>
      <c r="AA456" s="542"/>
      <c r="AB456" s="542">
        <f t="shared" ref="AB456:AL456" si="152">AB455+AB450+AB446+AB442</f>
        <v>0</v>
      </c>
      <c r="AC456" s="542">
        <f t="shared" si="152"/>
        <v>0</v>
      </c>
      <c r="AD456" s="542">
        <f t="shared" si="152"/>
        <v>0</v>
      </c>
      <c r="AE456" s="542">
        <f t="shared" ref="AE456" si="153">AE455+AE450+AE446+AE442</f>
        <v>17987346928</v>
      </c>
      <c r="AF456" s="542"/>
      <c r="AG456" s="542">
        <f t="shared" si="152"/>
        <v>0</v>
      </c>
      <c r="AH456" s="542">
        <f t="shared" si="152"/>
        <v>0</v>
      </c>
      <c r="AI456" s="542">
        <f t="shared" si="152"/>
        <v>1200000000</v>
      </c>
      <c r="AJ456" s="542">
        <f t="shared" si="152"/>
        <v>0</v>
      </c>
      <c r="AK456" s="542">
        <f t="shared" si="152"/>
        <v>0</v>
      </c>
      <c r="AL456" s="545">
        <f t="shared" si="152"/>
        <v>110000000</v>
      </c>
      <c r="AM456" s="542"/>
      <c r="AN456" s="542">
        <f>AN455+AN450+AN446+AN442</f>
        <v>0</v>
      </c>
      <c r="AO456" s="542">
        <f>AO455+AO450+AO446+AO442</f>
        <v>0</v>
      </c>
      <c r="AP456" s="542">
        <f>AP455+AP450+AP446+AP442</f>
        <v>19309946928</v>
      </c>
    </row>
    <row r="457" spans="1:42" s="196" customFormat="1" ht="15" x14ac:dyDescent="0.25">
      <c r="A457" s="20"/>
      <c r="B457" s="214"/>
      <c r="C457" s="454"/>
      <c r="D457" s="214"/>
      <c r="E457" s="481"/>
      <c r="F457" s="481"/>
      <c r="G457" s="214"/>
      <c r="H457" s="454"/>
      <c r="I457" s="214"/>
      <c r="J457" s="482"/>
      <c r="K457" s="482"/>
      <c r="L457" s="483"/>
      <c r="M457" s="279"/>
      <c r="N457" s="265"/>
      <c r="O457" s="454"/>
      <c r="P457" s="217"/>
      <c r="Q457" s="217"/>
      <c r="R457" s="217"/>
      <c r="S457" s="217"/>
      <c r="T457" s="217"/>
      <c r="U457" s="217"/>
      <c r="V457" s="108"/>
      <c r="W457" s="217"/>
      <c r="X457" s="217"/>
      <c r="Y457" s="217"/>
      <c r="Z457" s="217"/>
      <c r="AA457" s="217"/>
      <c r="AB457" s="217"/>
      <c r="AC457" s="217"/>
      <c r="AD457" s="217"/>
      <c r="AE457" s="217"/>
      <c r="AF457" s="217"/>
      <c r="AG457" s="217"/>
      <c r="AH457" s="217"/>
      <c r="AI457" s="217"/>
      <c r="AJ457" s="217"/>
      <c r="AK457" s="217"/>
      <c r="AL457" s="346"/>
      <c r="AM457" s="108"/>
      <c r="AN457" s="217"/>
      <c r="AO457" s="217"/>
      <c r="AP457" s="217"/>
    </row>
    <row r="458" spans="1:42" s="196" customFormat="1" x14ac:dyDescent="0.25">
      <c r="A458" s="20"/>
      <c r="B458" s="291">
        <v>16</v>
      </c>
      <c r="C458" s="181" t="s">
        <v>574</v>
      </c>
      <c r="D458" s="182"/>
      <c r="E458" s="182"/>
      <c r="F458" s="182"/>
      <c r="G458" s="182"/>
      <c r="H458" s="183"/>
      <c r="I458" s="182"/>
      <c r="J458" s="182"/>
      <c r="K458" s="182"/>
      <c r="L458" s="182"/>
      <c r="M458" s="184"/>
      <c r="N458" s="182"/>
      <c r="O458" s="182"/>
      <c r="P458" s="182"/>
      <c r="Q458" s="182"/>
      <c r="R458" s="182"/>
      <c r="S458" s="182"/>
      <c r="T458" s="182"/>
      <c r="U458" s="182"/>
      <c r="V458" s="182"/>
      <c r="W458" s="182"/>
      <c r="X458" s="182"/>
      <c r="Y458" s="182"/>
      <c r="Z458" s="182"/>
      <c r="AA458" s="182"/>
      <c r="AB458" s="182"/>
      <c r="AC458" s="182"/>
      <c r="AD458" s="182"/>
      <c r="AE458" s="182"/>
      <c r="AF458" s="182"/>
      <c r="AG458" s="182"/>
      <c r="AH458" s="182"/>
      <c r="AI458" s="182"/>
      <c r="AJ458" s="182"/>
      <c r="AK458" s="182"/>
      <c r="AL458" s="185"/>
      <c r="AM458" s="182"/>
      <c r="AN458" s="182"/>
      <c r="AO458" s="182"/>
      <c r="AP458" s="186"/>
    </row>
    <row r="459" spans="1:42" s="196" customFormat="1" ht="15" x14ac:dyDescent="0.25">
      <c r="A459" s="20"/>
      <c r="B459" s="223"/>
      <c r="C459" s="454"/>
      <c r="D459" s="214"/>
      <c r="E459" s="454"/>
      <c r="F459" s="150"/>
      <c r="G459" s="410">
        <v>57</v>
      </c>
      <c r="H459" s="904" t="s">
        <v>575</v>
      </c>
      <c r="I459" s="904"/>
      <c r="J459" s="904"/>
      <c r="K459" s="904"/>
      <c r="L459" s="904"/>
      <c r="M459" s="904"/>
      <c r="N459" s="904"/>
      <c r="O459" s="904"/>
      <c r="P459" s="904"/>
      <c r="Q459" s="227"/>
      <c r="R459" s="227"/>
      <c r="S459" s="227"/>
      <c r="T459" s="227"/>
      <c r="U459" s="227"/>
      <c r="V459" s="227"/>
      <c r="W459" s="227"/>
      <c r="X459" s="227"/>
      <c r="Y459" s="227"/>
      <c r="Z459" s="227"/>
      <c r="AA459" s="227"/>
      <c r="AB459" s="227"/>
      <c r="AC459" s="227"/>
      <c r="AD459" s="227"/>
      <c r="AE459" s="227"/>
      <c r="AF459" s="227"/>
      <c r="AG459" s="227"/>
      <c r="AH459" s="227"/>
      <c r="AI459" s="227"/>
      <c r="AJ459" s="227"/>
      <c r="AK459" s="227"/>
      <c r="AL459" s="229"/>
      <c r="AM459" s="227"/>
      <c r="AN459" s="227"/>
      <c r="AO459" s="227"/>
      <c r="AP459" s="230"/>
    </row>
    <row r="460" spans="1:42" s="196" customFormat="1" ht="201" customHeight="1" x14ac:dyDescent="0.25">
      <c r="A460" s="20"/>
      <c r="B460" s="20"/>
      <c r="C460" s="547" t="s">
        <v>576</v>
      </c>
      <c r="D460" s="548" t="s">
        <v>577</v>
      </c>
      <c r="E460" s="85" t="s">
        <v>578</v>
      </c>
      <c r="F460" s="85" t="s">
        <v>579</v>
      </c>
      <c r="G460" s="151"/>
      <c r="H460" s="152">
        <v>182</v>
      </c>
      <c r="I460" s="151" t="s">
        <v>580</v>
      </c>
      <c r="J460" s="531">
        <v>1</v>
      </c>
      <c r="K460" s="58">
        <v>1</v>
      </c>
      <c r="L460" s="58" t="s">
        <v>458</v>
      </c>
      <c r="M460" s="38" t="s">
        <v>581</v>
      </c>
      <c r="N460" s="151" t="s">
        <v>582</v>
      </c>
      <c r="O460" s="152" t="s">
        <v>44</v>
      </c>
      <c r="P460" s="26">
        <v>0</v>
      </c>
      <c r="Q460" s="26">
        <v>0</v>
      </c>
      <c r="R460" s="26">
        <v>0</v>
      </c>
      <c r="S460" s="26">
        <v>0</v>
      </c>
      <c r="T460" s="26">
        <v>0</v>
      </c>
      <c r="U460" s="26">
        <v>0</v>
      </c>
      <c r="V460" s="26">
        <v>0</v>
      </c>
      <c r="W460" s="26"/>
      <c r="X460" s="26"/>
      <c r="Y460" s="26"/>
      <c r="Z460" s="26">
        <v>0</v>
      </c>
      <c r="AA460" s="26"/>
      <c r="AB460" s="26">
        <v>0</v>
      </c>
      <c r="AC460" s="26">
        <v>0</v>
      </c>
      <c r="AD460" s="304"/>
      <c r="AE460" s="304"/>
      <c r="AF460" s="304"/>
      <c r="AG460" s="304"/>
      <c r="AH460" s="304"/>
      <c r="AI460" s="304"/>
      <c r="AJ460" s="26">
        <v>0</v>
      </c>
      <c r="AK460" s="26">
        <v>0</v>
      </c>
      <c r="AL460" s="113">
        <v>40000000</v>
      </c>
      <c r="AM460" s="39"/>
      <c r="AN460" s="386">
        <v>0</v>
      </c>
      <c r="AO460" s="348">
        <v>0</v>
      </c>
      <c r="AP460" s="26">
        <f>P460+Q460+R460+S460+T460+U460+V460+W460+X460+Y460+Z460+AA460+AB460+AC460+AD460+AE460+AF460+AG460+AH460+AI460+AJ460+AK460+AL460+AM460+AN460+AO460</f>
        <v>40000000</v>
      </c>
    </row>
    <row r="461" spans="1:42" s="196" customFormat="1" ht="19.5" customHeight="1" x14ac:dyDescent="0.25">
      <c r="A461" s="20"/>
      <c r="B461" s="189"/>
      <c r="C461" s="547"/>
      <c r="D461" s="549"/>
      <c r="E461" s="85"/>
      <c r="F461" s="85"/>
      <c r="G461" s="191"/>
      <c r="H461" s="192"/>
      <c r="I461" s="191"/>
      <c r="J461" s="480"/>
      <c r="K461" s="480"/>
      <c r="L461" s="480"/>
      <c r="M461" s="194"/>
      <c r="N461" s="191"/>
      <c r="O461" s="192"/>
      <c r="P461" s="195">
        <f>SUM(P460)</f>
        <v>0</v>
      </c>
      <c r="Q461" s="195">
        <f>SUM(Q460)</f>
        <v>0</v>
      </c>
      <c r="R461" s="195">
        <f>SUM(R460)</f>
        <v>0</v>
      </c>
      <c r="S461" s="195">
        <f>SUM(S460)</f>
        <v>0</v>
      </c>
      <c r="T461" s="195">
        <f>SUM(T460)</f>
        <v>0</v>
      </c>
      <c r="U461" s="195">
        <f>SUM(U460)</f>
        <v>0</v>
      </c>
      <c r="V461" s="195">
        <f>SUM(V460)</f>
        <v>0</v>
      </c>
      <c r="W461" s="195"/>
      <c r="X461" s="195"/>
      <c r="Y461" s="195"/>
      <c r="Z461" s="195">
        <f>SUM(Z460)</f>
        <v>0</v>
      </c>
      <c r="AA461" s="195"/>
      <c r="AB461" s="195">
        <f>SUM(AB460)</f>
        <v>0</v>
      </c>
      <c r="AC461" s="195">
        <f>SUM(AC460)</f>
        <v>0</v>
      </c>
      <c r="AD461" s="195">
        <f>SUM(AD460)</f>
        <v>0</v>
      </c>
      <c r="AE461" s="195">
        <f t="shared" ref="AE461" si="154">SUM(AE460)</f>
        <v>0</v>
      </c>
      <c r="AF461" s="195">
        <f t="shared" ref="AF461" si="155">SUM(AF460)</f>
        <v>0</v>
      </c>
      <c r="AG461" s="195">
        <f t="shared" ref="AG461" si="156">SUM(AG460)</f>
        <v>0</v>
      </c>
      <c r="AH461" s="195">
        <f t="shared" ref="AH461" si="157">SUM(AH460)</f>
        <v>0</v>
      </c>
      <c r="AI461" s="195">
        <f t="shared" ref="AI461" si="158">SUM(AI460)</f>
        <v>0</v>
      </c>
      <c r="AJ461" s="195">
        <f t="shared" ref="AJ461" si="159">SUM(AJ460)</f>
        <v>0</v>
      </c>
      <c r="AK461" s="195">
        <f t="shared" ref="AK461" si="160">SUM(AK460)</f>
        <v>0</v>
      </c>
      <c r="AL461" s="195">
        <f t="shared" ref="AL461" si="161">SUM(AL460)</f>
        <v>40000000</v>
      </c>
      <c r="AM461" s="195">
        <f t="shared" ref="AM461" si="162">SUM(AM460)</f>
        <v>0</v>
      </c>
      <c r="AN461" s="195">
        <f t="shared" ref="AN461" si="163">SUM(AN460)</f>
        <v>0</v>
      </c>
      <c r="AO461" s="195">
        <f t="shared" ref="AO461" si="164">SUM(AO460)</f>
        <v>0</v>
      </c>
      <c r="AP461" s="195">
        <f t="shared" ref="AP461" si="165">SUM(AP460)</f>
        <v>40000000</v>
      </c>
    </row>
    <row r="462" spans="1:42" s="553" customFormat="1" ht="23.25" customHeight="1" x14ac:dyDescent="0.25">
      <c r="A462" s="189"/>
      <c r="B462" s="550"/>
      <c r="C462" s="551"/>
      <c r="D462" s="552"/>
      <c r="E462" s="488"/>
      <c r="F462" s="488"/>
      <c r="G462" s="198"/>
      <c r="H462" s="199"/>
      <c r="I462" s="198"/>
      <c r="J462" s="489"/>
      <c r="K462" s="489"/>
      <c r="L462" s="489"/>
      <c r="M462" s="201"/>
      <c r="N462" s="198"/>
      <c r="O462" s="199"/>
      <c r="P462" s="202">
        <f>P461</f>
        <v>0</v>
      </c>
      <c r="Q462" s="202">
        <f>Q461</f>
        <v>0</v>
      </c>
      <c r="R462" s="202">
        <f>R461</f>
        <v>0</v>
      </c>
      <c r="S462" s="202">
        <f>S461</f>
        <v>0</v>
      </c>
      <c r="T462" s="202">
        <f>T461</f>
        <v>0</v>
      </c>
      <c r="U462" s="202">
        <f>U461</f>
        <v>0</v>
      </c>
      <c r="V462" s="202">
        <f>V461</f>
        <v>0</v>
      </c>
      <c r="W462" s="202">
        <f>W461</f>
        <v>0</v>
      </c>
      <c r="X462" s="202">
        <f>X461</f>
        <v>0</v>
      </c>
      <c r="Y462" s="202">
        <f>Y461</f>
        <v>0</v>
      </c>
      <c r="Z462" s="202">
        <f>Z461</f>
        <v>0</v>
      </c>
      <c r="AA462" s="202"/>
      <c r="AB462" s="202">
        <f>AB461</f>
        <v>0</v>
      </c>
      <c r="AC462" s="202">
        <f>AC461</f>
        <v>0</v>
      </c>
      <c r="AD462" s="202">
        <f>AD461</f>
        <v>0</v>
      </c>
      <c r="AE462" s="202">
        <f t="shared" ref="AE462" si="166">AE461</f>
        <v>0</v>
      </c>
      <c r="AF462" s="202">
        <f t="shared" ref="AF462" si="167">AF461</f>
        <v>0</v>
      </c>
      <c r="AG462" s="202">
        <f t="shared" ref="AG462" si="168">AG461</f>
        <v>0</v>
      </c>
      <c r="AH462" s="202">
        <f t="shared" ref="AH462" si="169">AH461</f>
        <v>0</v>
      </c>
      <c r="AI462" s="202">
        <f t="shared" ref="AI462" si="170">AI461</f>
        <v>0</v>
      </c>
      <c r="AJ462" s="202">
        <f t="shared" ref="AJ462" si="171">AJ461</f>
        <v>0</v>
      </c>
      <c r="AK462" s="202">
        <f t="shared" ref="AK462" si="172">AK461</f>
        <v>0</v>
      </c>
      <c r="AL462" s="202">
        <f t="shared" ref="AL462" si="173">AL461</f>
        <v>40000000</v>
      </c>
      <c r="AM462" s="202">
        <f t="shared" ref="AM462" si="174">AM461</f>
        <v>0</v>
      </c>
      <c r="AN462" s="202">
        <f t="shared" ref="AN462" si="175">AN461</f>
        <v>0</v>
      </c>
      <c r="AO462" s="202">
        <f t="shared" ref="AO462" si="176">AO461</f>
        <v>0</v>
      </c>
      <c r="AP462" s="202">
        <f t="shared" ref="AP462" si="177">AP461</f>
        <v>40000000</v>
      </c>
    </row>
    <row r="463" spans="1:42" s="196" customFormat="1" ht="23.25" customHeight="1" x14ac:dyDescent="0.25">
      <c r="A463" s="312"/>
      <c r="B463" s="554"/>
      <c r="C463" s="555"/>
      <c r="D463" s="554"/>
      <c r="E463" s="556"/>
      <c r="F463" s="556"/>
      <c r="G463" s="203"/>
      <c r="H463" s="204"/>
      <c r="I463" s="203"/>
      <c r="J463" s="557"/>
      <c r="K463" s="557"/>
      <c r="L463" s="557"/>
      <c r="M463" s="206"/>
      <c r="N463" s="203"/>
      <c r="O463" s="204"/>
      <c r="P463" s="207">
        <f>P462+P456+P436+P418+P381</f>
        <v>0</v>
      </c>
      <c r="Q463" s="207">
        <f>Q462+Q456+Q436+Q418+Q381</f>
        <v>0</v>
      </c>
      <c r="R463" s="207">
        <f>R462+R456+R436+R418+R381</f>
        <v>0</v>
      </c>
      <c r="S463" s="207">
        <f>S462+S456+S436+S418+S381</f>
        <v>0</v>
      </c>
      <c r="T463" s="207">
        <f>T462+T456+T436+T418+T381</f>
        <v>0</v>
      </c>
      <c r="U463" s="207">
        <f>U462+U456+U436+U418+U381</f>
        <v>0</v>
      </c>
      <c r="V463" s="207">
        <f>V462+V456+V436+V418+V381</f>
        <v>6303405435</v>
      </c>
      <c r="W463" s="207">
        <f>W462+W456+W436+W418+W381</f>
        <v>0</v>
      </c>
      <c r="X463" s="207">
        <f>X462+X456+X436+X418+X381</f>
        <v>0</v>
      </c>
      <c r="Y463" s="207">
        <f>Y462+Y456+Y436+Y418+Y381</f>
        <v>0</v>
      </c>
      <c r="Z463" s="207">
        <f>Z462+Z456+Z436+Z418+Z381</f>
        <v>0</v>
      </c>
      <c r="AA463" s="207"/>
      <c r="AB463" s="207">
        <f>AB462+AB456+AB436+AB418+AB381</f>
        <v>0</v>
      </c>
      <c r="AC463" s="207">
        <f>AC462+AC456+AC436+AC418+AC381</f>
        <v>0</v>
      </c>
      <c r="AD463" s="207">
        <f>AD462+AD456+AD436+AD418+AD381</f>
        <v>104971640601</v>
      </c>
      <c r="AE463" s="207">
        <f t="shared" ref="AE463" si="178">AE462+AE456+AE436+AE418+AE381</f>
        <v>19644857395</v>
      </c>
      <c r="AF463" s="207">
        <f t="shared" ref="AF463" si="179">AF462+AF456+AF436+AF418+AF381</f>
        <v>250000000</v>
      </c>
      <c r="AG463" s="207">
        <f t="shared" ref="AG463" si="180">AG462+AG456+AG436+AG418+AG381</f>
        <v>6091354</v>
      </c>
      <c r="AH463" s="207">
        <f t="shared" ref="AH463" si="181">AH462+AH456+AH436+AH418+AH381</f>
        <v>1186000000</v>
      </c>
      <c r="AI463" s="207">
        <f t="shared" ref="AI463" si="182">AI462+AI456+AI436+AI418+AI381</f>
        <v>1200000000</v>
      </c>
      <c r="AJ463" s="207">
        <f t="shared" ref="AJ463" si="183">AJ462+AJ456+AJ436+AJ418+AJ381</f>
        <v>6739972766</v>
      </c>
      <c r="AK463" s="207">
        <f t="shared" ref="AK463" si="184">AK462+AK456+AK436+AK418+AK381</f>
        <v>0</v>
      </c>
      <c r="AL463" s="207">
        <f t="shared" ref="AL463" si="185">AL462+AL456+AL436+AL418+AL381</f>
        <v>4425700205</v>
      </c>
      <c r="AM463" s="207">
        <f t="shared" ref="AM463" si="186">AM462+AM456+AM436+AM418+AM381</f>
        <v>0</v>
      </c>
      <c r="AN463" s="207">
        <f t="shared" ref="AN463" si="187">AN462+AN456+AN436+AN418+AN381</f>
        <v>0</v>
      </c>
      <c r="AO463" s="207">
        <f t="shared" ref="AO463" si="188">AO462+AO456+AO436+AO418+AO381</f>
        <v>0</v>
      </c>
      <c r="AP463" s="207">
        <f t="shared" ref="AP463" si="189">AP462+AP456+AP436+AP418+AP381</f>
        <v>144727667756</v>
      </c>
    </row>
    <row r="464" spans="1:42" s="196" customFormat="1" ht="15" x14ac:dyDescent="0.25">
      <c r="A464" s="208"/>
      <c r="B464" s="208"/>
      <c r="C464" s="209"/>
      <c r="D464" s="208"/>
      <c r="E464" s="209"/>
      <c r="F464" s="209"/>
      <c r="G464" s="208"/>
      <c r="H464" s="209"/>
      <c r="I464" s="208"/>
      <c r="J464" s="210"/>
      <c r="K464" s="210"/>
      <c r="L464" s="210"/>
      <c r="M464" s="211"/>
      <c r="N464" s="208"/>
      <c r="O464" s="209"/>
      <c r="P464" s="212">
        <f>+P463</f>
        <v>0</v>
      </c>
      <c r="Q464" s="212">
        <f>+Q463</f>
        <v>0</v>
      </c>
      <c r="R464" s="212">
        <f>+R463</f>
        <v>0</v>
      </c>
      <c r="S464" s="212">
        <f>+S463</f>
        <v>0</v>
      </c>
      <c r="T464" s="212">
        <f>+T463</f>
        <v>0</v>
      </c>
      <c r="U464" s="212">
        <f>+U463</f>
        <v>0</v>
      </c>
      <c r="V464" s="212">
        <f>+V463</f>
        <v>6303405435</v>
      </c>
      <c r="W464" s="212">
        <f>+W463</f>
        <v>0</v>
      </c>
      <c r="X464" s="212">
        <f>+X463</f>
        <v>0</v>
      </c>
      <c r="Y464" s="212">
        <f>+Y463</f>
        <v>0</v>
      </c>
      <c r="Z464" s="212">
        <f>+Z463</f>
        <v>0</v>
      </c>
      <c r="AA464" s="212"/>
      <c r="AB464" s="212">
        <f>+AB463</f>
        <v>0</v>
      </c>
      <c r="AC464" s="212">
        <f>+AC463</f>
        <v>0</v>
      </c>
      <c r="AD464" s="212">
        <f>+AD463</f>
        <v>104971640601</v>
      </c>
      <c r="AE464" s="212">
        <f t="shared" ref="AE464" si="190">+AE463</f>
        <v>19644857395</v>
      </c>
      <c r="AF464" s="212">
        <f t="shared" ref="AF464" si="191">+AF463</f>
        <v>250000000</v>
      </c>
      <c r="AG464" s="212">
        <f t="shared" ref="AG464" si="192">+AG463</f>
        <v>6091354</v>
      </c>
      <c r="AH464" s="212">
        <f t="shared" ref="AH464" si="193">+AH463</f>
        <v>1186000000</v>
      </c>
      <c r="AI464" s="212">
        <f t="shared" ref="AI464" si="194">+AI463</f>
        <v>1200000000</v>
      </c>
      <c r="AJ464" s="212">
        <f t="shared" ref="AJ464" si="195">+AJ463</f>
        <v>6739972766</v>
      </c>
      <c r="AK464" s="212">
        <f t="shared" ref="AK464" si="196">+AK463</f>
        <v>0</v>
      </c>
      <c r="AL464" s="212">
        <f t="shared" ref="AL464" si="197">+AL463</f>
        <v>4425700205</v>
      </c>
      <c r="AM464" s="212">
        <f t="shared" ref="AM464" si="198">+AM463</f>
        <v>0</v>
      </c>
      <c r="AN464" s="212">
        <f t="shared" ref="AN464" si="199">+AN463</f>
        <v>0</v>
      </c>
      <c r="AO464" s="212">
        <f t="shared" ref="AO464" si="200">+AO463</f>
        <v>0</v>
      </c>
      <c r="AP464" s="212">
        <f t="shared" ref="AP464" si="201">+AP463</f>
        <v>144727667756</v>
      </c>
    </row>
    <row r="465" spans="1:42" s="28" customFormat="1" ht="15" x14ac:dyDescent="0.25">
      <c r="A465" s="213"/>
      <c r="B465" s="214"/>
      <c r="C465" s="454"/>
      <c r="D465" s="214"/>
      <c r="E465" s="454"/>
      <c r="F465" s="454"/>
      <c r="G465" s="214"/>
      <c r="H465" s="454"/>
      <c r="I465" s="214"/>
      <c r="J465" s="215"/>
      <c r="K465" s="215"/>
      <c r="L465" s="215"/>
      <c r="M465" s="216"/>
      <c r="N465" s="214"/>
      <c r="O465" s="454"/>
      <c r="P465" s="217"/>
      <c r="Q465" s="217"/>
      <c r="R465" s="217"/>
      <c r="S465" s="217"/>
      <c r="T465" s="217"/>
      <c r="U465" s="217"/>
      <c r="V465" s="217"/>
      <c r="W465" s="217"/>
      <c r="X465" s="217"/>
      <c r="Y465" s="217"/>
      <c r="Z465" s="217"/>
      <c r="AA465" s="217"/>
      <c r="AB465" s="217"/>
      <c r="AC465" s="217"/>
      <c r="AD465" s="218"/>
      <c r="AE465" s="218"/>
      <c r="AF465" s="218"/>
      <c r="AG465" s="218"/>
      <c r="AH465" s="218"/>
      <c r="AI465" s="218"/>
      <c r="AJ465" s="217"/>
      <c r="AK465" s="217"/>
      <c r="AL465" s="219"/>
      <c r="AM465" s="220"/>
      <c r="AN465" s="217"/>
      <c r="AO465" s="217"/>
      <c r="AP465" s="238"/>
    </row>
    <row r="466" spans="1:42" s="196" customFormat="1" ht="20.25" x14ac:dyDescent="0.25">
      <c r="A466" s="165" t="s">
        <v>583</v>
      </c>
      <c r="B466" s="166"/>
      <c r="C466" s="167"/>
      <c r="D466" s="166"/>
      <c r="E466" s="166"/>
      <c r="F466" s="166"/>
      <c r="G466" s="166"/>
      <c r="H466" s="167"/>
      <c r="I466" s="166"/>
      <c r="J466" s="166"/>
      <c r="K466" s="166"/>
      <c r="L466" s="166"/>
      <c r="M466" s="168"/>
      <c r="N466" s="166"/>
      <c r="O466" s="167"/>
      <c r="P466" s="166"/>
      <c r="Q466" s="166"/>
      <c r="R466" s="166"/>
      <c r="S466" s="166"/>
      <c r="T466" s="166"/>
      <c r="U466" s="166"/>
      <c r="V466" s="166"/>
      <c r="W466" s="166"/>
      <c r="X466" s="166"/>
      <c r="Y466" s="166"/>
      <c r="Z466" s="166"/>
      <c r="AA466" s="166"/>
      <c r="AB466" s="166"/>
      <c r="AC466" s="166"/>
      <c r="AD466" s="166"/>
      <c r="AE466" s="166"/>
      <c r="AF466" s="166"/>
      <c r="AG466" s="166"/>
      <c r="AH466" s="166"/>
      <c r="AI466" s="166"/>
      <c r="AJ466" s="166"/>
      <c r="AK466" s="166"/>
      <c r="AL466" s="169"/>
      <c r="AM466" s="170"/>
      <c r="AN466" s="166"/>
      <c r="AO466" s="166"/>
      <c r="AP466" s="172" t="s">
        <v>0</v>
      </c>
    </row>
    <row r="467" spans="1:42" s="196" customFormat="1" x14ac:dyDescent="0.25">
      <c r="A467" s="173">
        <v>3</v>
      </c>
      <c r="B467" s="174" t="s">
        <v>245</v>
      </c>
      <c r="C467" s="175"/>
      <c r="D467" s="174"/>
      <c r="E467" s="174"/>
      <c r="F467" s="174"/>
      <c r="G467" s="174"/>
      <c r="H467" s="175"/>
      <c r="I467" s="174"/>
      <c r="J467" s="174"/>
      <c r="K467" s="174"/>
      <c r="L467" s="174"/>
      <c r="M467" s="176"/>
      <c r="N467" s="174"/>
      <c r="O467" s="174"/>
      <c r="P467" s="174"/>
      <c r="Q467" s="174"/>
      <c r="R467" s="174"/>
      <c r="S467" s="174"/>
      <c r="T467" s="174"/>
      <c r="U467" s="174"/>
      <c r="V467" s="174"/>
      <c r="W467" s="174"/>
      <c r="X467" s="174"/>
      <c r="Y467" s="174"/>
      <c r="Z467" s="174"/>
      <c r="AA467" s="174"/>
      <c r="AB467" s="174"/>
      <c r="AC467" s="174"/>
      <c r="AD467" s="174"/>
      <c r="AE467" s="174"/>
      <c r="AF467" s="174"/>
      <c r="AG467" s="174"/>
      <c r="AH467" s="174"/>
      <c r="AI467" s="174"/>
      <c r="AJ467" s="174"/>
      <c r="AK467" s="174"/>
      <c r="AL467" s="177"/>
      <c r="AM467" s="174"/>
      <c r="AN467" s="174"/>
      <c r="AO467" s="174"/>
      <c r="AP467" s="178"/>
    </row>
    <row r="468" spans="1:42" s="196" customFormat="1" x14ac:dyDescent="0.25">
      <c r="A468" s="223"/>
      <c r="B468" s="291">
        <v>16</v>
      </c>
      <c r="C468" s="181" t="s">
        <v>574</v>
      </c>
      <c r="D468" s="182"/>
      <c r="E468" s="182"/>
      <c r="F468" s="182"/>
      <c r="G468" s="182"/>
      <c r="H468" s="183"/>
      <c r="I468" s="182"/>
      <c r="J468" s="182"/>
      <c r="K468" s="182"/>
      <c r="L468" s="182"/>
      <c r="M468" s="184"/>
      <c r="N468" s="182"/>
      <c r="O468" s="182"/>
      <c r="P468" s="182"/>
      <c r="Q468" s="182"/>
      <c r="R468" s="182"/>
      <c r="S468" s="182"/>
      <c r="T468" s="182"/>
      <c r="U468" s="182"/>
      <c r="V468" s="182"/>
      <c r="W468" s="182"/>
      <c r="X468" s="182"/>
      <c r="Y468" s="182"/>
      <c r="Z468" s="182"/>
      <c r="AA468" s="182"/>
      <c r="AB468" s="182"/>
      <c r="AC468" s="182"/>
      <c r="AD468" s="182"/>
      <c r="AE468" s="182"/>
      <c r="AF468" s="182"/>
      <c r="AG468" s="182"/>
      <c r="AH468" s="182"/>
      <c r="AI468" s="182"/>
      <c r="AJ468" s="182"/>
      <c r="AK468" s="182"/>
      <c r="AL468" s="185"/>
      <c r="AM468" s="182"/>
      <c r="AN468" s="182"/>
      <c r="AO468" s="182"/>
      <c r="AP468" s="186"/>
    </row>
    <row r="469" spans="1:42" s="196" customFormat="1" ht="15" x14ac:dyDescent="0.25">
      <c r="A469" s="20"/>
      <c r="B469" s="558"/>
      <c r="C469" s="454"/>
      <c r="D469" s="214"/>
      <c r="E469" s="454"/>
      <c r="F469" s="150"/>
      <c r="G469" s="410">
        <v>56</v>
      </c>
      <c r="H469" s="227" t="s">
        <v>584</v>
      </c>
      <c r="I469" s="227"/>
      <c r="J469" s="227"/>
      <c r="K469" s="227"/>
      <c r="L469" s="227"/>
      <c r="M469" s="227"/>
      <c r="N469" s="227"/>
      <c r="O469" s="227"/>
      <c r="P469" s="227"/>
      <c r="Q469" s="227"/>
      <c r="R469" s="227"/>
      <c r="S469" s="227"/>
      <c r="T469" s="227"/>
      <c r="U469" s="227"/>
      <c r="V469" s="227"/>
      <c r="W469" s="227"/>
      <c r="X469" s="227"/>
      <c r="Y469" s="227"/>
      <c r="Z469" s="227"/>
      <c r="AA469" s="227"/>
      <c r="AB469" s="227"/>
      <c r="AC469" s="227"/>
      <c r="AD469" s="227"/>
      <c r="AE469" s="227"/>
      <c r="AF469" s="227"/>
      <c r="AG469" s="227"/>
      <c r="AH469" s="227"/>
      <c r="AI469" s="227"/>
      <c r="AJ469" s="227"/>
      <c r="AK469" s="227"/>
      <c r="AL469" s="229"/>
      <c r="AM469" s="227"/>
      <c r="AN469" s="227"/>
      <c r="AO469" s="227"/>
      <c r="AP469" s="230"/>
    </row>
    <row r="470" spans="1:42" s="28" customFormat="1" ht="71.25" x14ac:dyDescent="0.25">
      <c r="A470" s="20"/>
      <c r="B470" s="223"/>
      <c r="C470" s="967" t="s">
        <v>924</v>
      </c>
      <c r="D470" s="969" t="s">
        <v>577</v>
      </c>
      <c r="E470" s="971" t="s">
        <v>578</v>
      </c>
      <c r="F470" s="971" t="s">
        <v>579</v>
      </c>
      <c r="G470" s="23"/>
      <c r="H470" s="152">
        <v>180</v>
      </c>
      <c r="I470" s="151" t="s">
        <v>585</v>
      </c>
      <c r="J470" s="152">
        <v>0</v>
      </c>
      <c r="K470" s="815">
        <v>1</v>
      </c>
      <c r="L470" s="893" t="s">
        <v>586</v>
      </c>
      <c r="M470" s="907" t="s">
        <v>587</v>
      </c>
      <c r="N470" s="893" t="s">
        <v>588</v>
      </c>
      <c r="O470" s="152" t="s">
        <v>44</v>
      </c>
      <c r="P470" s="26">
        <v>0</v>
      </c>
      <c r="Q470" s="26">
        <v>0</v>
      </c>
      <c r="R470" s="26">
        <v>0</v>
      </c>
      <c r="S470" s="26">
        <v>0</v>
      </c>
      <c r="T470" s="26">
        <v>0</v>
      </c>
      <c r="U470" s="26">
        <v>0</v>
      </c>
      <c r="V470" s="26">
        <v>0</v>
      </c>
      <c r="W470" s="26"/>
      <c r="X470" s="26"/>
      <c r="Y470" s="26"/>
      <c r="Z470" s="26">
        <v>0</v>
      </c>
      <c r="AA470" s="26"/>
      <c r="AB470" s="26">
        <v>0</v>
      </c>
      <c r="AC470" s="26">
        <v>0</v>
      </c>
      <c r="AD470" s="26"/>
      <c r="AE470" s="26"/>
      <c r="AF470" s="26"/>
      <c r="AG470" s="26"/>
      <c r="AH470" s="26"/>
      <c r="AI470" s="26"/>
      <c r="AJ470" s="26">
        <v>0</v>
      </c>
      <c r="AK470" s="26">
        <v>0</v>
      </c>
      <c r="AL470" s="115">
        <f>47500000+200000000</f>
        <v>247500000</v>
      </c>
      <c r="AM470" s="11"/>
      <c r="AN470" s="26">
        <v>0</v>
      </c>
      <c r="AO470" s="27">
        <v>0</v>
      </c>
      <c r="AP470" s="26">
        <f>P470+Q470+R470+S470+T470+U470+V470+W470+X470+Y470+Z470+AA470+AB470+AC470+AD470+AE470+AF470+AG470+AH470+AI470+AJ470+AK470+AL470+AM470+AN470+AO470</f>
        <v>247500000</v>
      </c>
    </row>
    <row r="471" spans="1:42" s="28" customFormat="1" ht="126" customHeight="1" x14ac:dyDescent="0.25">
      <c r="A471" s="20"/>
      <c r="B471" s="189"/>
      <c r="C471" s="968"/>
      <c r="D471" s="970"/>
      <c r="E471" s="972"/>
      <c r="F471" s="972"/>
      <c r="G471" s="31"/>
      <c r="H471" s="152">
        <v>181</v>
      </c>
      <c r="I471" s="151" t="s">
        <v>589</v>
      </c>
      <c r="J471" s="152">
        <v>6</v>
      </c>
      <c r="K471" s="815">
        <v>6</v>
      </c>
      <c r="L471" s="895"/>
      <c r="M471" s="909"/>
      <c r="N471" s="895"/>
      <c r="O471" s="152" t="s">
        <v>44</v>
      </c>
      <c r="P471" s="26">
        <v>0</v>
      </c>
      <c r="Q471" s="26">
        <v>0</v>
      </c>
      <c r="R471" s="26">
        <v>0</v>
      </c>
      <c r="S471" s="26">
        <v>0</v>
      </c>
      <c r="T471" s="26">
        <v>0</v>
      </c>
      <c r="U471" s="26">
        <v>0</v>
      </c>
      <c r="V471" s="26">
        <v>0</v>
      </c>
      <c r="W471" s="26"/>
      <c r="X471" s="26"/>
      <c r="Y471" s="26"/>
      <c r="Z471" s="26">
        <v>0</v>
      </c>
      <c r="AA471" s="26"/>
      <c r="AB471" s="26">
        <v>0</v>
      </c>
      <c r="AC471" s="26">
        <v>0</v>
      </c>
      <c r="AD471" s="26"/>
      <c r="AE471" s="26"/>
      <c r="AF471" s="26"/>
      <c r="AG471" s="26"/>
      <c r="AH471" s="26"/>
      <c r="AI471" s="26"/>
      <c r="AJ471" s="26">
        <v>0</v>
      </c>
      <c r="AK471" s="26">
        <v>0</v>
      </c>
      <c r="AL471" s="115">
        <v>12500000</v>
      </c>
      <c r="AM471" s="11"/>
      <c r="AN471" s="26">
        <v>0</v>
      </c>
      <c r="AO471" s="27">
        <v>0</v>
      </c>
      <c r="AP471" s="26">
        <f>P471+Q471+R471+S471+T471+U471+V471+W471+X471+Y471+Z471+AA471+AB471+AC471+AD471+AE471+AF471+AG471+AH471+AI471+AJ471+AK471+AL471+AM471+AN471+AO471</f>
        <v>12500000</v>
      </c>
    </row>
    <row r="472" spans="1:42" s="196" customFormat="1" ht="15" x14ac:dyDescent="0.25">
      <c r="A472" s="20"/>
      <c r="B472" s="558"/>
      <c r="C472" s="547"/>
      <c r="D472" s="190"/>
      <c r="E472" s="708"/>
      <c r="F472" s="708"/>
      <c r="G472" s="191"/>
      <c r="H472" s="192"/>
      <c r="I472" s="191"/>
      <c r="J472" s="192"/>
      <c r="K472" s="192"/>
      <c r="L472" s="192"/>
      <c r="M472" s="194"/>
      <c r="N472" s="191"/>
      <c r="O472" s="192"/>
      <c r="P472" s="195">
        <f>SUM(P470:P471)</f>
        <v>0</v>
      </c>
      <c r="Q472" s="195">
        <f>SUM(Q470:Q471)</f>
        <v>0</v>
      </c>
      <c r="R472" s="195">
        <f>SUM(R470:R471)</f>
        <v>0</v>
      </c>
      <c r="S472" s="195">
        <f>SUM(S470:S471)</f>
        <v>0</v>
      </c>
      <c r="T472" s="195">
        <f>SUM(T470:T471)</f>
        <v>0</v>
      </c>
      <c r="U472" s="195">
        <f>SUM(U470:U471)</f>
        <v>0</v>
      </c>
      <c r="V472" s="195">
        <f>SUM(V470:V471)</f>
        <v>0</v>
      </c>
      <c r="W472" s="195">
        <f>SUM(W470:W471)</f>
        <v>0</v>
      </c>
      <c r="X472" s="195">
        <f>SUM(X470:X471)</f>
        <v>0</v>
      </c>
      <c r="Y472" s="195">
        <f>SUM(Y470:Y471)</f>
        <v>0</v>
      </c>
      <c r="Z472" s="195">
        <f>SUM(Z470:Z471)</f>
        <v>0</v>
      </c>
      <c r="AA472" s="195"/>
      <c r="AB472" s="195">
        <f>SUM(AB470:AB471)</f>
        <v>0</v>
      </c>
      <c r="AC472" s="195">
        <f>SUM(AC470:AC471)</f>
        <v>0</v>
      </c>
      <c r="AD472" s="195">
        <f>SUM(AD470:AD471)</f>
        <v>0</v>
      </c>
      <c r="AE472" s="195">
        <f>SUM(AE470:AE471)</f>
        <v>0</v>
      </c>
      <c r="AF472" s="195"/>
      <c r="AG472" s="195">
        <f>SUM(AG470:AG471)</f>
        <v>0</v>
      </c>
      <c r="AH472" s="195">
        <f>SUM(AH470:AH471)</f>
        <v>0</v>
      </c>
      <c r="AI472" s="195">
        <f>SUM(AI470:AI471)</f>
        <v>0</v>
      </c>
      <c r="AJ472" s="195">
        <f>SUM(AJ470:AJ471)</f>
        <v>0</v>
      </c>
      <c r="AK472" s="195">
        <f>SUM(AK470:AK471)</f>
        <v>0</v>
      </c>
      <c r="AL472" s="295">
        <f>SUM(AL470:AL471)</f>
        <v>260000000</v>
      </c>
      <c r="AM472" s="195"/>
      <c r="AN472" s="195">
        <f>SUM(AN470:AN471)</f>
        <v>0</v>
      </c>
      <c r="AO472" s="195">
        <f>SUM(AO470:AO471)</f>
        <v>0</v>
      </c>
      <c r="AP472" s="195">
        <f>SUM(AP470:AP471)</f>
        <v>260000000</v>
      </c>
    </row>
    <row r="473" spans="1:42" s="28" customFormat="1" ht="15" x14ac:dyDescent="0.25">
      <c r="A473" s="20"/>
      <c r="B473" s="550"/>
      <c r="C473" s="551"/>
      <c r="D473" s="198"/>
      <c r="E473" s="199"/>
      <c r="F473" s="199"/>
      <c r="G473" s="198"/>
      <c r="H473" s="199"/>
      <c r="I473" s="198"/>
      <c r="J473" s="199"/>
      <c r="K473" s="199"/>
      <c r="L473" s="199"/>
      <c r="M473" s="201"/>
      <c r="N473" s="198"/>
      <c r="O473" s="199"/>
      <c r="P473" s="202">
        <f>P472</f>
        <v>0</v>
      </c>
      <c r="Q473" s="202">
        <f>Q472</f>
        <v>0</v>
      </c>
      <c r="R473" s="202">
        <f>R472</f>
        <v>0</v>
      </c>
      <c r="S473" s="202">
        <f>S472</f>
        <v>0</v>
      </c>
      <c r="T473" s="202">
        <f>T472</f>
        <v>0</v>
      </c>
      <c r="U473" s="202">
        <f>U472</f>
        <v>0</v>
      </c>
      <c r="V473" s="202">
        <f>V472</f>
        <v>0</v>
      </c>
      <c r="W473" s="202"/>
      <c r="X473" s="202"/>
      <c r="Y473" s="202"/>
      <c r="Z473" s="202">
        <f>Z472</f>
        <v>0</v>
      </c>
      <c r="AA473" s="202"/>
      <c r="AB473" s="202">
        <f>AB472</f>
        <v>0</v>
      </c>
      <c r="AC473" s="202">
        <f>AC472</f>
        <v>0</v>
      </c>
      <c r="AD473" s="202">
        <f>AD472</f>
        <v>0</v>
      </c>
      <c r="AE473" s="202">
        <f>AE472</f>
        <v>0</v>
      </c>
      <c r="AF473" s="202"/>
      <c r="AG473" s="202">
        <f>AG472</f>
        <v>0</v>
      </c>
      <c r="AH473" s="202">
        <f>AH472</f>
        <v>0</v>
      </c>
      <c r="AI473" s="202">
        <f>AI472</f>
        <v>0</v>
      </c>
      <c r="AJ473" s="202">
        <f>AJ472</f>
        <v>0</v>
      </c>
      <c r="AK473" s="202">
        <f>AK472</f>
        <v>0</v>
      </c>
      <c r="AL473" s="297">
        <f>AL472</f>
        <v>260000000</v>
      </c>
      <c r="AM473" s="202"/>
      <c r="AN473" s="202">
        <f>AN472</f>
        <v>0</v>
      </c>
      <c r="AO473" s="202">
        <f>AO472</f>
        <v>0</v>
      </c>
      <c r="AP473" s="202">
        <f>AP472</f>
        <v>260000000</v>
      </c>
    </row>
    <row r="474" spans="1:42" s="28" customFormat="1" ht="15" x14ac:dyDescent="0.25">
      <c r="A474" s="20"/>
      <c r="B474" s="559"/>
      <c r="C474" s="560"/>
      <c r="D474" s="214"/>
      <c r="E474" s="454"/>
      <c r="F474" s="454"/>
      <c r="G474" s="214"/>
      <c r="H474" s="454"/>
      <c r="I474" s="214"/>
      <c r="J474" s="454"/>
      <c r="K474" s="454"/>
      <c r="L474" s="454"/>
      <c r="M474" s="216"/>
      <c r="N474" s="214"/>
      <c r="O474" s="454"/>
      <c r="P474" s="217"/>
      <c r="Q474" s="217"/>
      <c r="R474" s="217"/>
      <c r="S474" s="217"/>
      <c r="T474" s="217"/>
      <c r="U474" s="217"/>
      <c r="V474" s="217"/>
      <c r="W474" s="217"/>
      <c r="X474" s="217"/>
      <c r="Y474" s="217"/>
      <c r="Z474" s="217"/>
      <c r="AA474" s="217"/>
      <c r="AB474" s="217"/>
      <c r="AC474" s="217"/>
      <c r="AD474" s="218"/>
      <c r="AE474" s="218"/>
      <c r="AF474" s="218"/>
      <c r="AG474" s="218"/>
      <c r="AH474" s="218"/>
      <c r="AI474" s="218"/>
      <c r="AJ474" s="217"/>
      <c r="AK474" s="217"/>
      <c r="AL474" s="219"/>
      <c r="AM474" s="220"/>
      <c r="AN474" s="217"/>
      <c r="AO474" s="217"/>
      <c r="AP474" s="238"/>
    </row>
    <row r="475" spans="1:42" s="28" customFormat="1" x14ac:dyDescent="0.25">
      <c r="A475" s="20"/>
      <c r="B475" s="291">
        <v>17</v>
      </c>
      <c r="C475" s="181" t="s">
        <v>590</v>
      </c>
      <c r="D475" s="182"/>
      <c r="E475" s="182"/>
      <c r="F475" s="182"/>
      <c r="G475" s="182"/>
      <c r="H475" s="183"/>
      <c r="I475" s="182"/>
      <c r="J475" s="182"/>
      <c r="K475" s="182"/>
      <c r="L475" s="182"/>
      <c r="M475" s="184"/>
      <c r="N475" s="182"/>
      <c r="O475" s="182"/>
      <c r="P475" s="182"/>
      <c r="Q475" s="182"/>
      <c r="R475" s="182"/>
      <c r="S475" s="182"/>
      <c r="T475" s="182"/>
      <c r="U475" s="182"/>
      <c r="V475" s="182"/>
      <c r="W475" s="182"/>
      <c r="X475" s="182"/>
      <c r="Y475" s="182"/>
      <c r="Z475" s="182"/>
      <c r="AA475" s="182"/>
      <c r="AB475" s="182"/>
      <c r="AC475" s="182"/>
      <c r="AD475" s="182"/>
      <c r="AE475" s="182"/>
      <c r="AF475" s="182"/>
      <c r="AG475" s="182"/>
      <c r="AH475" s="182"/>
      <c r="AI475" s="182"/>
      <c r="AJ475" s="182"/>
      <c r="AK475" s="182"/>
      <c r="AL475" s="185"/>
      <c r="AM475" s="182"/>
      <c r="AN475" s="182"/>
      <c r="AO475" s="182"/>
      <c r="AP475" s="186"/>
    </row>
    <row r="476" spans="1:42" s="196" customFormat="1" ht="15" x14ac:dyDescent="0.25">
      <c r="A476" s="20"/>
      <c r="B476" s="561"/>
      <c r="C476" s="547"/>
      <c r="D476" s="190"/>
      <c r="E476" s="708"/>
      <c r="F476" s="708"/>
      <c r="G476" s="410">
        <v>58</v>
      </c>
      <c r="H476" s="227" t="s">
        <v>591</v>
      </c>
      <c r="I476" s="227"/>
      <c r="J476" s="227"/>
      <c r="K476" s="227"/>
      <c r="L476" s="227"/>
      <c r="M476" s="227"/>
      <c r="N476" s="227"/>
      <c r="O476" s="227"/>
      <c r="P476" s="227"/>
      <c r="Q476" s="227"/>
      <c r="R476" s="227"/>
      <c r="S476" s="227"/>
      <c r="T476" s="227"/>
      <c r="U476" s="227"/>
      <c r="V476" s="227"/>
      <c r="W476" s="227"/>
      <c r="X476" s="227"/>
      <c r="Y476" s="227"/>
      <c r="Z476" s="227"/>
      <c r="AA476" s="227"/>
      <c r="AB476" s="227"/>
      <c r="AC476" s="227"/>
      <c r="AD476" s="227"/>
      <c r="AE476" s="227"/>
      <c r="AF476" s="227"/>
      <c r="AG476" s="227"/>
      <c r="AH476" s="227"/>
      <c r="AI476" s="227"/>
      <c r="AJ476" s="227"/>
      <c r="AK476" s="227"/>
      <c r="AL476" s="229"/>
      <c r="AM476" s="227"/>
      <c r="AN476" s="227"/>
      <c r="AO476" s="227"/>
      <c r="AP476" s="230"/>
    </row>
    <row r="477" spans="1:42" s="196" customFormat="1" ht="99.75" customHeight="1" x14ac:dyDescent="0.25">
      <c r="A477" s="20"/>
      <c r="B477" s="562"/>
      <c r="C477" s="563">
        <v>22</v>
      </c>
      <c r="D477" s="190" t="s">
        <v>592</v>
      </c>
      <c r="E477" s="708" t="s">
        <v>593</v>
      </c>
      <c r="F477" s="708" t="s">
        <v>594</v>
      </c>
      <c r="G477" s="23"/>
      <c r="H477" s="152">
        <v>183</v>
      </c>
      <c r="I477" s="151" t="s">
        <v>595</v>
      </c>
      <c r="J477" s="32">
        <v>0</v>
      </c>
      <c r="K477" s="32">
        <v>1</v>
      </c>
      <c r="L477" s="71" t="s">
        <v>586</v>
      </c>
      <c r="M477" s="38" t="s">
        <v>596</v>
      </c>
      <c r="N477" s="151" t="s">
        <v>597</v>
      </c>
      <c r="O477" s="152" t="s">
        <v>44</v>
      </c>
      <c r="P477" s="26"/>
      <c r="Q477" s="26"/>
      <c r="R477" s="26"/>
      <c r="S477" s="26"/>
      <c r="T477" s="26"/>
      <c r="U477" s="26"/>
      <c r="V477" s="26"/>
      <c r="W477" s="26"/>
      <c r="X477" s="26"/>
      <c r="Y477" s="26"/>
      <c r="Z477" s="26"/>
      <c r="AA477" s="26"/>
      <c r="AB477" s="26"/>
      <c r="AC477" s="26"/>
      <c r="AD477" s="304"/>
      <c r="AE477" s="304"/>
      <c r="AF477" s="304"/>
      <c r="AG477" s="304"/>
      <c r="AH477" s="304"/>
      <c r="AI477" s="304"/>
      <c r="AJ477" s="26"/>
      <c r="AK477" s="26"/>
      <c r="AL477" s="113">
        <f>80000000+100000000</f>
        <v>180000000</v>
      </c>
      <c r="AM477" s="14"/>
      <c r="AN477" s="26"/>
      <c r="AO477" s="564"/>
      <c r="AP477" s="26">
        <f>P477+Q477+R477+S477+T477+U477+V477+W477+X477+Y477+Z477+AA477+AB477+AC477+AD477+AE477+AF477+AG477+AH477+AI477+AJ477+AK477+AL477+AM477+AN477+AO477</f>
        <v>180000000</v>
      </c>
    </row>
    <row r="478" spans="1:42" s="196" customFormat="1" ht="15" x14ac:dyDescent="0.25">
      <c r="A478" s="20"/>
      <c r="B478" s="562"/>
      <c r="C478" s="563"/>
      <c r="D478" s="190"/>
      <c r="E478" s="708"/>
      <c r="F478" s="708"/>
      <c r="G478" s="191"/>
      <c r="H478" s="192"/>
      <c r="I478" s="191"/>
      <c r="J478" s="380"/>
      <c r="K478" s="380"/>
      <c r="L478" s="380"/>
      <c r="M478" s="194"/>
      <c r="N478" s="191"/>
      <c r="O478" s="192"/>
      <c r="P478" s="195">
        <f>SUM(P477:P477)</f>
        <v>0</v>
      </c>
      <c r="Q478" s="195">
        <f>SUM(Q477:Q477)</f>
        <v>0</v>
      </c>
      <c r="R478" s="195">
        <f>SUM(R477:R477)</f>
        <v>0</v>
      </c>
      <c r="S478" s="195">
        <f>SUM(S477:S477)</f>
        <v>0</v>
      </c>
      <c r="T478" s="195">
        <f>SUM(T477:T477)</f>
        <v>0</v>
      </c>
      <c r="U478" s="195">
        <f>SUM(U477:U477)</f>
        <v>0</v>
      </c>
      <c r="V478" s="195">
        <f>SUM(V477:V477)</f>
        <v>0</v>
      </c>
      <c r="W478" s="195"/>
      <c r="X478" s="195"/>
      <c r="Y478" s="195"/>
      <c r="Z478" s="195">
        <f>SUM(Z477:Z477)</f>
        <v>0</v>
      </c>
      <c r="AA478" s="195"/>
      <c r="AB478" s="195">
        <f>SUM(AB477:AB477)</f>
        <v>0</v>
      </c>
      <c r="AC478" s="195">
        <f>SUM(AC477:AC477)</f>
        <v>0</v>
      </c>
      <c r="AD478" s="195">
        <f>SUM(AD477:AD477)</f>
        <v>0</v>
      </c>
      <c r="AE478" s="195">
        <f>SUM(AE477:AE477)</f>
        <v>0</v>
      </c>
      <c r="AF478" s="195"/>
      <c r="AG478" s="195">
        <f>SUM(AG477:AG477)</f>
        <v>0</v>
      </c>
      <c r="AH478" s="195">
        <f>SUM(AH477:AH477)</f>
        <v>0</v>
      </c>
      <c r="AI478" s="195">
        <f>SUM(AI477:AI477)</f>
        <v>0</v>
      </c>
      <c r="AJ478" s="195">
        <f>SUM(AJ477:AJ477)</f>
        <v>0</v>
      </c>
      <c r="AK478" s="195">
        <f>SUM(AK477:AK477)</f>
        <v>0</v>
      </c>
      <c r="AL478" s="295">
        <f>SUM(AL477:AL477)</f>
        <v>180000000</v>
      </c>
      <c r="AM478" s="195"/>
      <c r="AN478" s="195">
        <f>SUM(AN477:AN477)</f>
        <v>0</v>
      </c>
      <c r="AO478" s="195">
        <f>SUM(AO477:AO477)</f>
        <v>0</v>
      </c>
      <c r="AP478" s="195">
        <f>SUM(AP477:AP477)</f>
        <v>180000000</v>
      </c>
    </row>
    <row r="479" spans="1:42" s="196" customFormat="1" ht="15" x14ac:dyDescent="0.25">
      <c r="A479" s="20"/>
      <c r="B479" s="562"/>
      <c r="C479" s="565"/>
      <c r="D479" s="503"/>
      <c r="E479" s="565"/>
      <c r="F479" s="565"/>
      <c r="G479" s="503"/>
      <c r="H479" s="565"/>
      <c r="I479" s="503"/>
      <c r="J479" s="566"/>
      <c r="K479" s="566"/>
      <c r="L479" s="566"/>
      <c r="M479" s="502"/>
      <c r="N479" s="503"/>
      <c r="O479" s="565"/>
      <c r="P479" s="108"/>
      <c r="Q479" s="108"/>
      <c r="R479" s="108"/>
      <c r="S479" s="108"/>
      <c r="T479" s="108"/>
      <c r="U479" s="108"/>
      <c r="V479" s="108"/>
      <c r="W479" s="108"/>
      <c r="X479" s="108"/>
      <c r="Y479" s="108"/>
      <c r="Z479" s="108"/>
      <c r="AA479" s="108"/>
      <c r="AB479" s="108"/>
      <c r="AC479" s="108"/>
      <c r="AD479" s="108"/>
      <c r="AE479" s="108"/>
      <c r="AF479" s="108"/>
      <c r="AG479" s="108"/>
      <c r="AH479" s="108"/>
      <c r="AI479" s="108"/>
      <c r="AJ479" s="108"/>
      <c r="AK479" s="108"/>
      <c r="AL479" s="346"/>
      <c r="AM479" s="347"/>
      <c r="AN479" s="108"/>
      <c r="AO479" s="108"/>
      <c r="AP479" s="567"/>
    </row>
    <row r="480" spans="1:42" s="196" customFormat="1" ht="15" x14ac:dyDescent="0.25">
      <c r="A480" s="20"/>
      <c r="B480" s="562"/>
      <c r="C480" s="568"/>
      <c r="D480" s="530"/>
      <c r="E480" s="398"/>
      <c r="F480" s="569"/>
      <c r="G480" s="226">
        <v>59</v>
      </c>
      <c r="H480" s="227" t="s">
        <v>598</v>
      </c>
      <c r="I480" s="227"/>
      <c r="J480" s="227"/>
      <c r="K480" s="227"/>
      <c r="L480" s="227"/>
      <c r="M480" s="227"/>
      <c r="N480" s="227"/>
      <c r="O480" s="227"/>
      <c r="P480" s="227"/>
      <c r="Q480" s="227"/>
      <c r="R480" s="227"/>
      <c r="S480" s="227"/>
      <c r="T480" s="227"/>
      <c r="U480" s="227"/>
      <c r="V480" s="227"/>
      <c r="W480" s="227"/>
      <c r="X480" s="227"/>
      <c r="Y480" s="227"/>
      <c r="Z480" s="227"/>
      <c r="AA480" s="227"/>
      <c r="AB480" s="227"/>
      <c r="AC480" s="227"/>
      <c r="AD480" s="227"/>
      <c r="AE480" s="227"/>
      <c r="AF480" s="227"/>
      <c r="AG480" s="227"/>
      <c r="AH480" s="227"/>
      <c r="AI480" s="227"/>
      <c r="AJ480" s="227"/>
      <c r="AK480" s="227"/>
      <c r="AL480" s="229"/>
      <c r="AM480" s="227"/>
      <c r="AN480" s="227"/>
      <c r="AO480" s="227"/>
      <c r="AP480" s="230"/>
    </row>
    <row r="481" spans="1:42" s="28" customFormat="1" ht="42.75" x14ac:dyDescent="0.25">
      <c r="A481" s="20"/>
      <c r="B481" s="570"/>
      <c r="C481" s="920" t="s">
        <v>599</v>
      </c>
      <c r="D481" s="913" t="s">
        <v>600</v>
      </c>
      <c r="E481" s="891" t="s">
        <v>601</v>
      </c>
      <c r="F481" s="891" t="s">
        <v>602</v>
      </c>
      <c r="G481" s="29"/>
      <c r="H481" s="152">
        <v>184</v>
      </c>
      <c r="I481" s="151" t="s">
        <v>603</v>
      </c>
      <c r="J481" s="32">
        <v>1</v>
      </c>
      <c r="K481" s="32">
        <v>1</v>
      </c>
      <c r="L481" s="964" t="s">
        <v>586</v>
      </c>
      <c r="M481" s="907" t="s">
        <v>604</v>
      </c>
      <c r="N481" s="954" t="s">
        <v>605</v>
      </c>
      <c r="O481" s="58" t="s">
        <v>44</v>
      </c>
      <c r="P481" s="26"/>
      <c r="Q481" s="26"/>
      <c r="R481" s="26"/>
      <c r="S481" s="26"/>
      <c r="T481" s="26"/>
      <c r="U481" s="26"/>
      <c r="V481" s="26"/>
      <c r="W481" s="26"/>
      <c r="X481" s="26"/>
      <c r="Y481" s="26"/>
      <c r="Z481" s="26"/>
      <c r="AA481" s="26"/>
      <c r="AB481" s="26"/>
      <c r="AC481" s="26"/>
      <c r="AD481" s="26"/>
      <c r="AE481" s="26"/>
      <c r="AF481" s="26"/>
      <c r="AG481" s="26"/>
      <c r="AH481" s="26"/>
      <c r="AI481" s="26"/>
      <c r="AJ481" s="26"/>
      <c r="AK481" s="26"/>
      <c r="AL481" s="115">
        <f>25000000+100000000+300000000</f>
        <v>425000000</v>
      </c>
      <c r="AM481" s="11"/>
      <c r="AN481" s="26"/>
      <c r="AO481" s="27"/>
      <c r="AP481" s="26">
        <f>P481+Q481+R481+S481+T481+U481+V481+W481+X481+Y481+Z481+AA481+AB481+AC481+AD481+AE481+AF481+AG481+AH481+AI481+AJ481+AK481+AL481+AM481+AN481+AO481</f>
        <v>425000000</v>
      </c>
    </row>
    <row r="482" spans="1:42" s="196" customFormat="1" ht="75.75" customHeight="1" x14ac:dyDescent="0.25">
      <c r="A482" s="20"/>
      <c r="B482" s="562"/>
      <c r="C482" s="921"/>
      <c r="D482" s="973"/>
      <c r="E482" s="892"/>
      <c r="F482" s="892"/>
      <c r="G482" s="29"/>
      <c r="H482" s="152">
        <v>185</v>
      </c>
      <c r="I482" s="151" t="s">
        <v>606</v>
      </c>
      <c r="J482" s="32" t="s">
        <v>36</v>
      </c>
      <c r="K482" s="32">
        <v>1</v>
      </c>
      <c r="L482" s="965"/>
      <c r="M482" s="908"/>
      <c r="N482" s="955"/>
      <c r="O482" s="152" t="s">
        <v>44</v>
      </c>
      <c r="P482" s="26">
        <v>0</v>
      </c>
      <c r="Q482" s="26">
        <v>0</v>
      </c>
      <c r="R482" s="26">
        <v>0</v>
      </c>
      <c r="S482" s="26">
        <v>0</v>
      </c>
      <c r="T482" s="26">
        <v>0</v>
      </c>
      <c r="U482" s="26">
        <v>0</v>
      </c>
      <c r="V482" s="26">
        <v>0</v>
      </c>
      <c r="W482" s="26"/>
      <c r="X482" s="26"/>
      <c r="Y482" s="26"/>
      <c r="Z482" s="26">
        <v>0</v>
      </c>
      <c r="AA482" s="26"/>
      <c r="AB482" s="26">
        <v>0</v>
      </c>
      <c r="AC482" s="26">
        <v>0</v>
      </c>
      <c r="AD482" s="304"/>
      <c r="AE482" s="304"/>
      <c r="AF482" s="304"/>
      <c r="AG482" s="304"/>
      <c r="AH482" s="304"/>
      <c r="AI482" s="304"/>
      <c r="AJ482" s="26">
        <v>0</v>
      </c>
      <c r="AK482" s="26">
        <v>0</v>
      </c>
      <c r="AL482" s="115">
        <v>16500000</v>
      </c>
      <c r="AM482" s="11"/>
      <c r="AN482" s="26">
        <v>0</v>
      </c>
      <c r="AO482" s="348">
        <v>0</v>
      </c>
      <c r="AP482" s="26">
        <f>P482+Q482+R482+S482+T482+U482+V482+W482+X482+Y482+Z482+AA482+AB482+AC482+AD482+AE482+AF482+AG482+AH482+AI482+AJ482+AK482+AL482+AM482+AN482+AO482</f>
        <v>16500000</v>
      </c>
    </row>
    <row r="483" spans="1:42" s="196" customFormat="1" ht="85.5" x14ac:dyDescent="0.25">
      <c r="A483" s="20"/>
      <c r="B483" s="562"/>
      <c r="C483" s="922"/>
      <c r="D483" s="914"/>
      <c r="E483" s="957"/>
      <c r="F483" s="957"/>
      <c r="G483" s="31"/>
      <c r="H483" s="152">
        <v>186</v>
      </c>
      <c r="I483" s="151" t="s">
        <v>607</v>
      </c>
      <c r="J483" s="32" t="s">
        <v>36</v>
      </c>
      <c r="K483" s="32">
        <v>1</v>
      </c>
      <c r="L483" s="966"/>
      <c r="M483" s="909"/>
      <c r="N483" s="956"/>
      <c r="O483" s="152" t="s">
        <v>44</v>
      </c>
      <c r="P483" s="26"/>
      <c r="Q483" s="26"/>
      <c r="R483" s="26"/>
      <c r="S483" s="26"/>
      <c r="T483" s="26"/>
      <c r="U483" s="26"/>
      <c r="V483" s="26"/>
      <c r="W483" s="26"/>
      <c r="X483" s="26"/>
      <c r="Y483" s="26"/>
      <c r="Z483" s="26"/>
      <c r="AA483" s="26"/>
      <c r="AB483" s="26"/>
      <c r="AC483" s="26"/>
      <c r="AD483" s="304"/>
      <c r="AE483" s="304"/>
      <c r="AF483" s="304"/>
      <c r="AG483" s="304"/>
      <c r="AH483" s="304"/>
      <c r="AI483" s="304"/>
      <c r="AJ483" s="26"/>
      <c r="AK483" s="26"/>
      <c r="AL483" s="115">
        <v>28500000</v>
      </c>
      <c r="AM483" s="11"/>
      <c r="AN483" s="26"/>
      <c r="AO483" s="348"/>
      <c r="AP483" s="26">
        <f>P483+Q483+R483+S483+T483+U483+V483+W483+X483+Y483+Z483+AA483+AB483+AC483+AD483+AE483+AF483+AG483+AH483+AI483+AJ483+AK483+AL483+AM483+AN483+AO483</f>
        <v>28500000</v>
      </c>
    </row>
    <row r="484" spans="1:42" s="196" customFormat="1" ht="15" x14ac:dyDescent="0.25">
      <c r="A484" s="20"/>
      <c r="B484" s="562"/>
      <c r="C484" s="563"/>
      <c r="D484" s="190"/>
      <c r="E484" s="708"/>
      <c r="F484" s="708"/>
      <c r="G484" s="191"/>
      <c r="H484" s="192"/>
      <c r="I484" s="191"/>
      <c r="J484" s="380"/>
      <c r="K484" s="380"/>
      <c r="L484" s="380"/>
      <c r="M484" s="194"/>
      <c r="N484" s="191"/>
      <c r="O484" s="192"/>
      <c r="P484" s="195">
        <f>SUM(P481:P483)</f>
        <v>0</v>
      </c>
      <c r="Q484" s="195">
        <f>SUM(Q481:Q483)</f>
        <v>0</v>
      </c>
      <c r="R484" s="195">
        <f>SUM(R481:R483)</f>
        <v>0</v>
      </c>
      <c r="S484" s="195">
        <f>SUM(S481:S483)</f>
        <v>0</v>
      </c>
      <c r="T484" s="195">
        <f>SUM(T481:T483)</f>
        <v>0</v>
      </c>
      <c r="U484" s="195">
        <f>SUM(U481:U483)</f>
        <v>0</v>
      </c>
      <c r="V484" s="195">
        <f>SUM(V481:V483)</f>
        <v>0</v>
      </c>
      <c r="W484" s="195"/>
      <c r="X484" s="195"/>
      <c r="Y484" s="195"/>
      <c r="Z484" s="195">
        <f>SUM(Z481:Z483)</f>
        <v>0</v>
      </c>
      <c r="AA484" s="195"/>
      <c r="AB484" s="195">
        <f>SUM(AB481:AB483)</f>
        <v>0</v>
      </c>
      <c r="AC484" s="195">
        <f>SUM(AC481:AC483)</f>
        <v>0</v>
      </c>
      <c r="AD484" s="195">
        <f>SUM(AD481:AD483)</f>
        <v>0</v>
      </c>
      <c r="AE484" s="195">
        <f>SUM(AE481:AE483)</f>
        <v>0</v>
      </c>
      <c r="AF484" s="195"/>
      <c r="AG484" s="195">
        <f>SUM(AG481:AG483)</f>
        <v>0</v>
      </c>
      <c r="AH484" s="195">
        <f>SUM(AH481:AH483)</f>
        <v>0</v>
      </c>
      <c r="AI484" s="195">
        <f>SUM(AI481:AI483)</f>
        <v>0</v>
      </c>
      <c r="AJ484" s="195">
        <f>SUM(AJ481:AJ483)</f>
        <v>0</v>
      </c>
      <c r="AK484" s="195">
        <f>SUM(AK481:AK483)</f>
        <v>0</v>
      </c>
      <c r="AL484" s="295">
        <f>SUM(AL481:AL483)</f>
        <v>470000000</v>
      </c>
      <c r="AM484" s="195"/>
      <c r="AN484" s="195">
        <f>SUM(AN481:AN483)</f>
        <v>0</v>
      </c>
      <c r="AO484" s="195">
        <f>SUM(AO481:AO483)</f>
        <v>0</v>
      </c>
      <c r="AP484" s="195">
        <f>SUM(AP481:AP483)</f>
        <v>470000000</v>
      </c>
    </row>
    <row r="485" spans="1:42" s="196" customFormat="1" ht="15" x14ac:dyDescent="0.25">
      <c r="A485" s="20"/>
      <c r="B485" s="562"/>
      <c r="C485" s="565"/>
      <c r="D485" s="503"/>
      <c r="E485" s="565"/>
      <c r="F485" s="565"/>
      <c r="G485" s="503"/>
      <c r="H485" s="565"/>
      <c r="I485" s="503"/>
      <c r="J485" s="566"/>
      <c r="K485" s="566"/>
      <c r="L485" s="566"/>
      <c r="M485" s="502"/>
      <c r="N485" s="503"/>
      <c r="O485" s="565"/>
      <c r="P485" s="108"/>
      <c r="Q485" s="108"/>
      <c r="R485" s="108"/>
      <c r="S485" s="108"/>
      <c r="T485" s="108"/>
      <c r="U485" s="108"/>
      <c r="V485" s="108"/>
      <c r="W485" s="108"/>
      <c r="X485" s="108"/>
      <c r="Y485" s="108"/>
      <c r="Z485" s="108"/>
      <c r="AA485" s="108"/>
      <c r="AB485" s="108"/>
      <c r="AC485" s="108"/>
      <c r="AD485" s="108"/>
      <c r="AE485" s="108"/>
      <c r="AF485" s="108"/>
      <c r="AG485" s="108"/>
      <c r="AH485" s="108"/>
      <c r="AI485" s="108"/>
      <c r="AJ485" s="108"/>
      <c r="AK485" s="108"/>
      <c r="AL485" s="346"/>
      <c r="AM485" s="347"/>
      <c r="AN485" s="108"/>
      <c r="AO485" s="108"/>
      <c r="AP485" s="567"/>
    </row>
    <row r="486" spans="1:42" s="196" customFormat="1" ht="15" x14ac:dyDescent="0.25">
      <c r="A486" s="20"/>
      <c r="B486" s="562"/>
      <c r="C486" s="568"/>
      <c r="D486" s="530"/>
      <c r="E486" s="398"/>
      <c r="F486" s="569"/>
      <c r="G486" s="226">
        <v>60</v>
      </c>
      <c r="H486" s="227" t="s">
        <v>608</v>
      </c>
      <c r="I486" s="227"/>
      <c r="J486" s="227"/>
      <c r="K486" s="227"/>
      <c r="L486" s="227"/>
      <c r="M486" s="227"/>
      <c r="N486" s="227"/>
      <c r="O486" s="227"/>
      <c r="P486" s="227"/>
      <c r="Q486" s="227"/>
      <c r="R486" s="227"/>
      <c r="S486" s="227"/>
      <c r="T486" s="227"/>
      <c r="U486" s="227"/>
      <c r="V486" s="227"/>
      <c r="W486" s="227"/>
      <c r="X486" s="227"/>
      <c r="Y486" s="227"/>
      <c r="Z486" s="227"/>
      <c r="AA486" s="227"/>
      <c r="AB486" s="227"/>
      <c r="AC486" s="227"/>
      <c r="AD486" s="227"/>
      <c r="AE486" s="227"/>
      <c r="AF486" s="227"/>
      <c r="AG486" s="227"/>
      <c r="AH486" s="227"/>
      <c r="AI486" s="227"/>
      <c r="AJ486" s="227"/>
      <c r="AK486" s="227"/>
      <c r="AL486" s="229"/>
      <c r="AM486" s="227"/>
      <c r="AN486" s="227"/>
      <c r="AO486" s="227"/>
      <c r="AP486" s="230"/>
    </row>
    <row r="487" spans="1:42" s="553" customFormat="1" ht="54.95" customHeight="1" x14ac:dyDescent="0.25">
      <c r="A487" s="20"/>
      <c r="B487" s="562"/>
      <c r="C487" s="563">
        <v>22</v>
      </c>
      <c r="D487" s="190" t="s">
        <v>609</v>
      </c>
      <c r="E487" s="709" t="s">
        <v>610</v>
      </c>
      <c r="F487" s="709" t="s">
        <v>611</v>
      </c>
      <c r="G487" s="23"/>
      <c r="H487" s="152">
        <v>187</v>
      </c>
      <c r="I487" s="151" t="s">
        <v>612</v>
      </c>
      <c r="J487" s="32">
        <v>1</v>
      </c>
      <c r="K487" s="32">
        <v>1</v>
      </c>
      <c r="L487" s="964" t="s">
        <v>586</v>
      </c>
      <c r="M487" s="907" t="s">
        <v>613</v>
      </c>
      <c r="N487" s="893" t="s">
        <v>614</v>
      </c>
      <c r="O487" s="152" t="s">
        <v>44</v>
      </c>
      <c r="P487" s="26">
        <v>0</v>
      </c>
      <c r="Q487" s="26">
        <v>0</v>
      </c>
      <c r="R487" s="26">
        <v>0</v>
      </c>
      <c r="S487" s="26">
        <v>0</v>
      </c>
      <c r="T487" s="26">
        <v>0</v>
      </c>
      <c r="U487" s="26">
        <v>0</v>
      </c>
      <c r="V487" s="26">
        <v>0</v>
      </c>
      <c r="W487" s="26"/>
      <c r="X487" s="26"/>
      <c r="Y487" s="26"/>
      <c r="Z487" s="26">
        <v>0</v>
      </c>
      <c r="AA487" s="26"/>
      <c r="AB487" s="26">
        <v>0</v>
      </c>
      <c r="AC487" s="26">
        <v>0</v>
      </c>
      <c r="AD487" s="304"/>
      <c r="AE487" s="304"/>
      <c r="AF487" s="304"/>
      <c r="AG487" s="304"/>
      <c r="AH487" s="304"/>
      <c r="AI487" s="304"/>
      <c r="AJ487" s="26">
        <v>0</v>
      </c>
      <c r="AK487" s="26">
        <v>0</v>
      </c>
      <c r="AL487" s="115">
        <f>24350000</f>
        <v>24350000</v>
      </c>
      <c r="AM487" s="11"/>
      <c r="AN487" s="386">
        <v>0</v>
      </c>
      <c r="AO487" s="348">
        <v>0</v>
      </c>
      <c r="AP487" s="26">
        <f>P487+Q487+R487+S487+T487+U487+V487+W487+X487+Y487+Z487+AA487+AB487+AC487+AD487+AE487+AF487+AG487+AH487+AI487+AJ487+AK487+AL487+AM487+AN487+AO487</f>
        <v>24350000</v>
      </c>
    </row>
    <row r="488" spans="1:42" s="553" customFormat="1" ht="78" customHeight="1" x14ac:dyDescent="0.25">
      <c r="A488" s="20"/>
      <c r="B488" s="562"/>
      <c r="C488" s="563">
        <v>31</v>
      </c>
      <c r="D488" s="571" t="s">
        <v>615</v>
      </c>
      <c r="E488" s="572">
        <v>0.249</v>
      </c>
      <c r="F488" s="573">
        <v>0.2</v>
      </c>
      <c r="G488" s="29"/>
      <c r="H488" s="152">
        <v>188</v>
      </c>
      <c r="I488" s="151" t="s">
        <v>616</v>
      </c>
      <c r="J488" s="32" t="s">
        <v>36</v>
      </c>
      <c r="K488" s="32">
        <v>2</v>
      </c>
      <c r="L488" s="965"/>
      <c r="M488" s="908"/>
      <c r="N488" s="894"/>
      <c r="O488" s="152" t="s">
        <v>44</v>
      </c>
      <c r="P488" s="26">
        <v>0</v>
      </c>
      <c r="Q488" s="26">
        <v>0</v>
      </c>
      <c r="R488" s="26">
        <v>0</v>
      </c>
      <c r="S488" s="26">
        <v>0</v>
      </c>
      <c r="T488" s="26">
        <v>0</v>
      </c>
      <c r="U488" s="26">
        <v>0</v>
      </c>
      <c r="V488" s="26">
        <v>0</v>
      </c>
      <c r="W488" s="26"/>
      <c r="X488" s="26"/>
      <c r="Y488" s="26"/>
      <c r="Z488" s="26">
        <v>0</v>
      </c>
      <c r="AA488" s="26"/>
      <c r="AB488" s="26">
        <v>0</v>
      </c>
      <c r="AC488" s="26">
        <v>0</v>
      </c>
      <c r="AD488" s="304"/>
      <c r="AE488" s="304"/>
      <c r="AF488" s="304"/>
      <c r="AG488" s="304"/>
      <c r="AH488" s="304"/>
      <c r="AI488" s="304"/>
      <c r="AJ488" s="26">
        <v>0</v>
      </c>
      <c r="AK488" s="26">
        <v>0</v>
      </c>
      <c r="AL488" s="121">
        <v>31650000</v>
      </c>
      <c r="AM488" s="8"/>
      <c r="AN488" s="386">
        <v>0</v>
      </c>
      <c r="AO488" s="348">
        <v>0</v>
      </c>
      <c r="AP488" s="26">
        <f>P488+Q488+R488+S488+T488+U488+V488+W488+X488+Y488+Z488+AA488+AB488+AC488+AD488+AE488+AF488+AG488+AH488+AI488+AJ488+AK488+AL488+AM488+AN488+AO488</f>
        <v>31650000</v>
      </c>
    </row>
    <row r="489" spans="1:42" s="28" customFormat="1" ht="102.75" customHeight="1" x14ac:dyDescent="0.25">
      <c r="A489" s="20"/>
      <c r="B489" s="570"/>
      <c r="C489" s="150">
        <v>32</v>
      </c>
      <c r="D489" s="55" t="s">
        <v>910</v>
      </c>
      <c r="E489" s="574" t="s">
        <v>617</v>
      </c>
      <c r="F489" s="152" t="s">
        <v>618</v>
      </c>
      <c r="G489" s="29"/>
      <c r="H489" s="152">
        <v>189</v>
      </c>
      <c r="I489" s="151" t="s">
        <v>619</v>
      </c>
      <c r="J489" s="32" t="s">
        <v>36</v>
      </c>
      <c r="K489" s="32">
        <v>1</v>
      </c>
      <c r="L489" s="966"/>
      <c r="M489" s="909"/>
      <c r="N489" s="895"/>
      <c r="O489" s="152" t="s">
        <v>44</v>
      </c>
      <c r="P489" s="26">
        <v>0</v>
      </c>
      <c r="Q489" s="26">
        <v>0</v>
      </c>
      <c r="R489" s="26">
        <v>0</v>
      </c>
      <c r="S489" s="26">
        <v>0</v>
      </c>
      <c r="T489" s="26">
        <v>0</v>
      </c>
      <c r="U489" s="26">
        <v>0</v>
      </c>
      <c r="V489" s="26">
        <v>0</v>
      </c>
      <c r="W489" s="26"/>
      <c r="X489" s="26"/>
      <c r="Y489" s="26"/>
      <c r="Z489" s="26">
        <v>0</v>
      </c>
      <c r="AA489" s="26"/>
      <c r="AB489" s="26">
        <v>0</v>
      </c>
      <c r="AC489" s="26">
        <v>0</v>
      </c>
      <c r="AD489" s="26"/>
      <c r="AE489" s="26"/>
      <c r="AF489" s="26"/>
      <c r="AG489" s="26"/>
      <c r="AH489" s="26"/>
      <c r="AI489" s="26"/>
      <c r="AJ489" s="26">
        <v>0</v>
      </c>
      <c r="AK489" s="26">
        <v>0</v>
      </c>
      <c r="AL489" s="115">
        <f>44000000+60000000</f>
        <v>104000000</v>
      </c>
      <c r="AM489" s="11"/>
      <c r="AN489" s="26">
        <v>0</v>
      </c>
      <c r="AO489" s="27">
        <v>0</v>
      </c>
      <c r="AP489" s="26">
        <f>P489+Q489+R489+S489+T489+U489+V489+W489+X489+Y489+Z489+AA489+AB489+AC489+AD489+AE489+AF489+AG489+AH489+AI489+AJ489+AK489+AL489+AM489+AN489+AO489</f>
        <v>104000000</v>
      </c>
    </row>
    <row r="490" spans="1:42" s="196" customFormat="1" ht="15" x14ac:dyDescent="0.25">
      <c r="A490" s="20"/>
      <c r="B490" s="562"/>
      <c r="C490" s="563"/>
      <c r="D490" s="190"/>
      <c r="E490" s="708"/>
      <c r="F490" s="708"/>
      <c r="G490" s="191"/>
      <c r="H490" s="192"/>
      <c r="I490" s="191"/>
      <c r="J490" s="380"/>
      <c r="K490" s="380"/>
      <c r="L490" s="380"/>
      <c r="M490" s="194"/>
      <c r="N490" s="191"/>
      <c r="O490" s="192"/>
      <c r="P490" s="195">
        <f>SUM(P487:P489)</f>
        <v>0</v>
      </c>
      <c r="Q490" s="195">
        <f>SUM(Q487:Q489)</f>
        <v>0</v>
      </c>
      <c r="R490" s="195">
        <f>SUM(R487:R489)</f>
        <v>0</v>
      </c>
      <c r="S490" s="195">
        <f>SUM(S487:S489)</f>
        <v>0</v>
      </c>
      <c r="T490" s="195">
        <f>SUM(T487:T489)</f>
        <v>0</v>
      </c>
      <c r="U490" s="195">
        <f>SUM(U487:U489)</f>
        <v>0</v>
      </c>
      <c r="V490" s="195">
        <f>SUM(V487:V489)</f>
        <v>0</v>
      </c>
      <c r="W490" s="195"/>
      <c r="X490" s="195"/>
      <c r="Y490" s="195"/>
      <c r="Z490" s="195">
        <f>SUM(Z487:Z489)</f>
        <v>0</v>
      </c>
      <c r="AA490" s="195"/>
      <c r="AB490" s="195">
        <f>SUM(AB487:AB489)</f>
        <v>0</v>
      </c>
      <c r="AC490" s="195">
        <f>SUM(AC487:AC489)</f>
        <v>0</v>
      </c>
      <c r="AD490" s="195">
        <f>SUM(AD487:AD489)</f>
        <v>0</v>
      </c>
      <c r="AE490" s="195">
        <f>SUM(AE487:AE489)</f>
        <v>0</v>
      </c>
      <c r="AF490" s="195"/>
      <c r="AG490" s="195">
        <f>SUM(AG487:AG489)</f>
        <v>0</v>
      </c>
      <c r="AH490" s="195">
        <f>SUM(AH487:AH489)</f>
        <v>0</v>
      </c>
      <c r="AI490" s="195">
        <f>SUM(AI487:AI489)</f>
        <v>0</v>
      </c>
      <c r="AJ490" s="195">
        <f>SUM(AJ487:AJ489)</f>
        <v>0</v>
      </c>
      <c r="AK490" s="195">
        <f>SUM(AK487:AK489)</f>
        <v>0</v>
      </c>
      <c r="AL490" s="295">
        <f>SUM(AL487:AL489)</f>
        <v>160000000</v>
      </c>
      <c r="AM490" s="195"/>
      <c r="AN490" s="195">
        <f>SUM(AN487:AN489)</f>
        <v>0</v>
      </c>
      <c r="AO490" s="195">
        <f>SUM(AO487:AO489)</f>
        <v>0</v>
      </c>
      <c r="AP490" s="195">
        <f>SUM(AP487:AP489)</f>
        <v>160000000</v>
      </c>
    </row>
    <row r="491" spans="1:42" s="196" customFormat="1" ht="15" x14ac:dyDescent="0.25">
      <c r="A491" s="20"/>
      <c r="B491" s="562"/>
      <c r="C491" s="565"/>
      <c r="D491" s="503"/>
      <c r="E491" s="565"/>
      <c r="F491" s="565"/>
      <c r="G491" s="503"/>
      <c r="H491" s="565"/>
      <c r="I491" s="503"/>
      <c r="J491" s="566"/>
      <c r="K491" s="566"/>
      <c r="L491" s="566"/>
      <c r="M491" s="502"/>
      <c r="N491" s="503"/>
      <c r="O491" s="565"/>
      <c r="P491" s="108"/>
      <c r="Q491" s="108"/>
      <c r="R491" s="108"/>
      <c r="S491" s="108"/>
      <c r="T491" s="108"/>
      <c r="U491" s="108"/>
      <c r="V491" s="108"/>
      <c r="W491" s="108"/>
      <c r="X491" s="108"/>
      <c r="Y491" s="108"/>
      <c r="Z491" s="108"/>
      <c r="AA491" s="108"/>
      <c r="AB491" s="108"/>
      <c r="AC491" s="108"/>
      <c r="AD491" s="108"/>
      <c r="AE491" s="108"/>
      <c r="AF491" s="108"/>
      <c r="AG491" s="108"/>
      <c r="AH491" s="108"/>
      <c r="AI491" s="108"/>
      <c r="AJ491" s="108"/>
      <c r="AK491" s="108"/>
      <c r="AL491" s="346"/>
      <c r="AM491" s="347"/>
      <c r="AN491" s="108"/>
      <c r="AO491" s="108"/>
      <c r="AP491" s="567"/>
    </row>
    <row r="492" spans="1:42" s="196" customFormat="1" ht="15" x14ac:dyDescent="0.25">
      <c r="A492" s="20"/>
      <c r="B492" s="562"/>
      <c r="C492" s="568"/>
      <c r="D492" s="530"/>
      <c r="E492" s="398"/>
      <c r="F492" s="569"/>
      <c r="G492" s="226">
        <v>61</v>
      </c>
      <c r="H492" s="227" t="s">
        <v>620</v>
      </c>
      <c r="I492" s="227"/>
      <c r="J492" s="227"/>
      <c r="K492" s="227"/>
      <c r="L492" s="227"/>
      <c r="M492" s="227"/>
      <c r="N492" s="227"/>
      <c r="O492" s="227"/>
      <c r="P492" s="227"/>
      <c r="Q492" s="227"/>
      <c r="R492" s="227"/>
      <c r="S492" s="227"/>
      <c r="T492" s="227"/>
      <c r="U492" s="227"/>
      <c r="V492" s="227"/>
      <c r="W492" s="227"/>
      <c r="X492" s="227"/>
      <c r="Y492" s="227"/>
      <c r="Z492" s="227"/>
      <c r="AA492" s="227"/>
      <c r="AB492" s="227"/>
      <c r="AC492" s="227"/>
      <c r="AD492" s="227"/>
      <c r="AE492" s="227"/>
      <c r="AF492" s="227"/>
      <c r="AG492" s="227"/>
      <c r="AH492" s="227"/>
      <c r="AI492" s="227"/>
      <c r="AJ492" s="227"/>
      <c r="AK492" s="227"/>
      <c r="AL492" s="229"/>
      <c r="AM492" s="227"/>
      <c r="AN492" s="227"/>
      <c r="AO492" s="227"/>
      <c r="AP492" s="230"/>
    </row>
    <row r="493" spans="1:42" s="196" customFormat="1" ht="77.25" customHeight="1" x14ac:dyDescent="0.25">
      <c r="A493" s="20"/>
      <c r="B493" s="562"/>
      <c r="C493" s="563">
        <v>34</v>
      </c>
      <c r="D493" s="571" t="s">
        <v>621</v>
      </c>
      <c r="E493" s="709" t="s">
        <v>36</v>
      </c>
      <c r="F493" s="708">
        <v>40</v>
      </c>
      <c r="G493" s="23"/>
      <c r="H493" s="152">
        <v>190</v>
      </c>
      <c r="I493" s="151" t="s">
        <v>622</v>
      </c>
      <c r="J493" s="12">
        <v>1</v>
      </c>
      <c r="K493" s="12">
        <v>1</v>
      </c>
      <c r="L493" s="151" t="s">
        <v>586</v>
      </c>
      <c r="M493" s="38" t="s">
        <v>623</v>
      </c>
      <c r="N493" s="151" t="s">
        <v>624</v>
      </c>
      <c r="O493" s="152" t="s">
        <v>44</v>
      </c>
      <c r="P493" s="26"/>
      <c r="Q493" s="26"/>
      <c r="R493" s="26"/>
      <c r="S493" s="26"/>
      <c r="T493" s="26"/>
      <c r="U493" s="26"/>
      <c r="V493" s="26"/>
      <c r="W493" s="26"/>
      <c r="X493" s="26"/>
      <c r="Y493" s="26"/>
      <c r="Z493" s="26"/>
      <c r="AA493" s="26"/>
      <c r="AB493" s="26"/>
      <c r="AC493" s="26"/>
      <c r="AD493" s="304"/>
      <c r="AE493" s="304"/>
      <c r="AF493" s="304"/>
      <c r="AG493" s="304"/>
      <c r="AH493" s="304"/>
      <c r="AI493" s="304"/>
      <c r="AJ493" s="26"/>
      <c r="AK493" s="26"/>
      <c r="AL493" s="113">
        <v>190000000</v>
      </c>
      <c r="AM493" s="14"/>
      <c r="AN493" s="26"/>
      <c r="AO493" s="564"/>
      <c r="AP493" s="26">
        <f>P493+Q493+R493+S493+T493+U493+V493+W493+X493+Y493+Z493+AA493+AB493+AC493+AD493+AE493+AF493+AG493+AH493+AI493+AJ493+AK493+AL493+AM493+AN493+AO493</f>
        <v>190000000</v>
      </c>
    </row>
    <row r="494" spans="1:42" s="196" customFormat="1" ht="15" x14ac:dyDescent="0.25">
      <c r="A494" s="20"/>
      <c r="B494" s="575"/>
      <c r="C494" s="563"/>
      <c r="D494" s="190"/>
      <c r="E494" s="708"/>
      <c r="F494" s="708"/>
      <c r="G494" s="191"/>
      <c r="H494" s="192"/>
      <c r="I494" s="191"/>
      <c r="J494" s="303"/>
      <c r="K494" s="303"/>
      <c r="L494" s="303"/>
      <c r="M494" s="194"/>
      <c r="N494" s="191"/>
      <c r="O494" s="192"/>
      <c r="P494" s="195">
        <f>SUM(P493:P493)</f>
        <v>0</v>
      </c>
      <c r="Q494" s="195">
        <f>SUM(Q493:Q493)</f>
        <v>0</v>
      </c>
      <c r="R494" s="195">
        <f>SUM(R493:R493)</f>
        <v>0</v>
      </c>
      <c r="S494" s="195">
        <f>SUM(S493:S493)</f>
        <v>0</v>
      </c>
      <c r="T494" s="195">
        <f>SUM(T493:T493)</f>
        <v>0</v>
      </c>
      <c r="U494" s="195">
        <f>SUM(U493:U493)</f>
        <v>0</v>
      </c>
      <c r="V494" s="195">
        <f>SUM(V493:V493)</f>
        <v>0</v>
      </c>
      <c r="W494" s="195"/>
      <c r="X494" s="195"/>
      <c r="Y494" s="195"/>
      <c r="Z494" s="195">
        <f>SUM(Z493:Z493)</f>
        <v>0</v>
      </c>
      <c r="AA494" s="195"/>
      <c r="AB494" s="195">
        <f>SUM(AB493:AB493)</f>
        <v>0</v>
      </c>
      <c r="AC494" s="195">
        <f>SUM(AC493:AC493)</f>
        <v>0</v>
      </c>
      <c r="AD494" s="195">
        <f>SUM(AD493:AD493)</f>
        <v>0</v>
      </c>
      <c r="AE494" s="195">
        <f>SUM(AE493:AE493)</f>
        <v>0</v>
      </c>
      <c r="AF494" s="195"/>
      <c r="AG494" s="195">
        <f>SUM(AG493:AG493)</f>
        <v>0</v>
      </c>
      <c r="AH494" s="195">
        <f>SUM(AH493:AH493)</f>
        <v>0</v>
      </c>
      <c r="AI494" s="195">
        <f>SUM(AI493:AI493)</f>
        <v>0</v>
      </c>
      <c r="AJ494" s="195">
        <f>SUM(AJ493:AJ493)</f>
        <v>0</v>
      </c>
      <c r="AK494" s="195">
        <f>SUM(AK493:AK493)</f>
        <v>0</v>
      </c>
      <c r="AL494" s="295">
        <f>SUM(AL493:AL493)</f>
        <v>190000000</v>
      </c>
      <c r="AM494" s="195"/>
      <c r="AN494" s="195">
        <f>SUM(AN493:AN493)</f>
        <v>0</v>
      </c>
      <c r="AO494" s="195">
        <f>SUM(AO493:AO493)</f>
        <v>0</v>
      </c>
      <c r="AP494" s="195">
        <f>SUM(AP493:AP493)</f>
        <v>190000000</v>
      </c>
    </row>
    <row r="495" spans="1:42" s="196" customFormat="1" ht="15" x14ac:dyDescent="0.25">
      <c r="A495" s="20"/>
      <c r="B495" s="260"/>
      <c r="C495" s="199"/>
      <c r="D495" s="198"/>
      <c r="E495" s="199"/>
      <c r="F495" s="199"/>
      <c r="G495" s="198"/>
      <c r="H495" s="199"/>
      <c r="I495" s="198"/>
      <c r="J495" s="311"/>
      <c r="K495" s="311"/>
      <c r="L495" s="311"/>
      <c r="M495" s="201"/>
      <c r="N495" s="198"/>
      <c r="O495" s="199"/>
      <c r="P495" s="202">
        <f>P494+P490+P484+P478</f>
        <v>0</v>
      </c>
      <c r="Q495" s="202">
        <f>Q494+Q490+Q484+Q478</f>
        <v>0</v>
      </c>
      <c r="R495" s="202">
        <f>R494+R490+R484+R478</f>
        <v>0</v>
      </c>
      <c r="S495" s="202">
        <f>S494+S490+S484+S478</f>
        <v>0</v>
      </c>
      <c r="T495" s="202">
        <f>T494+T490+T484+T478</f>
        <v>0</v>
      </c>
      <c r="U495" s="202">
        <f>U494+U490+U484+U478</f>
        <v>0</v>
      </c>
      <c r="V495" s="202">
        <f>V494+V490+V484+V478</f>
        <v>0</v>
      </c>
      <c r="W495" s="202"/>
      <c r="X495" s="202"/>
      <c r="Y495" s="202"/>
      <c r="Z495" s="202">
        <f>Z494+Z490+Z484+Z478</f>
        <v>0</v>
      </c>
      <c r="AA495" s="202"/>
      <c r="AB495" s="202">
        <f>AB494+AB490+AB484+AB478</f>
        <v>0</v>
      </c>
      <c r="AC495" s="202">
        <f>AC494+AC490+AC484+AC478</f>
        <v>0</v>
      </c>
      <c r="AD495" s="202">
        <f>AD494+AD490+AD484+AD478</f>
        <v>0</v>
      </c>
      <c r="AE495" s="202">
        <f>AE494+AE490+AE484+AE478</f>
        <v>0</v>
      </c>
      <c r="AF495" s="202"/>
      <c r="AG495" s="202">
        <f>AG494+AG490+AG484+AG478</f>
        <v>0</v>
      </c>
      <c r="AH495" s="202">
        <f>AH494+AH490+AH484+AH478</f>
        <v>0</v>
      </c>
      <c r="AI495" s="202">
        <f>AI494+AI490+AI484+AI478</f>
        <v>0</v>
      </c>
      <c r="AJ495" s="202">
        <f>AJ494+AJ490+AJ484+AJ478</f>
        <v>0</v>
      </c>
      <c r="AK495" s="202">
        <f>AK494+AK490+AK484+AK478</f>
        <v>0</v>
      </c>
      <c r="AL495" s="297">
        <f>AL494+AL490+AL484+AL478</f>
        <v>1000000000</v>
      </c>
      <c r="AM495" s="202"/>
      <c r="AN495" s="202">
        <f>AN494+AN490+AN484+AN478</f>
        <v>0</v>
      </c>
      <c r="AO495" s="202">
        <f>AO494+AO490+AO484+AO478</f>
        <v>0</v>
      </c>
      <c r="AP495" s="202">
        <f>AP494+AP490+AP484+AP478</f>
        <v>1000000000</v>
      </c>
    </row>
    <row r="496" spans="1:42" s="28" customFormat="1" ht="15" x14ac:dyDescent="0.25">
      <c r="A496" s="20"/>
      <c r="B496" s="559"/>
      <c r="C496" s="560"/>
      <c r="D496" s="214"/>
      <c r="E496" s="454"/>
      <c r="F496" s="454"/>
      <c r="G496" s="214"/>
      <c r="H496" s="454"/>
      <c r="I496" s="214"/>
      <c r="J496" s="454"/>
      <c r="K496" s="454"/>
      <c r="L496" s="454"/>
      <c r="M496" s="216"/>
      <c r="N496" s="214"/>
      <c r="O496" s="454"/>
      <c r="P496" s="217"/>
      <c r="Q496" s="217"/>
      <c r="R496" s="217"/>
      <c r="S496" s="217"/>
      <c r="T496" s="217"/>
      <c r="U496" s="217"/>
      <c r="V496" s="217"/>
      <c r="W496" s="217"/>
      <c r="X496" s="217"/>
      <c r="Y496" s="217"/>
      <c r="Z496" s="217"/>
      <c r="AA496" s="217"/>
      <c r="AB496" s="217"/>
      <c r="AC496" s="217"/>
      <c r="AD496" s="218"/>
      <c r="AE496" s="218"/>
      <c r="AF496" s="218"/>
      <c r="AG496" s="218"/>
      <c r="AH496" s="218"/>
      <c r="AI496" s="218"/>
      <c r="AJ496" s="217"/>
      <c r="AK496" s="217"/>
      <c r="AL496" s="219"/>
      <c r="AM496" s="220"/>
      <c r="AN496" s="217"/>
      <c r="AO496" s="217"/>
      <c r="AP496" s="238"/>
    </row>
    <row r="497" spans="1:42" s="28" customFormat="1" x14ac:dyDescent="0.25">
      <c r="A497" s="20"/>
      <c r="B497" s="291">
        <v>18</v>
      </c>
      <c r="C497" s="181" t="s">
        <v>625</v>
      </c>
      <c r="D497" s="182"/>
      <c r="E497" s="182"/>
      <c r="F497" s="182"/>
      <c r="G497" s="182"/>
      <c r="H497" s="183"/>
      <c r="I497" s="182"/>
      <c r="J497" s="182"/>
      <c r="K497" s="182"/>
      <c r="L497" s="182"/>
      <c r="M497" s="184"/>
      <c r="N497" s="182"/>
      <c r="O497" s="182"/>
      <c r="P497" s="182"/>
      <c r="Q497" s="182"/>
      <c r="R497" s="182"/>
      <c r="S497" s="182"/>
      <c r="T497" s="182"/>
      <c r="U497" s="182"/>
      <c r="V497" s="182"/>
      <c r="W497" s="182"/>
      <c r="X497" s="182"/>
      <c r="Y497" s="182"/>
      <c r="Z497" s="182"/>
      <c r="AA497" s="182"/>
      <c r="AB497" s="182"/>
      <c r="AC497" s="182"/>
      <c r="AD497" s="182"/>
      <c r="AE497" s="182"/>
      <c r="AF497" s="182"/>
      <c r="AG497" s="182"/>
      <c r="AH497" s="182"/>
      <c r="AI497" s="182"/>
      <c r="AJ497" s="182"/>
      <c r="AK497" s="182"/>
      <c r="AL497" s="185"/>
      <c r="AM497" s="182"/>
      <c r="AN497" s="182"/>
      <c r="AO497" s="182"/>
      <c r="AP497" s="186"/>
    </row>
    <row r="498" spans="1:42" s="28" customFormat="1" ht="15" x14ac:dyDescent="0.25">
      <c r="A498" s="20"/>
      <c r="B498" s="561"/>
      <c r="C498" s="547"/>
      <c r="D498" s="190"/>
      <c r="E498" s="708"/>
      <c r="F498" s="708"/>
      <c r="G498" s="410">
        <v>62</v>
      </c>
      <c r="H498" s="227" t="s">
        <v>626</v>
      </c>
      <c r="I498" s="227"/>
      <c r="J498" s="227"/>
      <c r="K498" s="227"/>
      <c r="L498" s="227"/>
      <c r="M498" s="227"/>
      <c r="N498" s="227"/>
      <c r="O498" s="227"/>
      <c r="P498" s="227"/>
      <c r="Q498" s="227"/>
      <c r="R498" s="227"/>
      <c r="S498" s="227"/>
      <c r="T498" s="227"/>
      <c r="U498" s="227"/>
      <c r="V498" s="227"/>
      <c r="W498" s="227"/>
      <c r="X498" s="227"/>
      <c r="Y498" s="227"/>
      <c r="Z498" s="227"/>
      <c r="AA498" s="227"/>
      <c r="AB498" s="227"/>
      <c r="AC498" s="227"/>
      <c r="AD498" s="227"/>
      <c r="AE498" s="227"/>
      <c r="AF498" s="227"/>
      <c r="AG498" s="227"/>
      <c r="AH498" s="227"/>
      <c r="AI498" s="227"/>
      <c r="AJ498" s="227"/>
      <c r="AK498" s="227"/>
      <c r="AL498" s="229"/>
      <c r="AM498" s="227"/>
      <c r="AN498" s="227"/>
      <c r="AO498" s="227"/>
      <c r="AP498" s="230"/>
    </row>
    <row r="499" spans="1:42" s="196" customFormat="1" ht="72.75" customHeight="1" x14ac:dyDescent="0.25">
      <c r="A499" s="20"/>
      <c r="B499" s="562"/>
      <c r="C499" s="563">
        <v>22</v>
      </c>
      <c r="D499" s="571" t="s">
        <v>609</v>
      </c>
      <c r="E499" s="709" t="s">
        <v>610</v>
      </c>
      <c r="F499" s="708" t="s">
        <v>611</v>
      </c>
      <c r="G499" s="23"/>
      <c r="H499" s="152">
        <v>191</v>
      </c>
      <c r="I499" s="576" t="s">
        <v>627</v>
      </c>
      <c r="J499" s="152" t="s">
        <v>36</v>
      </c>
      <c r="K499" s="815">
        <v>1</v>
      </c>
      <c r="L499" s="151" t="s">
        <v>586</v>
      </c>
      <c r="M499" s="38" t="s">
        <v>628</v>
      </c>
      <c r="N499" s="7" t="s">
        <v>629</v>
      </c>
      <c r="O499" s="58" t="s">
        <v>44</v>
      </c>
      <c r="P499" s="26">
        <v>0</v>
      </c>
      <c r="Q499" s="26">
        <v>0</v>
      </c>
      <c r="R499" s="26">
        <v>0</v>
      </c>
      <c r="S499" s="26">
        <v>0</v>
      </c>
      <c r="T499" s="26">
        <v>0</v>
      </c>
      <c r="U499" s="26">
        <v>0</v>
      </c>
      <c r="V499" s="26">
        <v>0</v>
      </c>
      <c r="W499" s="26"/>
      <c r="X499" s="26"/>
      <c r="Y499" s="26"/>
      <c r="Z499" s="26">
        <v>0</v>
      </c>
      <c r="AA499" s="26"/>
      <c r="AB499" s="26">
        <v>0</v>
      </c>
      <c r="AC499" s="26">
        <v>0</v>
      </c>
      <c r="AD499" s="304"/>
      <c r="AE499" s="304"/>
      <c r="AF499" s="304"/>
      <c r="AG499" s="304"/>
      <c r="AH499" s="304"/>
      <c r="AI499" s="304"/>
      <c r="AJ499" s="26">
        <v>0</v>
      </c>
      <c r="AK499" s="26">
        <v>0</v>
      </c>
      <c r="AL499" s="117">
        <f>10000000+150000000+1000000000-60000000</f>
        <v>1100000000</v>
      </c>
      <c r="AM499" s="395"/>
      <c r="AN499" s="386">
        <v>0</v>
      </c>
      <c r="AO499" s="348">
        <v>0</v>
      </c>
      <c r="AP499" s="26">
        <f>P499+Q499+R499+S499+T499+U499+V499+W499+X499+Y499+Z499+AA499+AB499+AC499+AD499+AE499+AF499+AG499+AH499+AI499+AJ499+AK499+AL499+AM499+AN499+AO499</f>
        <v>1100000000</v>
      </c>
    </row>
    <row r="500" spans="1:42" s="28" customFormat="1" ht="111" customHeight="1" x14ac:dyDescent="0.25">
      <c r="A500" s="20"/>
      <c r="B500" s="570"/>
      <c r="C500" s="150">
        <v>22</v>
      </c>
      <c r="D500" s="55" t="s">
        <v>609</v>
      </c>
      <c r="E500" s="574" t="s">
        <v>610</v>
      </c>
      <c r="F500" s="152" t="s">
        <v>611</v>
      </c>
      <c r="G500" s="29"/>
      <c r="H500" s="152">
        <v>192</v>
      </c>
      <c r="I500" s="151" t="s">
        <v>630</v>
      </c>
      <c r="J500" s="152">
        <v>1</v>
      </c>
      <c r="K500" s="815">
        <v>1</v>
      </c>
      <c r="L500" s="151" t="s">
        <v>586</v>
      </c>
      <c r="M500" s="38" t="s">
        <v>631</v>
      </c>
      <c r="N500" s="151" t="s">
        <v>632</v>
      </c>
      <c r="O500" s="58" t="s">
        <v>44</v>
      </c>
      <c r="P500" s="26">
        <v>0</v>
      </c>
      <c r="Q500" s="26">
        <v>0</v>
      </c>
      <c r="R500" s="26">
        <v>0</v>
      </c>
      <c r="S500" s="26">
        <v>0</v>
      </c>
      <c r="T500" s="26">
        <v>0</v>
      </c>
      <c r="U500" s="26">
        <v>0</v>
      </c>
      <c r="V500" s="26">
        <v>0</v>
      </c>
      <c r="W500" s="26"/>
      <c r="X500" s="26"/>
      <c r="Y500" s="26"/>
      <c r="Z500" s="26">
        <v>0</v>
      </c>
      <c r="AA500" s="26"/>
      <c r="AB500" s="26">
        <v>0</v>
      </c>
      <c r="AC500" s="26">
        <v>0</v>
      </c>
      <c r="AD500" s="26"/>
      <c r="AE500" s="26"/>
      <c r="AF500" s="26"/>
      <c r="AG500" s="26"/>
      <c r="AH500" s="26"/>
      <c r="AI500" s="26"/>
      <c r="AJ500" s="26">
        <v>0</v>
      </c>
      <c r="AK500" s="26">
        <v>0</v>
      </c>
      <c r="AL500" s="113">
        <f>60000000+15000000</f>
        <v>75000000</v>
      </c>
      <c r="AM500" s="39"/>
      <c r="AN500" s="26">
        <v>0</v>
      </c>
      <c r="AO500" s="27">
        <v>0</v>
      </c>
      <c r="AP500" s="26">
        <f>P500+Q500+R500+S500+T500+U500+V500+W500+X500+Y500+Z500+AA500+AB500+AC500+AD500+AE500+AF500+AG500+AH500+AI500+AJ500+AK500+AL500+AM500+AN500+AO500</f>
        <v>75000000</v>
      </c>
    </row>
    <row r="501" spans="1:42" s="196" customFormat="1" ht="15" x14ac:dyDescent="0.25">
      <c r="A501" s="20"/>
      <c r="B501" s="562"/>
      <c r="C501" s="563"/>
      <c r="D501" s="190"/>
      <c r="E501" s="708"/>
      <c r="F501" s="708"/>
      <c r="G501" s="191"/>
      <c r="H501" s="192"/>
      <c r="I501" s="191"/>
      <c r="J501" s="192"/>
      <c r="K501" s="192"/>
      <c r="L501" s="192"/>
      <c r="M501" s="194"/>
      <c r="N501" s="191"/>
      <c r="O501" s="192"/>
      <c r="P501" s="195">
        <f>SUM(P499:P500)</f>
        <v>0</v>
      </c>
      <c r="Q501" s="195">
        <f>SUM(Q499:Q500)</f>
        <v>0</v>
      </c>
      <c r="R501" s="195">
        <f>SUM(R499:R500)</f>
        <v>0</v>
      </c>
      <c r="S501" s="195">
        <f>SUM(S499:S500)</f>
        <v>0</v>
      </c>
      <c r="T501" s="195">
        <f>SUM(T499:T500)</f>
        <v>0</v>
      </c>
      <c r="U501" s="195">
        <f>SUM(U499:U500)</f>
        <v>0</v>
      </c>
      <c r="V501" s="195">
        <f>SUM(V499:V500)</f>
        <v>0</v>
      </c>
      <c r="W501" s="195"/>
      <c r="X501" s="195"/>
      <c r="Y501" s="195"/>
      <c r="Z501" s="195">
        <f>SUM(Z499:Z500)</f>
        <v>0</v>
      </c>
      <c r="AA501" s="195"/>
      <c r="AB501" s="195">
        <f>SUM(AB499:AB500)</f>
        <v>0</v>
      </c>
      <c r="AC501" s="195">
        <f>SUM(AC499:AC500)</f>
        <v>0</v>
      </c>
      <c r="AD501" s="195">
        <f>SUM(AD499:AD500)</f>
        <v>0</v>
      </c>
      <c r="AE501" s="195">
        <f>SUM(AE499:AE500)</f>
        <v>0</v>
      </c>
      <c r="AF501" s="195"/>
      <c r="AG501" s="195">
        <f>SUM(AG499:AG500)</f>
        <v>0</v>
      </c>
      <c r="AH501" s="195">
        <f>SUM(AH499:AH500)</f>
        <v>0</v>
      </c>
      <c r="AI501" s="195">
        <f>SUM(AI499:AI500)</f>
        <v>0</v>
      </c>
      <c r="AJ501" s="195">
        <f>SUM(AJ499:AJ500)</f>
        <v>0</v>
      </c>
      <c r="AK501" s="195">
        <f>SUM(AK499:AK500)</f>
        <v>0</v>
      </c>
      <c r="AL501" s="295">
        <f>SUM(AL499:AL500)</f>
        <v>1175000000</v>
      </c>
      <c r="AM501" s="296"/>
      <c r="AN501" s="195">
        <f>SUM(AN499:AN500)</f>
        <v>0</v>
      </c>
      <c r="AO501" s="195">
        <f>SUM(AO499:AO500)</f>
        <v>0</v>
      </c>
      <c r="AP501" s="195">
        <f>SUM(AP499:AP500)</f>
        <v>1175000000</v>
      </c>
    </row>
    <row r="502" spans="1:42" s="196" customFormat="1" ht="15" x14ac:dyDescent="0.25">
      <c r="A502" s="20"/>
      <c r="B502" s="562"/>
      <c r="C502" s="565"/>
      <c r="D502" s="503"/>
      <c r="E502" s="565"/>
      <c r="F502" s="565"/>
      <c r="G502" s="503"/>
      <c r="H502" s="565"/>
      <c r="I502" s="503"/>
      <c r="J502" s="566"/>
      <c r="K502" s="566"/>
      <c r="L502" s="566"/>
      <c r="M502" s="502"/>
      <c r="N502" s="503"/>
      <c r="O502" s="565"/>
      <c r="P502" s="108"/>
      <c r="Q502" s="108"/>
      <c r="R502" s="108"/>
      <c r="S502" s="108"/>
      <c r="T502" s="108"/>
      <c r="U502" s="108"/>
      <c r="V502" s="108"/>
      <c r="W502" s="108"/>
      <c r="X502" s="108"/>
      <c r="Y502" s="108"/>
      <c r="Z502" s="108"/>
      <c r="AA502" s="108"/>
      <c r="AB502" s="108"/>
      <c r="AC502" s="108"/>
      <c r="AD502" s="108"/>
      <c r="AE502" s="108"/>
      <c r="AF502" s="108"/>
      <c r="AG502" s="108"/>
      <c r="AH502" s="108"/>
      <c r="AI502" s="108"/>
      <c r="AJ502" s="108"/>
      <c r="AK502" s="108"/>
      <c r="AL502" s="346"/>
      <c r="AM502" s="347"/>
      <c r="AN502" s="108"/>
      <c r="AO502" s="108"/>
      <c r="AP502" s="567"/>
    </row>
    <row r="503" spans="1:42" s="196" customFormat="1" ht="15" x14ac:dyDescent="0.25">
      <c r="A503" s="20"/>
      <c r="B503" s="562"/>
      <c r="C503" s="568"/>
      <c r="D503" s="530"/>
      <c r="E503" s="398"/>
      <c r="F503" s="569"/>
      <c r="G503" s="226">
        <v>63</v>
      </c>
      <c r="H503" s="227" t="s">
        <v>633</v>
      </c>
      <c r="I503" s="227"/>
      <c r="J503" s="227"/>
      <c r="K503" s="227"/>
      <c r="L503" s="227"/>
      <c r="M503" s="227"/>
      <c r="N503" s="227"/>
      <c r="O503" s="227"/>
      <c r="P503" s="227"/>
      <c r="Q503" s="227"/>
      <c r="R503" s="227"/>
      <c r="S503" s="227"/>
      <c r="T503" s="227"/>
      <c r="U503" s="227"/>
      <c r="V503" s="227"/>
      <c r="W503" s="227"/>
      <c r="X503" s="227"/>
      <c r="Y503" s="227"/>
      <c r="Z503" s="227"/>
      <c r="AA503" s="227"/>
      <c r="AB503" s="227"/>
      <c r="AC503" s="227"/>
      <c r="AD503" s="227"/>
      <c r="AE503" s="227"/>
      <c r="AF503" s="227"/>
      <c r="AG503" s="227"/>
      <c r="AH503" s="227"/>
      <c r="AI503" s="227"/>
      <c r="AJ503" s="227"/>
      <c r="AK503" s="227"/>
      <c r="AL503" s="229"/>
      <c r="AM503" s="227"/>
      <c r="AN503" s="227"/>
      <c r="AO503" s="227"/>
      <c r="AP503" s="230"/>
    </row>
    <row r="504" spans="1:42" s="196" customFormat="1" ht="79.5" customHeight="1" x14ac:dyDescent="0.25">
      <c r="A504" s="20"/>
      <c r="B504" s="562"/>
      <c r="C504" s="563">
        <v>38</v>
      </c>
      <c r="D504" s="7" t="s">
        <v>45</v>
      </c>
      <c r="E504" s="6">
        <v>0</v>
      </c>
      <c r="F504" s="6">
        <v>2</v>
      </c>
      <c r="G504" s="23"/>
      <c r="H504" s="152">
        <v>193</v>
      </c>
      <c r="I504" s="151" t="s">
        <v>634</v>
      </c>
      <c r="J504" s="152">
        <v>1</v>
      </c>
      <c r="K504" s="815">
        <v>1</v>
      </c>
      <c r="L504" s="151" t="s">
        <v>586</v>
      </c>
      <c r="M504" s="38" t="s">
        <v>635</v>
      </c>
      <c r="N504" s="151" t="s">
        <v>636</v>
      </c>
      <c r="O504" s="152" t="s">
        <v>44</v>
      </c>
      <c r="P504" s="26">
        <v>0</v>
      </c>
      <c r="Q504" s="26">
        <v>0</v>
      </c>
      <c r="R504" s="26">
        <v>0</v>
      </c>
      <c r="S504" s="26">
        <v>0</v>
      </c>
      <c r="T504" s="26">
        <v>0</v>
      </c>
      <c r="U504" s="26">
        <v>0</v>
      </c>
      <c r="V504" s="26">
        <v>0</v>
      </c>
      <c r="W504" s="26"/>
      <c r="X504" s="26"/>
      <c r="Y504" s="26"/>
      <c r="Z504" s="26">
        <v>0</v>
      </c>
      <c r="AA504" s="26"/>
      <c r="AB504" s="26">
        <v>0</v>
      </c>
      <c r="AC504" s="26">
        <v>0</v>
      </c>
      <c r="AD504" s="304"/>
      <c r="AE504" s="304"/>
      <c r="AF504" s="304"/>
      <c r="AG504" s="304"/>
      <c r="AH504" s="304"/>
      <c r="AI504" s="304"/>
      <c r="AJ504" s="26">
        <v>0</v>
      </c>
      <c r="AK504" s="26">
        <v>0</v>
      </c>
      <c r="AL504" s="115">
        <v>15000000</v>
      </c>
      <c r="AM504" s="11"/>
      <c r="AN504" s="26">
        <v>0</v>
      </c>
      <c r="AO504" s="348">
        <v>0</v>
      </c>
      <c r="AP504" s="26">
        <f>P504+Q504+R504+S504+T504+U504+V504+W504+X504+Y504+Z504+AA504+AB504+AC504+AD504+AE504+AF504+AG504+AH504+AI504+AJ504+AK504+AL504+AM504+AN504+AO504</f>
        <v>15000000</v>
      </c>
    </row>
    <row r="505" spans="1:42" s="28" customFormat="1" ht="78.75" customHeight="1" x14ac:dyDescent="0.25">
      <c r="A505" s="20"/>
      <c r="B505" s="570"/>
      <c r="C505" s="150">
        <v>38</v>
      </c>
      <c r="D505" s="151" t="s">
        <v>45</v>
      </c>
      <c r="E505" s="152">
        <v>0</v>
      </c>
      <c r="F505" s="152">
        <v>2</v>
      </c>
      <c r="G505" s="31"/>
      <c r="H505" s="152">
        <v>194</v>
      </c>
      <c r="I505" s="151" t="s">
        <v>637</v>
      </c>
      <c r="J505" s="152">
        <v>1</v>
      </c>
      <c r="K505" s="815">
        <v>1</v>
      </c>
      <c r="L505" s="151" t="s">
        <v>586</v>
      </c>
      <c r="M505" s="38" t="s">
        <v>638</v>
      </c>
      <c r="N505" s="151" t="s">
        <v>639</v>
      </c>
      <c r="O505" s="152" t="s">
        <v>44</v>
      </c>
      <c r="P505" s="26">
        <v>0</v>
      </c>
      <c r="Q505" s="26">
        <v>0</v>
      </c>
      <c r="R505" s="26">
        <v>0</v>
      </c>
      <c r="S505" s="26">
        <v>0</v>
      </c>
      <c r="T505" s="26">
        <v>0</v>
      </c>
      <c r="U505" s="26">
        <v>0</v>
      </c>
      <c r="V505" s="26">
        <v>0</v>
      </c>
      <c r="W505" s="26"/>
      <c r="X505" s="26"/>
      <c r="Y505" s="26"/>
      <c r="Z505" s="26">
        <v>0</v>
      </c>
      <c r="AA505" s="26"/>
      <c r="AB505" s="26">
        <v>0</v>
      </c>
      <c r="AC505" s="26">
        <v>0</v>
      </c>
      <c r="AD505" s="26"/>
      <c r="AE505" s="26"/>
      <c r="AF505" s="26"/>
      <c r="AG505" s="26"/>
      <c r="AH505" s="26"/>
      <c r="AI505" s="26"/>
      <c r="AJ505" s="26">
        <v>0</v>
      </c>
      <c r="AK505" s="26">
        <v>0</v>
      </c>
      <c r="AL505" s="115">
        <f>35000000+55000000</f>
        <v>90000000</v>
      </c>
      <c r="AM505" s="11"/>
      <c r="AN505" s="26">
        <v>0</v>
      </c>
      <c r="AO505" s="27">
        <v>0</v>
      </c>
      <c r="AP505" s="26">
        <f>P505+Q505+R505+S505+T505+U505+V505+W505+X505+Y505+Z505+AA505+AB505+AC505+AD505+AE505+AF505+AG505+AH505+AI505+AJ505+AK505+AL505+AM505+AN505+AO505</f>
        <v>90000000</v>
      </c>
    </row>
    <row r="506" spans="1:42" s="196" customFormat="1" ht="15" x14ac:dyDescent="0.25">
      <c r="A506" s="20"/>
      <c r="B506" s="562"/>
      <c r="C506" s="563"/>
      <c r="D506" s="190"/>
      <c r="E506" s="708"/>
      <c r="F506" s="708"/>
      <c r="G506" s="191"/>
      <c r="H506" s="192"/>
      <c r="I506" s="191"/>
      <c r="J506" s="192"/>
      <c r="K506" s="192"/>
      <c r="L506" s="192"/>
      <c r="M506" s="194"/>
      <c r="N506" s="191"/>
      <c r="O506" s="192"/>
      <c r="P506" s="195">
        <f>SUM(P504:P505)</f>
        <v>0</v>
      </c>
      <c r="Q506" s="195">
        <f>SUM(Q504:Q505)</f>
        <v>0</v>
      </c>
      <c r="R506" s="195">
        <f>SUM(R504:R505)</f>
        <v>0</v>
      </c>
      <c r="S506" s="195">
        <f>SUM(S504:S505)</f>
        <v>0</v>
      </c>
      <c r="T506" s="195">
        <f>SUM(T504:T505)</f>
        <v>0</v>
      </c>
      <c r="U506" s="195">
        <f>SUM(U504:U505)</f>
        <v>0</v>
      </c>
      <c r="V506" s="195">
        <f>SUM(V504:V505)</f>
        <v>0</v>
      </c>
      <c r="W506" s="195"/>
      <c r="X506" s="195"/>
      <c r="Y506" s="195"/>
      <c r="Z506" s="195">
        <f>SUM(Z504:Z505)</f>
        <v>0</v>
      </c>
      <c r="AA506" s="195"/>
      <c r="AB506" s="195">
        <f>SUM(AB504:AB505)</f>
        <v>0</v>
      </c>
      <c r="AC506" s="195">
        <f>SUM(AC504:AC505)</f>
        <v>0</v>
      </c>
      <c r="AD506" s="195">
        <f>SUM(AD504:AD505)</f>
        <v>0</v>
      </c>
      <c r="AE506" s="195">
        <f>SUM(AE504:AE505)</f>
        <v>0</v>
      </c>
      <c r="AF506" s="195"/>
      <c r="AG506" s="195">
        <f>SUM(AG504:AG505)</f>
        <v>0</v>
      </c>
      <c r="AH506" s="195">
        <f>SUM(AH504:AH505)</f>
        <v>0</v>
      </c>
      <c r="AI506" s="195">
        <f>SUM(AI504:AI505)</f>
        <v>0</v>
      </c>
      <c r="AJ506" s="195">
        <f>SUM(AJ504:AJ505)</f>
        <v>0</v>
      </c>
      <c r="AK506" s="195">
        <f>SUM(AK504:AK505)</f>
        <v>0</v>
      </c>
      <c r="AL506" s="295">
        <f>SUM(AL504:AL505)</f>
        <v>105000000</v>
      </c>
      <c r="AM506" s="296"/>
      <c r="AN506" s="195">
        <f>SUM(AN504:AN505)</f>
        <v>0</v>
      </c>
      <c r="AO506" s="195">
        <f>SUM(AO504:AO505)</f>
        <v>0</v>
      </c>
      <c r="AP506" s="195">
        <f>SUM(AP504:AP505)</f>
        <v>105000000</v>
      </c>
    </row>
    <row r="507" spans="1:42" s="28" customFormat="1" ht="15" x14ac:dyDescent="0.25">
      <c r="A507" s="20"/>
      <c r="B507" s="562"/>
      <c r="C507" s="565"/>
      <c r="D507" s="503"/>
      <c r="E507" s="565"/>
      <c r="F507" s="565"/>
      <c r="G507" s="503"/>
      <c r="H507" s="565"/>
      <c r="I507" s="503"/>
      <c r="J507" s="566"/>
      <c r="K507" s="566"/>
      <c r="L507" s="566"/>
      <c r="M507" s="502"/>
      <c r="N507" s="503"/>
      <c r="O507" s="565"/>
      <c r="P507" s="108"/>
      <c r="Q507" s="108"/>
      <c r="R507" s="108"/>
      <c r="S507" s="108"/>
      <c r="T507" s="108"/>
      <c r="U507" s="108"/>
      <c r="V507" s="108"/>
      <c r="W507" s="108"/>
      <c r="X507" s="108"/>
      <c r="Y507" s="108"/>
      <c r="Z507" s="108"/>
      <c r="AA507" s="108"/>
      <c r="AB507" s="108"/>
      <c r="AC507" s="108"/>
      <c r="AD507" s="108"/>
      <c r="AE507" s="108"/>
      <c r="AF507" s="108"/>
      <c r="AG507" s="108"/>
      <c r="AH507" s="108"/>
      <c r="AI507" s="108"/>
      <c r="AJ507" s="108"/>
      <c r="AK507" s="108"/>
      <c r="AL507" s="346"/>
      <c r="AM507" s="347"/>
      <c r="AN507" s="108"/>
      <c r="AO507" s="108"/>
      <c r="AP507" s="567"/>
    </row>
    <row r="508" spans="1:42" s="28" customFormat="1" ht="15" x14ac:dyDescent="0.25">
      <c r="A508" s="20"/>
      <c r="B508" s="562"/>
      <c r="C508" s="568"/>
      <c r="D508" s="530"/>
      <c r="E508" s="398"/>
      <c r="F508" s="569"/>
      <c r="G508" s="226">
        <v>64</v>
      </c>
      <c r="H508" s="227" t="s">
        <v>640</v>
      </c>
      <c r="I508" s="227"/>
      <c r="J508" s="227"/>
      <c r="K508" s="227"/>
      <c r="L508" s="227"/>
      <c r="M508" s="227"/>
      <c r="N508" s="227"/>
      <c r="O508" s="227"/>
      <c r="P508" s="227"/>
      <c r="Q508" s="227"/>
      <c r="R508" s="227"/>
      <c r="S508" s="227"/>
      <c r="T508" s="227"/>
      <c r="U508" s="227"/>
      <c r="V508" s="227"/>
      <c r="W508" s="227"/>
      <c r="X508" s="227"/>
      <c r="Y508" s="227"/>
      <c r="Z508" s="227"/>
      <c r="AA508" s="227"/>
      <c r="AB508" s="227"/>
      <c r="AC508" s="227"/>
      <c r="AD508" s="227"/>
      <c r="AE508" s="227"/>
      <c r="AF508" s="227"/>
      <c r="AG508" s="227"/>
      <c r="AH508" s="227"/>
      <c r="AI508" s="227"/>
      <c r="AJ508" s="227"/>
      <c r="AK508" s="227"/>
      <c r="AL508" s="229"/>
      <c r="AM508" s="227"/>
      <c r="AN508" s="227"/>
      <c r="AO508" s="227"/>
      <c r="AP508" s="230"/>
    </row>
    <row r="509" spans="1:42" s="28" customFormat="1" ht="81.75" customHeight="1" x14ac:dyDescent="0.25">
      <c r="A509" s="20"/>
      <c r="B509" s="570"/>
      <c r="C509" s="152">
        <v>37</v>
      </c>
      <c r="D509" s="151" t="s">
        <v>641</v>
      </c>
      <c r="E509" s="577" t="s">
        <v>642</v>
      </c>
      <c r="F509" s="578">
        <v>0.6</v>
      </c>
      <c r="G509" s="31"/>
      <c r="H509" s="152">
        <v>195</v>
      </c>
      <c r="I509" s="151" t="s">
        <v>643</v>
      </c>
      <c r="J509" s="152">
        <v>0</v>
      </c>
      <c r="K509" s="815">
        <v>1</v>
      </c>
      <c r="L509" s="151" t="s">
        <v>586</v>
      </c>
      <c r="M509" s="38" t="s">
        <v>644</v>
      </c>
      <c r="N509" s="151" t="s">
        <v>645</v>
      </c>
      <c r="O509" s="152" t="s">
        <v>44</v>
      </c>
      <c r="P509" s="26"/>
      <c r="Q509" s="26"/>
      <c r="R509" s="26"/>
      <c r="S509" s="26"/>
      <c r="T509" s="26"/>
      <c r="U509" s="26"/>
      <c r="V509" s="26"/>
      <c r="W509" s="26"/>
      <c r="X509" s="26"/>
      <c r="Y509" s="26"/>
      <c r="Z509" s="26"/>
      <c r="AA509" s="26"/>
      <c r="AB509" s="26"/>
      <c r="AC509" s="26"/>
      <c r="AD509" s="26"/>
      <c r="AE509" s="26"/>
      <c r="AF509" s="26"/>
      <c r="AG509" s="26"/>
      <c r="AH509" s="26"/>
      <c r="AI509" s="26"/>
      <c r="AJ509" s="26"/>
      <c r="AK509" s="26"/>
      <c r="AL509" s="115">
        <f>60000000+40000000</f>
        <v>100000000</v>
      </c>
      <c r="AM509" s="11"/>
      <c r="AN509" s="26"/>
      <c r="AO509" s="27"/>
      <c r="AP509" s="26">
        <f>P509+Q509+R509+S509+T509+U509+V509+W509+X509+Y509+Z509+AA509+AB509+AC509+AD509+AE509+AF509+AG509+AH509+AI509+AJ509+AK509+AL509+AM509+AN509+AO509</f>
        <v>100000000</v>
      </c>
    </row>
    <row r="510" spans="1:42" s="196" customFormat="1" ht="15" x14ac:dyDescent="0.25">
      <c r="A510" s="20"/>
      <c r="B510" s="562"/>
      <c r="C510" s="563"/>
      <c r="D510" s="190"/>
      <c r="E510" s="708"/>
      <c r="F510" s="708"/>
      <c r="G510" s="191"/>
      <c r="H510" s="192"/>
      <c r="I510" s="191"/>
      <c r="J510" s="192"/>
      <c r="K510" s="192"/>
      <c r="L510" s="192"/>
      <c r="M510" s="194"/>
      <c r="N510" s="191"/>
      <c r="O510" s="192"/>
      <c r="P510" s="195">
        <f>SUM(P509:P509)</f>
        <v>0</v>
      </c>
      <c r="Q510" s="195">
        <f>SUM(Q509:Q509)</f>
        <v>0</v>
      </c>
      <c r="R510" s="195">
        <f>SUM(R509:R509)</f>
        <v>0</v>
      </c>
      <c r="S510" s="195">
        <f>SUM(S509:S509)</f>
        <v>0</v>
      </c>
      <c r="T510" s="195">
        <f>SUM(T509:T509)</f>
        <v>0</v>
      </c>
      <c r="U510" s="195">
        <f>SUM(U509:U509)</f>
        <v>0</v>
      </c>
      <c r="V510" s="195">
        <f>SUM(V509:V509)</f>
        <v>0</v>
      </c>
      <c r="W510" s="195"/>
      <c r="X510" s="195"/>
      <c r="Y510" s="195"/>
      <c r="Z510" s="195">
        <f>SUM(Z509:Z509)</f>
        <v>0</v>
      </c>
      <c r="AA510" s="195"/>
      <c r="AB510" s="195">
        <f>SUM(AB509:AB509)</f>
        <v>0</v>
      </c>
      <c r="AC510" s="195">
        <f>SUM(AC509:AC509)</f>
        <v>0</v>
      </c>
      <c r="AD510" s="195">
        <f>SUM(AD509:AD509)</f>
        <v>0</v>
      </c>
      <c r="AE510" s="195">
        <f>SUM(AE509:AE509)</f>
        <v>0</v>
      </c>
      <c r="AF510" s="195"/>
      <c r="AG510" s="195">
        <f>SUM(AG509:AG509)</f>
        <v>0</v>
      </c>
      <c r="AH510" s="195">
        <f>SUM(AH509:AH509)</f>
        <v>0</v>
      </c>
      <c r="AI510" s="195">
        <f>SUM(AI509:AI509)</f>
        <v>0</v>
      </c>
      <c r="AJ510" s="195">
        <f>SUM(AJ509:AJ509)</f>
        <v>0</v>
      </c>
      <c r="AK510" s="195">
        <f>SUM(AK509:AK509)</f>
        <v>0</v>
      </c>
      <c r="AL510" s="295">
        <f>SUM(AL509:AL509)</f>
        <v>100000000</v>
      </c>
      <c r="AM510" s="195"/>
      <c r="AN510" s="195">
        <f>SUM(AN509:AN509)</f>
        <v>0</v>
      </c>
      <c r="AO510" s="195">
        <f>SUM(AO509:AO509)</f>
        <v>0</v>
      </c>
      <c r="AP510" s="195">
        <f>SUM(AP509:AP509)</f>
        <v>100000000</v>
      </c>
    </row>
    <row r="511" spans="1:42" s="196" customFormat="1" ht="15" x14ac:dyDescent="0.25">
      <c r="A511" s="20"/>
      <c r="B511" s="562"/>
      <c r="C511" s="565"/>
      <c r="D511" s="503"/>
      <c r="E511" s="565"/>
      <c r="F511" s="565"/>
      <c r="G511" s="503"/>
      <c r="H511" s="565"/>
      <c r="I511" s="503"/>
      <c r="J511" s="566"/>
      <c r="K511" s="566"/>
      <c r="L511" s="566"/>
      <c r="M511" s="502"/>
      <c r="N511" s="503"/>
      <c r="O511" s="565"/>
      <c r="P511" s="108"/>
      <c r="Q511" s="108"/>
      <c r="R511" s="108"/>
      <c r="S511" s="108"/>
      <c r="T511" s="108"/>
      <c r="U511" s="108"/>
      <c r="V511" s="108"/>
      <c r="W511" s="108"/>
      <c r="X511" s="108"/>
      <c r="Y511" s="108"/>
      <c r="Z511" s="108"/>
      <c r="AA511" s="108"/>
      <c r="AB511" s="108"/>
      <c r="AC511" s="108"/>
      <c r="AD511" s="108"/>
      <c r="AE511" s="108"/>
      <c r="AF511" s="108"/>
      <c r="AG511" s="108"/>
      <c r="AH511" s="108"/>
      <c r="AI511" s="108"/>
      <c r="AJ511" s="108"/>
      <c r="AK511" s="108"/>
      <c r="AL511" s="346"/>
      <c r="AM511" s="347"/>
      <c r="AN511" s="108"/>
      <c r="AO511" s="108"/>
      <c r="AP511" s="567"/>
    </row>
    <row r="512" spans="1:42" s="196" customFormat="1" ht="15" x14ac:dyDescent="0.25">
      <c r="A512" s="20"/>
      <c r="B512" s="562"/>
      <c r="C512" s="568"/>
      <c r="D512" s="530"/>
      <c r="E512" s="398"/>
      <c r="F512" s="398"/>
      <c r="G512" s="410">
        <v>65</v>
      </c>
      <c r="H512" s="227" t="s">
        <v>646</v>
      </c>
      <c r="I512" s="227"/>
      <c r="J512" s="227"/>
      <c r="K512" s="227"/>
      <c r="L512" s="227"/>
      <c r="M512" s="227"/>
      <c r="N512" s="227"/>
      <c r="O512" s="227"/>
      <c r="P512" s="227"/>
      <c r="Q512" s="227"/>
      <c r="R512" s="227"/>
      <c r="S512" s="227"/>
      <c r="T512" s="227"/>
      <c r="U512" s="227"/>
      <c r="V512" s="227"/>
      <c r="W512" s="227"/>
      <c r="X512" s="227"/>
      <c r="Y512" s="227"/>
      <c r="Z512" s="227"/>
      <c r="AA512" s="227"/>
      <c r="AB512" s="227"/>
      <c r="AC512" s="227"/>
      <c r="AD512" s="227"/>
      <c r="AE512" s="227"/>
      <c r="AF512" s="227"/>
      <c r="AG512" s="227"/>
      <c r="AH512" s="227"/>
      <c r="AI512" s="227"/>
      <c r="AJ512" s="227"/>
      <c r="AK512" s="227"/>
      <c r="AL512" s="229"/>
      <c r="AM512" s="227"/>
      <c r="AN512" s="227"/>
      <c r="AO512" s="227"/>
      <c r="AP512" s="230"/>
    </row>
    <row r="513" spans="1:42" s="28" customFormat="1" ht="79.5" customHeight="1" x14ac:dyDescent="0.25">
      <c r="A513" s="20"/>
      <c r="B513" s="570"/>
      <c r="C513" s="150" t="s">
        <v>937</v>
      </c>
      <c r="D513" s="55" t="s">
        <v>911</v>
      </c>
      <c r="E513" s="574" t="s">
        <v>647</v>
      </c>
      <c r="F513" s="579" t="s">
        <v>648</v>
      </c>
      <c r="G513" s="36"/>
      <c r="H513" s="152">
        <v>196</v>
      </c>
      <c r="I513" s="151" t="s">
        <v>649</v>
      </c>
      <c r="J513" s="152">
        <v>0</v>
      </c>
      <c r="K513" s="815">
        <v>1</v>
      </c>
      <c r="L513" s="151" t="s">
        <v>586</v>
      </c>
      <c r="M513" s="38" t="s">
        <v>650</v>
      </c>
      <c r="N513" s="151" t="s">
        <v>651</v>
      </c>
      <c r="O513" s="152" t="s">
        <v>44</v>
      </c>
      <c r="P513" s="26">
        <v>0</v>
      </c>
      <c r="Q513" s="26">
        <v>0</v>
      </c>
      <c r="R513" s="26">
        <v>0</v>
      </c>
      <c r="S513" s="26">
        <v>0</v>
      </c>
      <c r="T513" s="26">
        <v>0</v>
      </c>
      <c r="U513" s="26">
        <v>0</v>
      </c>
      <c r="V513" s="26">
        <v>0</v>
      </c>
      <c r="W513" s="26"/>
      <c r="X513" s="26"/>
      <c r="Y513" s="26"/>
      <c r="Z513" s="26">
        <v>0</v>
      </c>
      <c r="AA513" s="26"/>
      <c r="AB513" s="26">
        <v>0</v>
      </c>
      <c r="AC513" s="26">
        <v>0</v>
      </c>
      <c r="AD513" s="26"/>
      <c r="AE513" s="26"/>
      <c r="AF513" s="26"/>
      <c r="AG513" s="26"/>
      <c r="AH513" s="26"/>
      <c r="AI513" s="26"/>
      <c r="AJ513" s="26">
        <v>0</v>
      </c>
      <c r="AK513" s="26">
        <v>0</v>
      </c>
      <c r="AL513" s="113">
        <f>21000000+49000000</f>
        <v>70000000</v>
      </c>
      <c r="AM513" s="14"/>
      <c r="AN513" s="26">
        <v>0</v>
      </c>
      <c r="AO513" s="27">
        <v>0</v>
      </c>
      <c r="AP513" s="26">
        <f>P513+Q513+R513+S513+T513+U513+V513+W513+X513+Y513+Z513+AA513+AB513+AC513+AD513+AE513+AF513+AG513+AH513+AI513+AJ513+AK513+AL513+AM513+AN513+AO513</f>
        <v>70000000</v>
      </c>
    </row>
    <row r="514" spans="1:42" s="196" customFormat="1" ht="15" x14ac:dyDescent="0.25">
      <c r="A514" s="20"/>
      <c r="B514" s="562"/>
      <c r="C514" s="580"/>
      <c r="D514" s="534"/>
      <c r="E514" s="401"/>
      <c r="F514" s="401"/>
      <c r="G514" s="492"/>
      <c r="H514" s="192"/>
      <c r="I514" s="191"/>
      <c r="J514" s="192"/>
      <c r="K514" s="192"/>
      <c r="L514" s="192"/>
      <c r="M514" s="194"/>
      <c r="N514" s="191"/>
      <c r="O514" s="192"/>
      <c r="P514" s="195">
        <f>SUM(P513)</f>
        <v>0</v>
      </c>
      <c r="Q514" s="195">
        <f>SUM(Q513)</f>
        <v>0</v>
      </c>
      <c r="R514" s="195">
        <f>SUM(R513)</f>
        <v>0</v>
      </c>
      <c r="S514" s="195">
        <f>SUM(S513)</f>
        <v>0</v>
      </c>
      <c r="T514" s="195">
        <f>SUM(T513)</f>
        <v>0</v>
      </c>
      <c r="U514" s="195">
        <f>SUM(U513)</f>
        <v>0</v>
      </c>
      <c r="V514" s="195">
        <f>SUM(V513)</f>
        <v>0</v>
      </c>
      <c r="W514" s="195"/>
      <c r="X514" s="195"/>
      <c r="Y514" s="195"/>
      <c r="Z514" s="195">
        <f>SUM(Z513)</f>
        <v>0</v>
      </c>
      <c r="AA514" s="195"/>
      <c r="AB514" s="195">
        <f>SUM(AB513)</f>
        <v>0</v>
      </c>
      <c r="AC514" s="195">
        <f>SUM(AC513)</f>
        <v>0</v>
      </c>
      <c r="AD514" s="195">
        <f>SUM(AD513)</f>
        <v>0</v>
      </c>
      <c r="AE514" s="195">
        <f>SUM(AE513)</f>
        <v>0</v>
      </c>
      <c r="AF514" s="195"/>
      <c r="AG514" s="195">
        <f>SUM(AG513)</f>
        <v>0</v>
      </c>
      <c r="AH514" s="195">
        <f>SUM(AH513)</f>
        <v>0</v>
      </c>
      <c r="AI514" s="195">
        <f>SUM(AI513)</f>
        <v>0</v>
      </c>
      <c r="AJ514" s="195">
        <f>SUM(AJ513)</f>
        <v>0</v>
      </c>
      <c r="AK514" s="195">
        <f>SUM(AK513)</f>
        <v>0</v>
      </c>
      <c r="AL514" s="295">
        <f>SUM(AL513)</f>
        <v>70000000</v>
      </c>
      <c r="AM514" s="296"/>
      <c r="AN514" s="195">
        <f>SUM(AN513)</f>
        <v>0</v>
      </c>
      <c r="AO514" s="195">
        <f>SUM(AO513)</f>
        <v>0</v>
      </c>
      <c r="AP514" s="195">
        <f>SUM(AP513)</f>
        <v>70000000</v>
      </c>
    </row>
    <row r="515" spans="1:42" s="196" customFormat="1" ht="21" customHeight="1" x14ac:dyDescent="0.25">
      <c r="A515" s="20"/>
      <c r="B515" s="562"/>
      <c r="C515" s="565"/>
      <c r="D515" s="503"/>
      <c r="E515" s="565"/>
      <c r="F515" s="565"/>
      <c r="G515" s="503"/>
      <c r="H515" s="565"/>
      <c r="I515" s="503"/>
      <c r="J515" s="566"/>
      <c r="K515" s="566"/>
      <c r="L515" s="566"/>
      <c r="M515" s="502"/>
      <c r="N515" s="503"/>
      <c r="O515" s="565"/>
      <c r="P515" s="108"/>
      <c r="Q515" s="108"/>
      <c r="R515" s="108"/>
      <c r="S515" s="108"/>
      <c r="T515" s="108"/>
      <c r="U515" s="108"/>
      <c r="V515" s="108"/>
      <c r="W515" s="108"/>
      <c r="X515" s="108"/>
      <c r="Y515" s="108"/>
      <c r="Z515" s="108"/>
      <c r="AA515" s="108"/>
      <c r="AB515" s="108"/>
      <c r="AC515" s="108"/>
      <c r="AD515" s="108"/>
      <c r="AE515" s="108"/>
      <c r="AF515" s="108"/>
      <c r="AG515" s="108"/>
      <c r="AH515" s="108"/>
      <c r="AI515" s="108"/>
      <c r="AJ515" s="108"/>
      <c r="AK515" s="108"/>
      <c r="AL515" s="346"/>
      <c r="AM515" s="347"/>
      <c r="AN515" s="108"/>
      <c r="AO515" s="108"/>
      <c r="AP515" s="567"/>
    </row>
    <row r="516" spans="1:42" s="196" customFormat="1" ht="15" x14ac:dyDescent="0.25">
      <c r="A516" s="20"/>
      <c r="B516" s="562"/>
      <c r="C516" s="568"/>
      <c r="D516" s="530"/>
      <c r="E516" s="398"/>
      <c r="F516" s="569"/>
      <c r="G516" s="226">
        <v>66</v>
      </c>
      <c r="H516" s="227" t="s">
        <v>652</v>
      </c>
      <c r="I516" s="227"/>
      <c r="J516" s="227"/>
      <c r="K516" s="227"/>
      <c r="L516" s="227"/>
      <c r="M516" s="227"/>
      <c r="N516" s="227"/>
      <c r="O516" s="227"/>
      <c r="P516" s="227"/>
      <c r="Q516" s="227"/>
      <c r="R516" s="227"/>
      <c r="S516" s="227"/>
      <c r="T516" s="227"/>
      <c r="U516" s="227"/>
      <c r="V516" s="227"/>
      <c r="W516" s="227"/>
      <c r="X516" s="227"/>
      <c r="Y516" s="227"/>
      <c r="Z516" s="227"/>
      <c r="AA516" s="227"/>
      <c r="AB516" s="227"/>
      <c r="AC516" s="227"/>
      <c r="AD516" s="227"/>
      <c r="AE516" s="227"/>
      <c r="AF516" s="227"/>
      <c r="AG516" s="227"/>
      <c r="AH516" s="227"/>
      <c r="AI516" s="227"/>
      <c r="AJ516" s="227"/>
      <c r="AK516" s="227"/>
      <c r="AL516" s="229"/>
      <c r="AM516" s="227"/>
      <c r="AN516" s="227"/>
      <c r="AO516" s="227"/>
      <c r="AP516" s="230"/>
    </row>
    <row r="517" spans="1:42" s="28" customFormat="1" ht="84.75" customHeight="1" x14ac:dyDescent="0.25">
      <c r="A517" s="20"/>
      <c r="B517" s="570"/>
      <c r="C517" s="150">
        <v>21</v>
      </c>
      <c r="D517" s="55" t="s">
        <v>912</v>
      </c>
      <c r="E517" s="574" t="s">
        <v>653</v>
      </c>
      <c r="F517" s="579">
        <v>0.27</v>
      </c>
      <c r="G517" s="31"/>
      <c r="H517" s="150">
        <v>197</v>
      </c>
      <c r="I517" s="151" t="s">
        <v>654</v>
      </c>
      <c r="J517" s="152">
        <v>1</v>
      </c>
      <c r="K517" s="815">
        <v>1</v>
      </c>
      <c r="L517" s="151" t="s">
        <v>586</v>
      </c>
      <c r="M517" s="38" t="s">
        <v>655</v>
      </c>
      <c r="N517" s="151" t="s">
        <v>656</v>
      </c>
      <c r="O517" s="152" t="s">
        <v>44</v>
      </c>
      <c r="P517" s="26"/>
      <c r="Q517" s="26"/>
      <c r="R517" s="26"/>
      <c r="S517" s="26"/>
      <c r="T517" s="26"/>
      <c r="U517" s="26"/>
      <c r="V517" s="26"/>
      <c r="W517" s="26"/>
      <c r="X517" s="26"/>
      <c r="Y517" s="26"/>
      <c r="Z517" s="26"/>
      <c r="AA517" s="26"/>
      <c r="AB517" s="26"/>
      <c r="AC517" s="26"/>
      <c r="AD517" s="26"/>
      <c r="AE517" s="26"/>
      <c r="AF517" s="26"/>
      <c r="AG517" s="26"/>
      <c r="AH517" s="26"/>
      <c r="AI517" s="26"/>
      <c r="AJ517" s="26"/>
      <c r="AK517" s="26"/>
      <c r="AL517" s="113">
        <f>42000000+40000000</f>
        <v>82000000</v>
      </c>
      <c r="AM517" s="39"/>
      <c r="AN517" s="26"/>
      <c r="AO517" s="27"/>
      <c r="AP517" s="26">
        <f>P517+Q517+R517+S517+T517+U517+V517+W517+X517+Y517+Z517+AA517+AB517+AC517+AD517+AE517+AF517+AG517+AH517+AI517+AJ517+AK517+AL517+AM517+AN517+AO517</f>
        <v>82000000</v>
      </c>
    </row>
    <row r="518" spans="1:42" s="196" customFormat="1" ht="15" x14ac:dyDescent="0.25">
      <c r="A518" s="20"/>
      <c r="B518" s="575"/>
      <c r="C518" s="563"/>
      <c r="D518" s="190"/>
      <c r="E518" s="708"/>
      <c r="F518" s="708"/>
      <c r="G518" s="191"/>
      <c r="H518" s="192"/>
      <c r="I518" s="191"/>
      <c r="J518" s="192"/>
      <c r="K518" s="192"/>
      <c r="L518" s="192"/>
      <c r="M518" s="194"/>
      <c r="N518" s="191"/>
      <c r="O518" s="192"/>
      <c r="P518" s="195">
        <f>SUM(P517:P517)</f>
        <v>0</v>
      </c>
      <c r="Q518" s="195">
        <f>SUM(Q517:Q517)</f>
        <v>0</v>
      </c>
      <c r="R518" s="195">
        <f>SUM(R517:R517)</f>
        <v>0</v>
      </c>
      <c r="S518" s="195">
        <f>SUM(S517:S517)</f>
        <v>0</v>
      </c>
      <c r="T518" s="195">
        <f>SUM(T517:T517)</f>
        <v>0</v>
      </c>
      <c r="U518" s="195">
        <f>SUM(U517:U517)</f>
        <v>0</v>
      </c>
      <c r="V518" s="195">
        <f>SUM(V517:V517)</f>
        <v>0</v>
      </c>
      <c r="W518" s="195"/>
      <c r="X518" s="195"/>
      <c r="Y518" s="195"/>
      <c r="Z518" s="195">
        <f>SUM(Z517:Z517)</f>
        <v>0</v>
      </c>
      <c r="AA518" s="195"/>
      <c r="AB518" s="195">
        <f>SUM(AB517:AB517)</f>
        <v>0</v>
      </c>
      <c r="AC518" s="195">
        <f>SUM(AC517:AC517)</f>
        <v>0</v>
      </c>
      <c r="AD518" s="195">
        <f>SUM(AD517:AD517)</f>
        <v>0</v>
      </c>
      <c r="AE518" s="195">
        <f>SUM(AE517:AE517)</f>
        <v>0</v>
      </c>
      <c r="AF518" s="195"/>
      <c r="AG518" s="195">
        <f>SUM(AG517:AG517)</f>
        <v>0</v>
      </c>
      <c r="AH518" s="195">
        <f>SUM(AH517:AH517)</f>
        <v>0</v>
      </c>
      <c r="AI518" s="195">
        <f>SUM(AI517:AI517)</f>
        <v>0</v>
      </c>
      <c r="AJ518" s="195">
        <f>SUM(AJ517:AJ517)</f>
        <v>0</v>
      </c>
      <c r="AK518" s="195">
        <f>SUM(AK517:AK517)</f>
        <v>0</v>
      </c>
      <c r="AL518" s="295">
        <f>SUM(AL517:AL517)</f>
        <v>82000000</v>
      </c>
      <c r="AM518" s="195"/>
      <c r="AN518" s="195">
        <f>SUM(AN517:AN517)</f>
        <v>0</v>
      </c>
      <c r="AO518" s="195">
        <f>SUM(AO517:AO517)</f>
        <v>0</v>
      </c>
      <c r="AP518" s="195">
        <f>SUM(AP517:AP517)</f>
        <v>82000000</v>
      </c>
    </row>
    <row r="519" spans="1:42" s="196" customFormat="1" ht="15" x14ac:dyDescent="0.25">
      <c r="A519" s="20"/>
      <c r="B519" s="260"/>
      <c r="C519" s="199"/>
      <c r="D519" s="198"/>
      <c r="E519" s="199"/>
      <c r="F519" s="199"/>
      <c r="G519" s="198"/>
      <c r="H519" s="199"/>
      <c r="I519" s="198"/>
      <c r="J519" s="199"/>
      <c r="K519" s="199"/>
      <c r="L519" s="199"/>
      <c r="M519" s="201"/>
      <c r="N519" s="198"/>
      <c r="O519" s="199"/>
      <c r="P519" s="202">
        <f>P518+P514+P510+P506+P501</f>
        <v>0</v>
      </c>
      <c r="Q519" s="202">
        <f>Q518+Q514+Q510+Q506+Q501</f>
        <v>0</v>
      </c>
      <c r="R519" s="202">
        <f>R518+R514+R510+R506+R501</f>
        <v>0</v>
      </c>
      <c r="S519" s="202">
        <f>S518+S514+S510+S506+S501</f>
        <v>0</v>
      </c>
      <c r="T519" s="202">
        <f>T518+T514+T510+T506+T501</f>
        <v>0</v>
      </c>
      <c r="U519" s="202">
        <f>U518+U514+U510+U506+U501</f>
        <v>0</v>
      </c>
      <c r="V519" s="202">
        <f>V518+V514+V510+V506+V501</f>
        <v>0</v>
      </c>
      <c r="W519" s="202"/>
      <c r="X519" s="202"/>
      <c r="Y519" s="202"/>
      <c r="Z519" s="202">
        <f>Z518+Z514+Z510+Z506+Z501</f>
        <v>0</v>
      </c>
      <c r="AA519" s="202"/>
      <c r="AB519" s="202">
        <f>AB518+AB514+AB510+AB506+AB501</f>
        <v>0</v>
      </c>
      <c r="AC519" s="202">
        <f>AC518+AC514+AC510+AC506+AC501</f>
        <v>0</v>
      </c>
      <c r="AD519" s="202">
        <f>AD518+AD514+AD510+AD506+AD501</f>
        <v>0</v>
      </c>
      <c r="AE519" s="202">
        <f>AE518+AE514+AE510+AE506+AE501</f>
        <v>0</v>
      </c>
      <c r="AF519" s="202"/>
      <c r="AG519" s="202">
        <f>AG518+AG514+AG510+AG506+AG501</f>
        <v>0</v>
      </c>
      <c r="AH519" s="202">
        <f>AH518+AH514+AH510+AH506+AH501</f>
        <v>0</v>
      </c>
      <c r="AI519" s="202">
        <f>AI518+AI514+AI510+AI506+AI501</f>
        <v>0</v>
      </c>
      <c r="AJ519" s="202">
        <f>AJ518+AJ514+AJ510+AJ506+AJ501</f>
        <v>0</v>
      </c>
      <c r="AK519" s="202">
        <f>AK518+AK514+AK510+AK506+AK501</f>
        <v>0</v>
      </c>
      <c r="AL519" s="297">
        <f>AL518+AL514+AL510+AL506+AL501</f>
        <v>1532000000</v>
      </c>
      <c r="AM519" s="202"/>
      <c r="AN519" s="202">
        <f>AN518+AN514+AN510+AN506+AN501</f>
        <v>0</v>
      </c>
      <c r="AO519" s="202">
        <f>AO518+AO514+AO510+AO506+AO501</f>
        <v>0</v>
      </c>
      <c r="AP519" s="202">
        <f>AP518+AP514+AP510+AP506+AP501</f>
        <v>1532000000</v>
      </c>
    </row>
    <row r="520" spans="1:42" s="196" customFormat="1" ht="15" x14ac:dyDescent="0.25">
      <c r="A520" s="20"/>
      <c r="B520" s="559"/>
      <c r="C520" s="560"/>
      <c r="D520" s="214"/>
      <c r="E520" s="454"/>
      <c r="F520" s="454"/>
      <c r="G520" s="214"/>
      <c r="H520" s="454"/>
      <c r="I520" s="214"/>
      <c r="J520" s="454"/>
      <c r="K520" s="454"/>
      <c r="L520" s="454"/>
      <c r="M520" s="216"/>
      <c r="N520" s="214"/>
      <c r="O520" s="454"/>
      <c r="P520" s="217"/>
      <c r="Q520" s="217"/>
      <c r="R520" s="217"/>
      <c r="S520" s="217"/>
      <c r="T520" s="217"/>
      <c r="U520" s="217"/>
      <c r="V520" s="217"/>
      <c r="W520" s="217"/>
      <c r="X520" s="217"/>
      <c r="Y520" s="217"/>
      <c r="Z520" s="217"/>
      <c r="AA520" s="217"/>
      <c r="AB520" s="217"/>
      <c r="AC520" s="217"/>
      <c r="AD520" s="217"/>
      <c r="AE520" s="217"/>
      <c r="AF520" s="217"/>
      <c r="AG520" s="217"/>
      <c r="AH520" s="217"/>
      <c r="AI520" s="217"/>
      <c r="AJ520" s="217"/>
      <c r="AK520" s="217"/>
      <c r="AL520" s="219"/>
      <c r="AM520" s="220"/>
      <c r="AN520" s="217"/>
      <c r="AO520" s="217"/>
      <c r="AP520" s="238"/>
    </row>
    <row r="521" spans="1:42" s="196" customFormat="1" x14ac:dyDescent="0.25">
      <c r="A521" s="20"/>
      <c r="B521" s="291">
        <v>19</v>
      </c>
      <c r="C521" s="181" t="s">
        <v>657</v>
      </c>
      <c r="D521" s="182"/>
      <c r="E521" s="182"/>
      <c r="F521" s="182"/>
      <c r="G521" s="182"/>
      <c r="H521" s="183"/>
      <c r="I521" s="182"/>
      <c r="J521" s="182"/>
      <c r="K521" s="182"/>
      <c r="L521" s="182"/>
      <c r="M521" s="184"/>
      <c r="N521" s="182"/>
      <c r="O521" s="182"/>
      <c r="P521" s="182"/>
      <c r="Q521" s="182"/>
      <c r="R521" s="182"/>
      <c r="S521" s="182"/>
      <c r="T521" s="182"/>
      <c r="U521" s="182"/>
      <c r="V521" s="182"/>
      <c r="W521" s="182"/>
      <c r="X521" s="182"/>
      <c r="Y521" s="182"/>
      <c r="Z521" s="182"/>
      <c r="AA521" s="182"/>
      <c r="AB521" s="182"/>
      <c r="AC521" s="182"/>
      <c r="AD521" s="182"/>
      <c r="AE521" s="182"/>
      <c r="AF521" s="182"/>
      <c r="AG521" s="182"/>
      <c r="AH521" s="182"/>
      <c r="AI521" s="182"/>
      <c r="AJ521" s="182"/>
      <c r="AK521" s="182"/>
      <c r="AL521" s="185"/>
      <c r="AM521" s="182"/>
      <c r="AN521" s="182"/>
      <c r="AO521" s="182"/>
      <c r="AP521" s="186"/>
    </row>
    <row r="522" spans="1:42" s="196" customFormat="1" ht="15" x14ac:dyDescent="0.25">
      <c r="A522" s="20"/>
      <c r="B522" s="561"/>
      <c r="C522" s="581"/>
      <c r="D522" s="190"/>
      <c r="E522" s="708"/>
      <c r="F522" s="708"/>
      <c r="G522" s="410">
        <v>67</v>
      </c>
      <c r="H522" s="227" t="s">
        <v>658</v>
      </c>
      <c r="I522" s="227"/>
      <c r="J522" s="227"/>
      <c r="K522" s="227"/>
      <c r="L522" s="227"/>
      <c r="M522" s="227"/>
      <c r="N522" s="227"/>
      <c r="O522" s="227"/>
      <c r="P522" s="227"/>
      <c r="Q522" s="227"/>
      <c r="R522" s="227"/>
      <c r="S522" s="227"/>
      <c r="T522" s="227"/>
      <c r="U522" s="227"/>
      <c r="V522" s="227"/>
      <c r="W522" s="227"/>
      <c r="X522" s="227"/>
      <c r="Y522" s="227"/>
      <c r="Z522" s="227"/>
      <c r="AA522" s="227"/>
      <c r="AB522" s="227"/>
      <c r="AC522" s="227"/>
      <c r="AD522" s="227"/>
      <c r="AE522" s="227"/>
      <c r="AF522" s="227"/>
      <c r="AG522" s="227"/>
      <c r="AH522" s="227"/>
      <c r="AI522" s="227"/>
      <c r="AJ522" s="227"/>
      <c r="AK522" s="227"/>
      <c r="AL522" s="229"/>
      <c r="AM522" s="227"/>
      <c r="AN522" s="227"/>
      <c r="AO522" s="227"/>
      <c r="AP522" s="230"/>
    </row>
    <row r="523" spans="1:42" s="48" customFormat="1" ht="63.75" customHeight="1" x14ac:dyDescent="0.25">
      <c r="A523" s="20"/>
      <c r="B523" s="570"/>
      <c r="C523" s="948">
        <v>35</v>
      </c>
      <c r="D523" s="891" t="s">
        <v>659</v>
      </c>
      <c r="E523" s="891" t="s">
        <v>660</v>
      </c>
      <c r="F523" s="891" t="s">
        <v>661</v>
      </c>
      <c r="G523" s="23"/>
      <c r="H523" s="454">
        <v>198</v>
      </c>
      <c r="I523" s="151" t="s">
        <v>662</v>
      </c>
      <c r="J523" s="152">
        <v>1</v>
      </c>
      <c r="K523" s="815">
        <v>1</v>
      </c>
      <c r="L523" s="893" t="s">
        <v>586</v>
      </c>
      <c r="M523" s="907" t="s">
        <v>663</v>
      </c>
      <c r="N523" s="893" t="s">
        <v>664</v>
      </c>
      <c r="O523" s="152" t="s">
        <v>44</v>
      </c>
      <c r="P523" s="26">
        <v>0</v>
      </c>
      <c r="Q523" s="26">
        <v>0</v>
      </c>
      <c r="R523" s="26">
        <v>0</v>
      </c>
      <c r="S523" s="26">
        <v>0</v>
      </c>
      <c r="T523" s="26">
        <v>0</v>
      </c>
      <c r="U523" s="26">
        <v>0</v>
      </c>
      <c r="V523" s="26">
        <v>0</v>
      </c>
      <c r="W523" s="26"/>
      <c r="X523" s="26"/>
      <c r="Y523" s="26"/>
      <c r="Z523" s="26">
        <v>0</v>
      </c>
      <c r="AA523" s="26"/>
      <c r="AB523" s="26">
        <v>0</v>
      </c>
      <c r="AC523" s="26">
        <v>0</v>
      </c>
      <c r="AD523" s="26"/>
      <c r="AE523" s="26"/>
      <c r="AF523" s="26"/>
      <c r="AG523" s="26"/>
      <c r="AH523" s="26"/>
      <c r="AI523" s="26"/>
      <c r="AJ523" s="26">
        <v>0</v>
      </c>
      <c r="AK523" s="26">
        <v>0</v>
      </c>
      <c r="AL523" s="115">
        <f>70000000+40000000</f>
        <v>110000000</v>
      </c>
      <c r="AM523" s="11"/>
      <c r="AN523" s="26">
        <v>0</v>
      </c>
      <c r="AO523" s="60">
        <v>0</v>
      </c>
      <c r="AP523" s="26">
        <f>P523+Q523+R523+S523+T523+U523+V523+W523+X523+Y523+Z523+AA523+AB523+AC523+AD523+AE523+AF523+AG523+AH523+AI523+AJ523+AK523+AL523+AM523+AN523+AO523</f>
        <v>110000000</v>
      </c>
    </row>
    <row r="524" spans="1:42" s="48" customFormat="1" ht="59.25" customHeight="1" x14ac:dyDescent="0.25">
      <c r="A524" s="20"/>
      <c r="B524" s="562"/>
      <c r="C524" s="958"/>
      <c r="D524" s="892"/>
      <c r="E524" s="892"/>
      <c r="F524" s="892"/>
      <c r="G524" s="29"/>
      <c r="H524" s="6">
        <v>199</v>
      </c>
      <c r="I524" s="7" t="s">
        <v>665</v>
      </c>
      <c r="J524" s="6">
        <v>0</v>
      </c>
      <c r="K524" s="815">
        <v>4</v>
      </c>
      <c r="L524" s="894"/>
      <c r="M524" s="908"/>
      <c r="N524" s="894"/>
      <c r="O524" s="824" t="s">
        <v>40</v>
      </c>
      <c r="P524" s="26"/>
      <c r="Q524" s="26"/>
      <c r="R524" s="26"/>
      <c r="S524" s="26"/>
      <c r="T524" s="26"/>
      <c r="U524" s="26"/>
      <c r="V524" s="26"/>
      <c r="W524" s="26"/>
      <c r="X524" s="26"/>
      <c r="Y524" s="26"/>
      <c r="Z524" s="26"/>
      <c r="AA524" s="26"/>
      <c r="AB524" s="26"/>
      <c r="AC524" s="26"/>
      <c r="AD524" s="304"/>
      <c r="AE524" s="304"/>
      <c r="AF524" s="304"/>
      <c r="AG524" s="304"/>
      <c r="AH524" s="304"/>
      <c r="AI524" s="304"/>
      <c r="AJ524" s="26"/>
      <c r="AK524" s="26"/>
      <c r="AL524" s="115">
        <v>10000000</v>
      </c>
      <c r="AM524" s="11"/>
      <c r="AN524" s="26"/>
      <c r="AO524" s="60"/>
      <c r="AP524" s="26">
        <f>P524+Q524+R524+S524+T524+U524+V524+W524+X524+Y524+Z524+AA524+AB524+AC524+AD524+AE524+AF524+AG524+AH524+AI524+AJ524+AK524+AL524+AM524+AN524+AO524</f>
        <v>10000000</v>
      </c>
    </row>
    <row r="525" spans="1:42" s="196" customFormat="1" ht="33" customHeight="1" x14ac:dyDescent="0.25">
      <c r="A525" s="20"/>
      <c r="B525" s="562"/>
      <c r="C525" s="958"/>
      <c r="D525" s="892"/>
      <c r="E525" s="892"/>
      <c r="F525" s="892"/>
      <c r="G525" s="29"/>
      <c r="H525" s="454">
        <v>200</v>
      </c>
      <c r="I525" s="151" t="s">
        <v>666</v>
      </c>
      <c r="J525" s="152">
        <v>12</v>
      </c>
      <c r="K525" s="815">
        <v>12</v>
      </c>
      <c r="L525" s="894"/>
      <c r="M525" s="908"/>
      <c r="N525" s="894"/>
      <c r="O525" s="152" t="s">
        <v>44</v>
      </c>
      <c r="P525" s="26">
        <v>0</v>
      </c>
      <c r="Q525" s="11">
        <f>2780000000*0.3+392182142</f>
        <v>1226182142</v>
      </c>
      <c r="R525" s="26">
        <v>0</v>
      </c>
      <c r="S525" s="26">
        <v>0</v>
      </c>
      <c r="T525" s="26">
        <v>0</v>
      </c>
      <c r="U525" s="26">
        <v>0</v>
      </c>
      <c r="V525" s="26">
        <v>0</v>
      </c>
      <c r="W525" s="26"/>
      <c r="X525" s="26"/>
      <c r="Y525" s="26"/>
      <c r="Z525" s="26">
        <v>0</v>
      </c>
      <c r="AA525" s="26"/>
      <c r="AB525" s="26">
        <v>0</v>
      </c>
      <c r="AC525" s="26">
        <v>0</v>
      </c>
      <c r="AD525" s="304"/>
      <c r="AE525" s="304"/>
      <c r="AF525" s="304"/>
      <c r="AG525" s="304"/>
      <c r="AH525" s="304"/>
      <c r="AI525" s="304"/>
      <c r="AJ525" s="26">
        <v>0</v>
      </c>
      <c r="AK525" s="26">
        <v>0</v>
      </c>
      <c r="AL525" s="113">
        <v>0</v>
      </c>
      <c r="AM525" s="39"/>
      <c r="AN525" s="26">
        <v>0</v>
      </c>
      <c r="AO525" s="348">
        <v>0</v>
      </c>
      <c r="AP525" s="26">
        <f>P525+Q525+R525+S525+T525+U525+V525+W525+X525+Y525+Z525+AA525+AB525+AC525+AD525+AE525+AF525+AG525+AH525+AI525+AJ525+AK525+AL525+AM525+AN525+AO525</f>
        <v>1226182142</v>
      </c>
    </row>
    <row r="526" spans="1:42" s="196" customFormat="1" ht="36.75" customHeight="1" x14ac:dyDescent="0.25">
      <c r="A526" s="20"/>
      <c r="B526" s="562"/>
      <c r="C526" s="949"/>
      <c r="D526" s="957"/>
      <c r="E526" s="957"/>
      <c r="F526" s="957"/>
      <c r="G526" s="31"/>
      <c r="H526" s="454">
        <v>201</v>
      </c>
      <c r="I526" s="151" t="s">
        <v>667</v>
      </c>
      <c r="J526" s="12">
        <v>14</v>
      </c>
      <c r="K526" s="12">
        <v>14</v>
      </c>
      <c r="L526" s="895"/>
      <c r="M526" s="909"/>
      <c r="N526" s="895"/>
      <c r="O526" s="152" t="s">
        <v>44</v>
      </c>
      <c r="P526" s="26">
        <v>0</v>
      </c>
      <c r="Q526" s="11">
        <f xml:space="preserve"> 2780000000*0.7+915091664</f>
        <v>2861091664</v>
      </c>
      <c r="R526" s="26">
        <v>0</v>
      </c>
      <c r="S526" s="26">
        <v>0</v>
      </c>
      <c r="T526" s="26">
        <v>0</v>
      </c>
      <c r="U526" s="26">
        <v>0</v>
      </c>
      <c r="V526" s="26">
        <v>0</v>
      </c>
      <c r="W526" s="26"/>
      <c r="X526" s="26"/>
      <c r="Y526" s="26"/>
      <c r="Z526" s="26">
        <v>0</v>
      </c>
      <c r="AA526" s="26"/>
      <c r="AB526" s="26">
        <v>0</v>
      </c>
      <c r="AC526" s="26">
        <v>0</v>
      </c>
      <c r="AD526" s="304"/>
      <c r="AE526" s="304"/>
      <c r="AF526" s="304"/>
      <c r="AG526" s="304"/>
      <c r="AH526" s="304"/>
      <c r="AI526" s="304"/>
      <c r="AJ526" s="26">
        <v>0</v>
      </c>
      <c r="AK526" s="26">
        <v>0</v>
      </c>
      <c r="AL526" s="113">
        <v>0</v>
      </c>
      <c r="AM526" s="39"/>
      <c r="AN526" s="26">
        <v>0</v>
      </c>
      <c r="AO526" s="348">
        <v>0</v>
      </c>
      <c r="AP526" s="26">
        <f>P526+Q526+R526+S526+T526+U526+V526+W526+X526+Y526+Z526+AA526+AB526+AC526+AD526+AE526+AF526+AG526+AH526+AI526+AJ526+AK526+AL526+AM526+AN526+AO526</f>
        <v>2861091664</v>
      </c>
    </row>
    <row r="527" spans="1:42" s="196" customFormat="1" ht="15" x14ac:dyDescent="0.25">
      <c r="A527" s="20"/>
      <c r="B527" s="575"/>
      <c r="C527" s="6"/>
      <c r="D527" s="190"/>
      <c r="E527" s="708"/>
      <c r="F527" s="708"/>
      <c r="G527" s="191"/>
      <c r="H527" s="192"/>
      <c r="I527" s="191"/>
      <c r="J527" s="303"/>
      <c r="K527" s="303"/>
      <c r="L527" s="303"/>
      <c r="M527" s="194"/>
      <c r="N527" s="582"/>
      <c r="O527" s="192"/>
      <c r="P527" s="195">
        <f>SUM(P523:P526)</f>
        <v>0</v>
      </c>
      <c r="Q527" s="195">
        <f>SUM(Q523:Q526)</f>
        <v>4087273806</v>
      </c>
      <c r="R527" s="195">
        <f>SUM(R523:R526)</f>
        <v>0</v>
      </c>
      <c r="S527" s="195">
        <f>SUM(S523:S526)</f>
        <v>0</v>
      </c>
      <c r="T527" s="195">
        <f>SUM(T523:T526)</f>
        <v>0</v>
      </c>
      <c r="U527" s="195">
        <f>SUM(U523:U526)</f>
        <v>0</v>
      </c>
      <c r="V527" s="195">
        <f>SUM(V523:V526)</f>
        <v>0</v>
      </c>
      <c r="W527" s="195"/>
      <c r="X527" s="195"/>
      <c r="Y527" s="195"/>
      <c r="Z527" s="195">
        <f>SUM(Z523:Z526)</f>
        <v>0</v>
      </c>
      <c r="AA527" s="195"/>
      <c r="AB527" s="195">
        <f>SUM(AB523:AB526)</f>
        <v>0</v>
      </c>
      <c r="AC527" s="195">
        <f>SUM(AC523:AC526)</f>
        <v>0</v>
      </c>
      <c r="AD527" s="195">
        <f>SUM(AD523:AD526)</f>
        <v>0</v>
      </c>
      <c r="AE527" s="195">
        <f>SUM(AE523:AE526)</f>
        <v>0</v>
      </c>
      <c r="AF527" s="195"/>
      <c r="AG527" s="195">
        <f>SUM(AG523:AG526)</f>
        <v>0</v>
      </c>
      <c r="AH527" s="195">
        <f>SUM(AH523:AH526)</f>
        <v>0</v>
      </c>
      <c r="AI527" s="195">
        <f>SUM(AI523:AI526)</f>
        <v>0</v>
      </c>
      <c r="AJ527" s="195">
        <f>SUM(AJ523:AJ526)</f>
        <v>0</v>
      </c>
      <c r="AK527" s="195">
        <f>SUM(AK523:AK526)</f>
        <v>0</v>
      </c>
      <c r="AL527" s="295">
        <f>SUM(AL523:AL526)</f>
        <v>120000000</v>
      </c>
      <c r="AM527" s="195"/>
      <c r="AN527" s="195">
        <f>SUM(AN523:AN526)</f>
        <v>0</v>
      </c>
      <c r="AO527" s="195">
        <f>SUM(AO523:AO526)</f>
        <v>0</v>
      </c>
      <c r="AP527" s="195">
        <f>SUM(AP523:AP526)</f>
        <v>4207273806</v>
      </c>
    </row>
    <row r="528" spans="1:42" s="196" customFormat="1" ht="15" x14ac:dyDescent="0.25">
      <c r="A528" s="189"/>
      <c r="B528" s="260"/>
      <c r="C528" s="199"/>
      <c r="D528" s="198"/>
      <c r="E528" s="199"/>
      <c r="F528" s="199"/>
      <c r="G528" s="198"/>
      <c r="H528" s="199"/>
      <c r="I528" s="198"/>
      <c r="J528" s="311"/>
      <c r="K528" s="311"/>
      <c r="L528" s="311"/>
      <c r="M528" s="201"/>
      <c r="N528" s="583"/>
      <c r="O528" s="199"/>
      <c r="P528" s="202">
        <f>P527</f>
        <v>0</v>
      </c>
      <c r="Q528" s="202">
        <f>Q527</f>
        <v>4087273806</v>
      </c>
      <c r="R528" s="202">
        <f>R527</f>
        <v>0</v>
      </c>
      <c r="S528" s="202">
        <f>S527</f>
        <v>0</v>
      </c>
      <c r="T528" s="202">
        <f>T527</f>
        <v>0</v>
      </c>
      <c r="U528" s="202">
        <f>U527</f>
        <v>0</v>
      </c>
      <c r="V528" s="202">
        <f>V527</f>
        <v>0</v>
      </c>
      <c r="W528" s="202"/>
      <c r="X528" s="202"/>
      <c r="Y528" s="202"/>
      <c r="Z528" s="202">
        <f>Z527</f>
        <v>0</v>
      </c>
      <c r="AA528" s="202"/>
      <c r="AB528" s="202">
        <f>AB527</f>
        <v>0</v>
      </c>
      <c r="AC528" s="202">
        <f>AC527</f>
        <v>0</v>
      </c>
      <c r="AD528" s="202">
        <f>AD527</f>
        <v>0</v>
      </c>
      <c r="AE528" s="202">
        <f>AE527</f>
        <v>0</v>
      </c>
      <c r="AF528" s="202"/>
      <c r="AG528" s="202">
        <f>AG527</f>
        <v>0</v>
      </c>
      <c r="AH528" s="202">
        <f>AH527</f>
        <v>0</v>
      </c>
      <c r="AI528" s="202">
        <f>AI527</f>
        <v>0</v>
      </c>
      <c r="AJ528" s="202">
        <f>AJ527</f>
        <v>0</v>
      </c>
      <c r="AK528" s="202">
        <f>AK527</f>
        <v>0</v>
      </c>
      <c r="AL528" s="297">
        <f>AL527</f>
        <v>120000000</v>
      </c>
      <c r="AM528" s="202"/>
      <c r="AN528" s="202">
        <f>AN527</f>
        <v>0</v>
      </c>
      <c r="AO528" s="202">
        <f>AO527</f>
        <v>0</v>
      </c>
      <c r="AP528" s="202">
        <f>AP527</f>
        <v>4207273806</v>
      </c>
    </row>
    <row r="529" spans="1:42" s="196" customFormat="1" ht="15" x14ac:dyDescent="0.25">
      <c r="A529" s="312"/>
      <c r="B529" s="203"/>
      <c r="C529" s="204"/>
      <c r="D529" s="203"/>
      <c r="E529" s="204"/>
      <c r="F529" s="204"/>
      <c r="G529" s="203"/>
      <c r="H529" s="204"/>
      <c r="I529" s="203"/>
      <c r="J529" s="313"/>
      <c r="K529" s="313"/>
      <c r="L529" s="313"/>
      <c r="M529" s="206"/>
      <c r="N529" s="584"/>
      <c r="O529" s="204"/>
      <c r="P529" s="207">
        <f>P528+P519+P495+P473</f>
        <v>0</v>
      </c>
      <c r="Q529" s="207">
        <f>Q528+Q519+Q495+Q473</f>
        <v>4087273806</v>
      </c>
      <c r="R529" s="207">
        <f>R528+R519+R495+R473</f>
        <v>0</v>
      </c>
      <c r="S529" s="207">
        <f>S528+S519+S495+S473</f>
        <v>0</v>
      </c>
      <c r="T529" s="207">
        <f>T528+T519+T495+T473</f>
        <v>0</v>
      </c>
      <c r="U529" s="207">
        <f>U528+U519+U495+U473</f>
        <v>0</v>
      </c>
      <c r="V529" s="207">
        <f>V528+V519+V495+V473</f>
        <v>0</v>
      </c>
      <c r="W529" s="207"/>
      <c r="X529" s="207"/>
      <c r="Y529" s="207"/>
      <c r="Z529" s="207">
        <f>Z528+Z519+Z495+Z473</f>
        <v>0</v>
      </c>
      <c r="AA529" s="207"/>
      <c r="AB529" s="207">
        <f>AB528+AB519+AB495+AB473</f>
        <v>0</v>
      </c>
      <c r="AC529" s="207">
        <f>AC528+AC519+AC495+AC473</f>
        <v>0</v>
      </c>
      <c r="AD529" s="207">
        <f>AD528+AD519+AD495+AD473</f>
        <v>0</v>
      </c>
      <c r="AE529" s="207">
        <f>AE528+AE519+AE495+AE473</f>
        <v>0</v>
      </c>
      <c r="AF529" s="207"/>
      <c r="AG529" s="207">
        <f>AG528+AG519+AG495+AG473</f>
        <v>0</v>
      </c>
      <c r="AH529" s="207">
        <f>AH528+AH519+AH495+AH473</f>
        <v>0</v>
      </c>
      <c r="AI529" s="207">
        <f>AI528+AI519+AI495+AI473</f>
        <v>0</v>
      </c>
      <c r="AJ529" s="207">
        <f>AJ528+AJ519+AJ495+AJ473</f>
        <v>0</v>
      </c>
      <c r="AK529" s="207">
        <f>AK528+AK519+AK495+AK473</f>
        <v>0</v>
      </c>
      <c r="AL529" s="299">
        <f>AL528+AL519+AL495+AL473</f>
        <v>2912000000</v>
      </c>
      <c r="AM529" s="207"/>
      <c r="AN529" s="207">
        <f>AN528+AN519+AN495+AN473</f>
        <v>0</v>
      </c>
      <c r="AO529" s="207">
        <f>AO528+AO519+AO495+AO473</f>
        <v>0</v>
      </c>
      <c r="AP529" s="207">
        <f>AP528+AP519+AP495+AP473</f>
        <v>6999273806</v>
      </c>
    </row>
    <row r="530" spans="1:42" s="196" customFormat="1" x14ac:dyDescent="0.25">
      <c r="A530" s="208"/>
      <c r="B530" s="208"/>
      <c r="C530" s="209"/>
      <c r="D530" s="208"/>
      <c r="E530" s="209"/>
      <c r="F530" s="209"/>
      <c r="G530" s="208"/>
      <c r="H530" s="209"/>
      <c r="I530" s="585"/>
      <c r="J530" s="210"/>
      <c r="K530" s="210"/>
      <c r="L530" s="210"/>
      <c r="M530" s="211"/>
      <c r="N530" s="208"/>
      <c r="O530" s="209"/>
      <c r="P530" s="212">
        <f>+P529</f>
        <v>0</v>
      </c>
      <c r="Q530" s="212">
        <f>+Q529</f>
        <v>4087273806</v>
      </c>
      <c r="R530" s="212">
        <f>+R529</f>
        <v>0</v>
      </c>
      <c r="S530" s="212">
        <f>+S529</f>
        <v>0</v>
      </c>
      <c r="T530" s="212">
        <f>+T529</f>
        <v>0</v>
      </c>
      <c r="U530" s="212">
        <f>+U529</f>
        <v>0</v>
      </c>
      <c r="V530" s="212">
        <f>+V529</f>
        <v>0</v>
      </c>
      <c r="W530" s="212">
        <f>+W529</f>
        <v>0</v>
      </c>
      <c r="X530" s="212">
        <f>+X529</f>
        <v>0</v>
      </c>
      <c r="Y530" s="212">
        <f>+Y529</f>
        <v>0</v>
      </c>
      <c r="Z530" s="212">
        <f>+Z529</f>
        <v>0</v>
      </c>
      <c r="AA530" s="212"/>
      <c r="AB530" s="212">
        <f>+AB529</f>
        <v>0</v>
      </c>
      <c r="AC530" s="212">
        <f>+AC529</f>
        <v>0</v>
      </c>
      <c r="AD530" s="212">
        <f>+AD529</f>
        <v>0</v>
      </c>
      <c r="AE530" s="212">
        <f>+AE529</f>
        <v>0</v>
      </c>
      <c r="AF530" s="212"/>
      <c r="AG530" s="212">
        <f>+AG529</f>
        <v>0</v>
      </c>
      <c r="AH530" s="212">
        <f>+AH529</f>
        <v>0</v>
      </c>
      <c r="AI530" s="212">
        <f>+AI529</f>
        <v>0</v>
      </c>
      <c r="AJ530" s="212">
        <f>+AJ529</f>
        <v>0</v>
      </c>
      <c r="AK530" s="212">
        <f>+AK529</f>
        <v>0</v>
      </c>
      <c r="AL530" s="301">
        <f>+AL529</f>
        <v>2912000000</v>
      </c>
      <c r="AM530" s="212"/>
      <c r="AN530" s="212">
        <f>+AN529</f>
        <v>0</v>
      </c>
      <c r="AO530" s="212">
        <f>+AO529</f>
        <v>0</v>
      </c>
      <c r="AP530" s="586">
        <f>+AP529</f>
        <v>6999273806</v>
      </c>
    </row>
    <row r="531" spans="1:42" s="28" customFormat="1" ht="15" x14ac:dyDescent="0.25">
      <c r="A531" s="213"/>
      <c r="B531" s="214"/>
      <c r="C531" s="454"/>
      <c r="D531" s="214"/>
      <c r="E531" s="454"/>
      <c r="F531" s="454"/>
      <c r="G531" s="214"/>
      <c r="H531" s="454"/>
      <c r="I531" s="362"/>
      <c r="J531" s="215"/>
      <c r="K531" s="215"/>
      <c r="L531" s="215"/>
      <c r="M531" s="216"/>
      <c r="N531" s="214"/>
      <c r="O531" s="454"/>
      <c r="P531" s="217"/>
      <c r="Q531" s="217"/>
      <c r="R531" s="217"/>
      <c r="S531" s="217"/>
      <c r="T531" s="217"/>
      <c r="U531" s="217"/>
      <c r="V531" s="217"/>
      <c r="W531" s="217"/>
      <c r="X531" s="217"/>
      <c r="Y531" s="217"/>
      <c r="Z531" s="217"/>
      <c r="AA531" s="217"/>
      <c r="AB531" s="217"/>
      <c r="AC531" s="217"/>
      <c r="AD531" s="218"/>
      <c r="AE531" s="218"/>
      <c r="AF531" s="218"/>
      <c r="AG531" s="218"/>
      <c r="AH531" s="218"/>
      <c r="AI531" s="218"/>
      <c r="AJ531" s="217"/>
      <c r="AK531" s="217"/>
      <c r="AL531" s="219"/>
      <c r="AM531" s="220"/>
      <c r="AN531" s="217"/>
      <c r="AO531" s="217"/>
      <c r="AP531" s="587"/>
    </row>
    <row r="532" spans="1:42" s="48" customFormat="1" ht="20.25" x14ac:dyDescent="0.25">
      <c r="A532" s="165" t="s">
        <v>668</v>
      </c>
      <c r="B532" s="166"/>
      <c r="C532" s="167"/>
      <c r="D532" s="166"/>
      <c r="E532" s="166"/>
      <c r="F532" s="166"/>
      <c r="G532" s="166"/>
      <c r="H532" s="167"/>
      <c r="I532" s="166"/>
      <c r="J532" s="166"/>
      <c r="K532" s="166"/>
      <c r="L532" s="166"/>
      <c r="M532" s="168"/>
      <c r="N532" s="166"/>
      <c r="O532" s="167"/>
      <c r="P532" s="166"/>
      <c r="Q532" s="166"/>
      <c r="R532" s="166"/>
      <c r="S532" s="166"/>
      <c r="T532" s="166"/>
      <c r="U532" s="166"/>
      <c r="V532" s="166"/>
      <c r="W532" s="166"/>
      <c r="X532" s="166"/>
      <c r="Y532" s="166"/>
      <c r="Z532" s="166"/>
      <c r="AA532" s="166"/>
      <c r="AB532" s="166"/>
      <c r="AC532" s="166"/>
      <c r="AD532" s="166"/>
      <c r="AE532" s="166"/>
      <c r="AF532" s="166"/>
      <c r="AG532" s="166"/>
      <c r="AH532" s="166"/>
      <c r="AI532" s="166"/>
      <c r="AJ532" s="166"/>
      <c r="AK532" s="166"/>
      <c r="AL532" s="169"/>
      <c r="AM532" s="170"/>
      <c r="AN532" s="166"/>
      <c r="AO532" s="166"/>
      <c r="AP532" s="172"/>
    </row>
    <row r="533" spans="1:42" s="48" customFormat="1" ht="20.25" x14ac:dyDescent="0.25">
      <c r="A533" s="173">
        <v>5</v>
      </c>
      <c r="B533" s="174" t="s">
        <v>32</v>
      </c>
      <c r="C533" s="175"/>
      <c r="D533" s="174"/>
      <c r="E533" s="174"/>
      <c r="F533" s="174"/>
      <c r="G533" s="174"/>
      <c r="H533" s="175"/>
      <c r="I533" s="174"/>
      <c r="J533" s="174"/>
      <c r="K533" s="174"/>
      <c r="L533" s="174"/>
      <c r="M533" s="176"/>
      <c r="N533" s="174"/>
      <c r="O533" s="174"/>
      <c r="P533" s="174"/>
      <c r="Q533" s="174"/>
      <c r="R533" s="174"/>
      <c r="S533" s="174"/>
      <c r="T533" s="174"/>
      <c r="U533" s="174"/>
      <c r="V533" s="174"/>
      <c r="W533" s="174"/>
      <c r="X533" s="174"/>
      <c r="Y533" s="174"/>
      <c r="Z533" s="174"/>
      <c r="AA533" s="174"/>
      <c r="AB533" s="174"/>
      <c r="AC533" s="174"/>
      <c r="AD533" s="174"/>
      <c r="AE533" s="174"/>
      <c r="AF533" s="174"/>
      <c r="AG533" s="174"/>
      <c r="AH533" s="174"/>
      <c r="AI533" s="174"/>
      <c r="AJ533" s="174"/>
      <c r="AK533" s="174"/>
      <c r="AL533" s="177"/>
      <c r="AM533" s="174"/>
      <c r="AN533" s="174"/>
      <c r="AO533" s="174"/>
      <c r="AP533" s="178"/>
    </row>
    <row r="534" spans="1:42" s="48" customFormat="1" ht="20.25" x14ac:dyDescent="0.25">
      <c r="A534" s="223"/>
      <c r="B534" s="291">
        <v>26</v>
      </c>
      <c r="C534" s="181" t="s">
        <v>58</v>
      </c>
      <c r="D534" s="182"/>
      <c r="E534" s="182"/>
      <c r="F534" s="182"/>
      <c r="G534" s="182"/>
      <c r="H534" s="183"/>
      <c r="I534" s="182"/>
      <c r="J534" s="182"/>
      <c r="K534" s="182"/>
      <c r="L534" s="182"/>
      <c r="M534" s="184"/>
      <c r="N534" s="182"/>
      <c r="O534" s="182"/>
      <c r="P534" s="182"/>
      <c r="Q534" s="182"/>
      <c r="R534" s="182"/>
      <c r="S534" s="182"/>
      <c r="T534" s="182"/>
      <c r="U534" s="182"/>
      <c r="V534" s="182"/>
      <c r="W534" s="182"/>
      <c r="X534" s="182"/>
      <c r="Y534" s="182"/>
      <c r="Z534" s="182"/>
      <c r="AA534" s="182"/>
      <c r="AB534" s="182"/>
      <c r="AC534" s="182"/>
      <c r="AD534" s="182"/>
      <c r="AE534" s="182"/>
      <c r="AF534" s="182"/>
      <c r="AG534" s="182"/>
      <c r="AH534" s="182"/>
      <c r="AI534" s="182"/>
      <c r="AJ534" s="182"/>
      <c r="AK534" s="182"/>
      <c r="AL534" s="185"/>
      <c r="AM534" s="182"/>
      <c r="AN534" s="182"/>
      <c r="AO534" s="182"/>
      <c r="AP534" s="186"/>
    </row>
    <row r="535" spans="1:42" s="48" customFormat="1" ht="20.25" x14ac:dyDescent="0.25">
      <c r="A535" s="20"/>
      <c r="B535" s="223"/>
      <c r="C535" s="454"/>
      <c r="D535" s="214"/>
      <c r="E535" s="454"/>
      <c r="F535" s="150"/>
      <c r="G535" s="410">
        <v>83</v>
      </c>
      <c r="H535" s="904" t="s">
        <v>59</v>
      </c>
      <c r="I535" s="904"/>
      <c r="J535" s="904"/>
      <c r="K535" s="904"/>
      <c r="L535" s="904"/>
      <c r="M535" s="904"/>
      <c r="N535" s="904"/>
      <c r="O535" s="904"/>
      <c r="P535" s="904"/>
      <c r="Q535" s="227"/>
      <c r="R535" s="227"/>
      <c r="S535" s="227"/>
      <c r="T535" s="227"/>
      <c r="U535" s="227"/>
      <c r="V535" s="227"/>
      <c r="W535" s="227"/>
      <c r="X535" s="227"/>
      <c r="Y535" s="227"/>
      <c r="Z535" s="227"/>
      <c r="AA535" s="227"/>
      <c r="AB535" s="227"/>
      <c r="AC535" s="227"/>
      <c r="AD535" s="227"/>
      <c r="AE535" s="227"/>
      <c r="AF535" s="227"/>
      <c r="AG535" s="227"/>
      <c r="AH535" s="227"/>
      <c r="AI535" s="227"/>
      <c r="AJ535" s="227"/>
      <c r="AK535" s="227"/>
      <c r="AL535" s="229"/>
      <c r="AM535" s="227"/>
      <c r="AN535" s="227"/>
      <c r="AO535" s="227"/>
      <c r="AP535" s="230"/>
    </row>
    <row r="536" spans="1:42" s="590" customFormat="1" ht="76.5" customHeight="1" x14ac:dyDescent="0.25">
      <c r="A536" s="20"/>
      <c r="B536" s="20"/>
      <c r="C536" s="150">
        <v>37</v>
      </c>
      <c r="D536" s="571" t="s">
        <v>669</v>
      </c>
      <c r="E536" s="572">
        <v>0.54610000000000003</v>
      </c>
      <c r="F536" s="588">
        <v>0.6</v>
      </c>
      <c r="G536" s="31"/>
      <c r="H536" s="152">
        <v>243</v>
      </c>
      <c r="I536" s="7" t="s">
        <v>670</v>
      </c>
      <c r="J536" s="589" t="s">
        <v>36</v>
      </c>
      <c r="K536" s="24">
        <v>6</v>
      </c>
      <c r="L536" s="151" t="s">
        <v>443</v>
      </c>
      <c r="M536" s="38" t="s">
        <v>671</v>
      </c>
      <c r="N536" s="151" t="s">
        <v>672</v>
      </c>
      <c r="O536" s="6" t="s">
        <v>40</v>
      </c>
      <c r="P536" s="386"/>
      <c r="Q536" s="386"/>
      <c r="R536" s="386"/>
      <c r="S536" s="386"/>
      <c r="T536" s="386"/>
      <c r="U536" s="386"/>
      <c r="V536" s="386"/>
      <c r="W536" s="386"/>
      <c r="X536" s="386"/>
      <c r="Y536" s="386"/>
      <c r="Z536" s="386"/>
      <c r="AA536" s="386"/>
      <c r="AB536" s="386"/>
      <c r="AC536" s="386"/>
      <c r="AD536" s="304"/>
      <c r="AE536" s="304"/>
      <c r="AF536" s="304"/>
      <c r="AG536" s="304"/>
      <c r="AH536" s="304"/>
      <c r="AI536" s="304"/>
      <c r="AJ536" s="386"/>
      <c r="AK536" s="386"/>
      <c r="AL536" s="115">
        <v>100000000</v>
      </c>
      <c r="AM536" s="11"/>
      <c r="AN536" s="386"/>
      <c r="AO536" s="348"/>
      <c r="AP536" s="26">
        <f>P536+Q536+R536+S536+T536+U536+V536+W536+X536+Y536+Z536+AA536+AB536+AC536+AD536+AE536+AF536+AG536+AH536+AI536+AJ536+AK536+AL536+AM536+AN536+AO536</f>
        <v>100000000</v>
      </c>
    </row>
    <row r="537" spans="1:42" s="196" customFormat="1" ht="15" x14ac:dyDescent="0.25">
      <c r="A537" s="20"/>
      <c r="B537" s="189"/>
      <c r="C537" s="144"/>
      <c r="D537" s="534"/>
      <c r="E537" s="401"/>
      <c r="F537" s="401"/>
      <c r="G537" s="591"/>
      <c r="H537" s="592"/>
      <c r="I537" s="191"/>
      <c r="J537" s="193"/>
      <c r="K537" s="193"/>
      <c r="L537" s="193"/>
      <c r="M537" s="194"/>
      <c r="N537" s="191"/>
      <c r="O537" s="192"/>
      <c r="P537" s="195">
        <f>SUM(P536:P536)</f>
        <v>0</v>
      </c>
      <c r="Q537" s="195">
        <f>SUM(Q536:Q536)</f>
        <v>0</v>
      </c>
      <c r="R537" s="195">
        <f>SUM(R536:R536)</f>
        <v>0</v>
      </c>
      <c r="S537" s="195">
        <f>SUM(S536:S536)</f>
        <v>0</v>
      </c>
      <c r="T537" s="195">
        <f>SUM(T536:T536)</f>
        <v>0</v>
      </c>
      <c r="U537" s="195">
        <f>SUM(U536:U536)</f>
        <v>0</v>
      </c>
      <c r="V537" s="195">
        <f>SUM(V536:V536)</f>
        <v>0</v>
      </c>
      <c r="W537" s="195"/>
      <c r="X537" s="195"/>
      <c r="Y537" s="195"/>
      <c r="Z537" s="195">
        <f>SUM(Z536:Z536)</f>
        <v>0</v>
      </c>
      <c r="AA537" s="195"/>
      <c r="AB537" s="195">
        <f>SUM(AB536:AB536)</f>
        <v>0</v>
      </c>
      <c r="AC537" s="195">
        <f>SUM(AC536:AC536)</f>
        <v>0</v>
      </c>
      <c r="AD537" s="195">
        <f>SUM(AD536:AD536)</f>
        <v>0</v>
      </c>
      <c r="AE537" s="195">
        <f>SUM(AE536:AE536)</f>
        <v>0</v>
      </c>
      <c r="AF537" s="195"/>
      <c r="AG537" s="195">
        <f>SUM(AG536:AG536)</f>
        <v>0</v>
      </c>
      <c r="AH537" s="195">
        <f>SUM(AH536:AH536)</f>
        <v>0</v>
      </c>
      <c r="AI537" s="195">
        <f>SUM(AI536:AI536)</f>
        <v>0</v>
      </c>
      <c r="AJ537" s="195">
        <f>SUM(AJ536:AJ536)</f>
        <v>0</v>
      </c>
      <c r="AK537" s="195">
        <f>SUM(AK536:AK536)</f>
        <v>0</v>
      </c>
      <c r="AL537" s="295">
        <f>SUM(AL536:AL536)</f>
        <v>100000000</v>
      </c>
      <c r="AM537" s="296"/>
      <c r="AN537" s="195">
        <f>SUM(AN536:AN536)</f>
        <v>0</v>
      </c>
      <c r="AO537" s="195">
        <f>SUM(AO536:AO536)</f>
        <v>0</v>
      </c>
      <c r="AP537" s="195">
        <f>SUM(AP536:AP536)</f>
        <v>100000000</v>
      </c>
    </row>
    <row r="538" spans="1:42" s="196" customFormat="1" ht="15" x14ac:dyDescent="0.25">
      <c r="A538" s="189"/>
      <c r="B538" s="260"/>
      <c r="C538" s="199"/>
      <c r="D538" s="198"/>
      <c r="E538" s="199"/>
      <c r="F538" s="199"/>
      <c r="G538" s="198"/>
      <c r="H538" s="199"/>
      <c r="I538" s="198"/>
      <c r="J538" s="200"/>
      <c r="K538" s="200"/>
      <c r="L538" s="200"/>
      <c r="M538" s="201"/>
      <c r="N538" s="198"/>
      <c r="O538" s="199"/>
      <c r="P538" s="202">
        <f>P537</f>
        <v>0</v>
      </c>
      <c r="Q538" s="202">
        <f>Q537</f>
        <v>0</v>
      </c>
      <c r="R538" s="202">
        <f>R537</f>
        <v>0</v>
      </c>
      <c r="S538" s="202">
        <f>S537</f>
        <v>0</v>
      </c>
      <c r="T538" s="202">
        <f>T537</f>
        <v>0</v>
      </c>
      <c r="U538" s="202">
        <f>U537</f>
        <v>0</v>
      </c>
      <c r="V538" s="202">
        <f>V537</f>
        <v>0</v>
      </c>
      <c r="W538" s="202"/>
      <c r="X538" s="202"/>
      <c r="Y538" s="202"/>
      <c r="Z538" s="202">
        <f>Z537</f>
        <v>0</v>
      </c>
      <c r="AA538" s="202"/>
      <c r="AB538" s="202">
        <f>AB537</f>
        <v>0</v>
      </c>
      <c r="AC538" s="202">
        <f>AC537</f>
        <v>0</v>
      </c>
      <c r="AD538" s="202">
        <f>AD537</f>
        <v>0</v>
      </c>
      <c r="AE538" s="202">
        <f>AE537</f>
        <v>0</v>
      </c>
      <c r="AF538" s="202"/>
      <c r="AG538" s="202">
        <f>AG537</f>
        <v>0</v>
      </c>
      <c r="AH538" s="202">
        <f>AH537</f>
        <v>0</v>
      </c>
      <c r="AI538" s="202">
        <f>AI537</f>
        <v>0</v>
      </c>
      <c r="AJ538" s="202">
        <f>AJ537</f>
        <v>0</v>
      </c>
      <c r="AK538" s="202">
        <f>AK537</f>
        <v>0</v>
      </c>
      <c r="AL538" s="297">
        <f t="shared" ref="AL538:AL540" si="202">AL537</f>
        <v>100000000</v>
      </c>
      <c r="AM538" s="298"/>
      <c r="AN538" s="202">
        <f>AN537</f>
        <v>0</v>
      </c>
      <c r="AO538" s="202">
        <f>AO537</f>
        <v>0</v>
      </c>
      <c r="AP538" s="202">
        <f>AP537</f>
        <v>100000000</v>
      </c>
    </row>
    <row r="539" spans="1:42" s="196" customFormat="1" ht="15" x14ac:dyDescent="0.25">
      <c r="A539" s="203"/>
      <c r="B539" s="203"/>
      <c r="C539" s="204"/>
      <c r="D539" s="203"/>
      <c r="E539" s="204"/>
      <c r="F539" s="204"/>
      <c r="G539" s="203"/>
      <c r="H539" s="204"/>
      <c r="I539" s="203"/>
      <c r="J539" s="205"/>
      <c r="K539" s="205"/>
      <c r="L539" s="205"/>
      <c r="M539" s="206"/>
      <c r="N539" s="203"/>
      <c r="O539" s="204"/>
      <c r="P539" s="207">
        <f>P538</f>
        <v>0</v>
      </c>
      <c r="Q539" s="207">
        <f>Q538</f>
        <v>0</v>
      </c>
      <c r="R539" s="207">
        <f>R538</f>
        <v>0</v>
      </c>
      <c r="S539" s="207">
        <f>S538</f>
        <v>0</v>
      </c>
      <c r="T539" s="207">
        <f>T538</f>
        <v>0</v>
      </c>
      <c r="U539" s="207">
        <f>U538</f>
        <v>0</v>
      </c>
      <c r="V539" s="207">
        <f>V538</f>
        <v>0</v>
      </c>
      <c r="W539" s="207"/>
      <c r="X539" s="207"/>
      <c r="Y539" s="207"/>
      <c r="Z539" s="207">
        <f>Z538</f>
        <v>0</v>
      </c>
      <c r="AA539" s="207"/>
      <c r="AB539" s="207">
        <f>AB538</f>
        <v>0</v>
      </c>
      <c r="AC539" s="207">
        <f>AC538</f>
        <v>0</v>
      </c>
      <c r="AD539" s="207">
        <f>AD538</f>
        <v>0</v>
      </c>
      <c r="AE539" s="207">
        <f>AE538</f>
        <v>0</v>
      </c>
      <c r="AF539" s="207"/>
      <c r="AG539" s="207">
        <f>AG538</f>
        <v>0</v>
      </c>
      <c r="AH539" s="207">
        <f>AH538</f>
        <v>0</v>
      </c>
      <c r="AI539" s="207">
        <f>AI538</f>
        <v>0</v>
      </c>
      <c r="AJ539" s="207">
        <f>AJ538</f>
        <v>0</v>
      </c>
      <c r="AK539" s="207">
        <f>AK538</f>
        <v>0</v>
      </c>
      <c r="AL539" s="299">
        <f t="shared" si="202"/>
        <v>100000000</v>
      </c>
      <c r="AM539" s="300"/>
      <c r="AN539" s="207">
        <f>AN538</f>
        <v>0</v>
      </c>
      <c r="AO539" s="207">
        <f>AO538</f>
        <v>0</v>
      </c>
      <c r="AP539" s="207">
        <f>AP538</f>
        <v>100000000</v>
      </c>
    </row>
    <row r="540" spans="1:42" s="196" customFormat="1" ht="15" x14ac:dyDescent="0.25">
      <c r="A540" s="208"/>
      <c r="B540" s="208"/>
      <c r="C540" s="209"/>
      <c r="D540" s="208"/>
      <c r="E540" s="209"/>
      <c r="F540" s="209"/>
      <c r="G540" s="208"/>
      <c r="H540" s="209"/>
      <c r="I540" s="208"/>
      <c r="J540" s="210"/>
      <c r="K540" s="210"/>
      <c r="L540" s="210"/>
      <c r="M540" s="211"/>
      <c r="N540" s="208"/>
      <c r="O540" s="209"/>
      <c r="P540" s="212">
        <f>P539</f>
        <v>0</v>
      </c>
      <c r="Q540" s="212">
        <f>Q539</f>
        <v>0</v>
      </c>
      <c r="R540" s="212">
        <f>R539</f>
        <v>0</v>
      </c>
      <c r="S540" s="212">
        <f>S539</f>
        <v>0</v>
      </c>
      <c r="T540" s="212">
        <f>T539</f>
        <v>0</v>
      </c>
      <c r="U540" s="212">
        <f>U539</f>
        <v>0</v>
      </c>
      <c r="V540" s="212">
        <f>V539</f>
        <v>0</v>
      </c>
      <c r="W540" s="212">
        <f>W539</f>
        <v>0</v>
      </c>
      <c r="X540" s="212">
        <f>X539</f>
        <v>0</v>
      </c>
      <c r="Y540" s="212">
        <f>Y539</f>
        <v>0</v>
      </c>
      <c r="Z540" s="212">
        <f>Z539</f>
        <v>0</v>
      </c>
      <c r="AA540" s="212"/>
      <c r="AB540" s="212">
        <f>AB539</f>
        <v>0</v>
      </c>
      <c r="AC540" s="212">
        <f>AC539</f>
        <v>0</v>
      </c>
      <c r="AD540" s="212">
        <f>AD539</f>
        <v>0</v>
      </c>
      <c r="AE540" s="212">
        <f>AE539</f>
        <v>0</v>
      </c>
      <c r="AF540" s="212"/>
      <c r="AG540" s="212">
        <f>AG539</f>
        <v>0</v>
      </c>
      <c r="AH540" s="212">
        <f>AH539</f>
        <v>0</v>
      </c>
      <c r="AI540" s="212">
        <f>AI539</f>
        <v>0</v>
      </c>
      <c r="AJ540" s="212">
        <f>AJ539</f>
        <v>0</v>
      </c>
      <c r="AK540" s="212">
        <f>AK539</f>
        <v>0</v>
      </c>
      <c r="AL540" s="301">
        <f t="shared" si="202"/>
        <v>100000000</v>
      </c>
      <c r="AM540" s="212"/>
      <c r="AN540" s="212">
        <f>AN539</f>
        <v>0</v>
      </c>
      <c r="AO540" s="212">
        <f>AO539</f>
        <v>0</v>
      </c>
      <c r="AP540" s="212">
        <f>AP539</f>
        <v>100000000</v>
      </c>
    </row>
    <row r="541" spans="1:42" s="28" customFormat="1" ht="15" x14ac:dyDescent="0.25">
      <c r="A541" s="213"/>
      <c r="B541" s="214"/>
      <c r="C541" s="454"/>
      <c r="D541" s="214"/>
      <c r="E541" s="454"/>
      <c r="F541" s="454"/>
      <c r="G541" s="214"/>
      <c r="H541" s="454"/>
      <c r="I541" s="214"/>
      <c r="J541" s="215"/>
      <c r="K541" s="215"/>
      <c r="L541" s="215"/>
      <c r="M541" s="216"/>
      <c r="N541" s="214"/>
      <c r="O541" s="454"/>
      <c r="P541" s="217"/>
      <c r="Q541" s="217"/>
      <c r="R541" s="217"/>
      <c r="S541" s="217"/>
      <c r="T541" s="217"/>
      <c r="U541" s="217"/>
      <c r="V541" s="217"/>
      <c r="W541" s="217"/>
      <c r="X541" s="217"/>
      <c r="Y541" s="217"/>
      <c r="Z541" s="217"/>
      <c r="AA541" s="217"/>
      <c r="AB541" s="217"/>
      <c r="AC541" s="217"/>
      <c r="AD541" s="218"/>
      <c r="AE541" s="218"/>
      <c r="AF541" s="218"/>
      <c r="AG541" s="218"/>
      <c r="AH541" s="218"/>
      <c r="AI541" s="218"/>
      <c r="AJ541" s="217"/>
      <c r="AK541" s="217"/>
      <c r="AL541" s="219"/>
      <c r="AM541" s="220"/>
      <c r="AN541" s="217"/>
      <c r="AO541" s="217"/>
      <c r="AP541" s="238">
        <v>100000000</v>
      </c>
    </row>
    <row r="542" spans="1:42" s="196" customFormat="1" ht="22.5" customHeight="1" x14ac:dyDescent="0.25">
      <c r="A542" s="165" t="s">
        <v>673</v>
      </c>
      <c r="B542" s="166"/>
      <c r="C542" s="167"/>
      <c r="D542" s="166"/>
      <c r="E542" s="166"/>
      <c r="F542" s="166"/>
      <c r="G542" s="166"/>
      <c r="H542" s="167"/>
      <c r="I542" s="166"/>
      <c r="J542" s="166"/>
      <c r="K542" s="166"/>
      <c r="L542" s="166"/>
      <c r="M542" s="168"/>
      <c r="N542" s="166"/>
      <c r="O542" s="167"/>
      <c r="P542" s="166"/>
      <c r="Q542" s="166"/>
      <c r="R542" s="166"/>
      <c r="S542" s="166"/>
      <c r="T542" s="166"/>
      <c r="U542" s="166"/>
      <c r="V542" s="166"/>
      <c r="W542" s="166"/>
      <c r="X542" s="166"/>
      <c r="Y542" s="166"/>
      <c r="Z542" s="166"/>
      <c r="AA542" s="166"/>
      <c r="AB542" s="166"/>
      <c r="AC542" s="166"/>
      <c r="AD542" s="166"/>
      <c r="AE542" s="166"/>
      <c r="AF542" s="166"/>
      <c r="AG542" s="166"/>
      <c r="AH542" s="166"/>
      <c r="AI542" s="166"/>
      <c r="AJ542" s="166"/>
      <c r="AK542" s="166"/>
      <c r="AL542" s="169"/>
      <c r="AM542" s="170"/>
      <c r="AN542" s="166"/>
      <c r="AO542" s="166"/>
      <c r="AP542" s="172" t="s">
        <v>0</v>
      </c>
    </row>
    <row r="543" spans="1:42" s="28" customFormat="1" ht="22.5" customHeight="1" x14ac:dyDescent="0.25">
      <c r="A543" s="173">
        <v>3</v>
      </c>
      <c r="B543" s="174" t="s">
        <v>428</v>
      </c>
      <c r="C543" s="175"/>
      <c r="D543" s="174"/>
      <c r="E543" s="174"/>
      <c r="F543" s="174"/>
      <c r="G543" s="174"/>
      <c r="H543" s="175"/>
      <c r="I543" s="174"/>
      <c r="J543" s="174"/>
      <c r="K543" s="174"/>
      <c r="L543" s="174"/>
      <c r="M543" s="176"/>
      <c r="N543" s="174"/>
      <c r="O543" s="174"/>
      <c r="P543" s="174"/>
      <c r="Q543" s="174"/>
      <c r="R543" s="174"/>
      <c r="S543" s="174"/>
      <c r="T543" s="174"/>
      <c r="U543" s="174"/>
      <c r="V543" s="174"/>
      <c r="W543" s="174"/>
      <c r="X543" s="174"/>
      <c r="Y543" s="174"/>
      <c r="Z543" s="174"/>
      <c r="AA543" s="174"/>
      <c r="AB543" s="174"/>
      <c r="AC543" s="174"/>
      <c r="AD543" s="174"/>
      <c r="AE543" s="174"/>
      <c r="AF543" s="174"/>
      <c r="AG543" s="174"/>
      <c r="AH543" s="174"/>
      <c r="AI543" s="174"/>
      <c r="AJ543" s="174"/>
      <c r="AK543" s="174"/>
      <c r="AL543" s="177"/>
      <c r="AM543" s="174"/>
      <c r="AN543" s="174"/>
      <c r="AO543" s="174"/>
      <c r="AP543" s="178"/>
    </row>
    <row r="544" spans="1:42" s="28" customFormat="1" ht="22.5" customHeight="1" x14ac:dyDescent="0.25">
      <c r="A544" s="223"/>
      <c r="B544" s="291">
        <v>11</v>
      </c>
      <c r="C544" s="181" t="s">
        <v>429</v>
      </c>
      <c r="D544" s="182"/>
      <c r="E544" s="182"/>
      <c r="F544" s="182"/>
      <c r="G544" s="182"/>
      <c r="H544" s="183"/>
      <c r="I544" s="182"/>
      <c r="J544" s="182"/>
      <c r="K544" s="182"/>
      <c r="L544" s="182"/>
      <c r="M544" s="184"/>
      <c r="N544" s="182"/>
      <c r="O544" s="182"/>
      <c r="P544" s="182"/>
      <c r="Q544" s="182"/>
      <c r="R544" s="182"/>
      <c r="S544" s="182"/>
      <c r="T544" s="182"/>
      <c r="U544" s="182"/>
      <c r="V544" s="182"/>
      <c r="W544" s="182"/>
      <c r="X544" s="182"/>
      <c r="Y544" s="182"/>
      <c r="Z544" s="182"/>
      <c r="AA544" s="182"/>
      <c r="AB544" s="182"/>
      <c r="AC544" s="182"/>
      <c r="AD544" s="182"/>
      <c r="AE544" s="182"/>
      <c r="AF544" s="182"/>
      <c r="AG544" s="182"/>
      <c r="AH544" s="182"/>
      <c r="AI544" s="182"/>
      <c r="AJ544" s="182"/>
      <c r="AK544" s="182"/>
      <c r="AL544" s="185"/>
      <c r="AM544" s="182"/>
      <c r="AN544" s="182"/>
      <c r="AO544" s="182"/>
      <c r="AP544" s="186"/>
    </row>
    <row r="545" spans="1:42" s="28" customFormat="1" ht="22.5" customHeight="1" x14ac:dyDescent="0.25">
      <c r="A545" s="20"/>
      <c r="B545" s="223"/>
      <c r="C545" s="153"/>
      <c r="D545" s="265"/>
      <c r="E545" s="153"/>
      <c r="F545" s="143"/>
      <c r="G545" s="410">
        <v>35</v>
      </c>
      <c r="H545" s="227" t="s">
        <v>674</v>
      </c>
      <c r="I545" s="227"/>
      <c r="J545" s="227"/>
      <c r="K545" s="227"/>
      <c r="L545" s="227"/>
      <c r="M545" s="227"/>
      <c r="N545" s="227"/>
      <c r="O545" s="227"/>
      <c r="P545" s="227"/>
      <c r="Q545" s="227"/>
      <c r="R545" s="227"/>
      <c r="S545" s="227"/>
      <c r="T545" s="227"/>
      <c r="U545" s="227"/>
      <c r="V545" s="227"/>
      <c r="W545" s="227"/>
      <c r="X545" s="227"/>
      <c r="Y545" s="227"/>
      <c r="Z545" s="227"/>
      <c r="AA545" s="227"/>
      <c r="AB545" s="227"/>
      <c r="AC545" s="227"/>
      <c r="AD545" s="227"/>
      <c r="AE545" s="227"/>
      <c r="AF545" s="227"/>
      <c r="AG545" s="227"/>
      <c r="AH545" s="227"/>
      <c r="AI545" s="227"/>
      <c r="AJ545" s="227"/>
      <c r="AK545" s="227"/>
      <c r="AL545" s="229"/>
      <c r="AM545" s="227"/>
      <c r="AN545" s="227"/>
      <c r="AO545" s="227"/>
      <c r="AP545" s="230"/>
    </row>
    <row r="546" spans="1:42" s="196" customFormat="1" ht="114.75" customHeight="1" x14ac:dyDescent="0.25">
      <c r="A546" s="20"/>
      <c r="B546" s="19"/>
      <c r="C546" s="593"/>
      <c r="D546" s="594"/>
      <c r="E546" s="594"/>
      <c r="F546" s="594"/>
      <c r="G546" s="101"/>
      <c r="H546" s="150">
        <v>127</v>
      </c>
      <c r="I546" s="151" t="s">
        <v>675</v>
      </c>
      <c r="J546" s="152" t="s">
        <v>36</v>
      </c>
      <c r="K546" s="815">
        <v>1</v>
      </c>
      <c r="L546" s="876" t="s">
        <v>676</v>
      </c>
      <c r="M546" s="960" t="s">
        <v>677</v>
      </c>
      <c r="N546" s="893" t="s">
        <v>678</v>
      </c>
      <c r="O546" s="152" t="s">
        <v>44</v>
      </c>
      <c r="P546" s="26">
        <v>0</v>
      </c>
      <c r="Q546" s="26">
        <v>0</v>
      </c>
      <c r="R546" s="26">
        <v>0</v>
      </c>
      <c r="S546" s="26">
        <v>0</v>
      </c>
      <c r="T546" s="26">
        <v>0</v>
      </c>
      <c r="U546" s="26">
        <v>0</v>
      </c>
      <c r="V546" s="26">
        <v>0</v>
      </c>
      <c r="W546" s="14">
        <v>104940000</v>
      </c>
      <c r="X546" s="5"/>
      <c r="Y546" s="5"/>
      <c r="Z546" s="386">
        <v>0</v>
      </c>
      <c r="AA546" s="386"/>
      <c r="AB546" s="386">
        <v>0</v>
      </c>
      <c r="AC546" s="386">
        <v>0</v>
      </c>
      <c r="AD546" s="304"/>
      <c r="AE546" s="304"/>
      <c r="AF546" s="304"/>
      <c r="AG546" s="304"/>
      <c r="AH546" s="304"/>
      <c r="AI546" s="304"/>
      <c r="AJ546" s="386">
        <v>0</v>
      </c>
      <c r="AK546" s="386">
        <v>0</v>
      </c>
      <c r="AL546" s="595">
        <v>0</v>
      </c>
      <c r="AM546" s="596"/>
      <c r="AN546" s="386">
        <v>0</v>
      </c>
      <c r="AO546" s="348">
        <v>0</v>
      </c>
      <c r="AP546" s="26">
        <f>P546+Q546+R546+S546+T546+U546+V546+W546+X546+Y546+Z546+AA546+AB546+AC546+AD546+AE546+AF546+AG546+AH546+AI546+AJ546+AK546+AL546+AM546+AN546+AO546</f>
        <v>104940000</v>
      </c>
    </row>
    <row r="547" spans="1:42" s="196" customFormat="1" ht="57" customHeight="1" x14ac:dyDescent="0.25">
      <c r="A547" s="20"/>
      <c r="B547" s="19"/>
      <c r="C547" s="597">
        <v>24</v>
      </c>
      <c r="D547" s="137" t="s">
        <v>679</v>
      </c>
      <c r="E547" s="598" t="s">
        <v>680</v>
      </c>
      <c r="F547" s="598" t="s">
        <v>680</v>
      </c>
      <c r="G547" s="102"/>
      <c r="H547" s="150">
        <v>128</v>
      </c>
      <c r="I547" s="151" t="s">
        <v>681</v>
      </c>
      <c r="J547" s="152">
        <v>1</v>
      </c>
      <c r="K547" s="815">
        <v>1</v>
      </c>
      <c r="L547" s="877"/>
      <c r="M547" s="961"/>
      <c r="N547" s="894"/>
      <c r="O547" s="152" t="s">
        <v>44</v>
      </c>
      <c r="P547" s="26">
        <v>0</v>
      </c>
      <c r="Q547" s="26">
        <v>0</v>
      </c>
      <c r="R547" s="26">
        <v>0</v>
      </c>
      <c r="S547" s="26">
        <v>0</v>
      </c>
      <c r="T547" s="26">
        <v>0</v>
      </c>
      <c r="U547" s="26">
        <v>0</v>
      </c>
      <c r="V547" s="26">
        <v>0</v>
      </c>
      <c r="W547" s="5">
        <v>25750000</v>
      </c>
      <c r="X547" s="5"/>
      <c r="Y547" s="5"/>
      <c r="Z547" s="386">
        <v>0</v>
      </c>
      <c r="AA547" s="386"/>
      <c r="AB547" s="386">
        <v>0</v>
      </c>
      <c r="AC547" s="386">
        <v>0</v>
      </c>
      <c r="AD547" s="304"/>
      <c r="AE547" s="304"/>
      <c r="AF547" s="304"/>
      <c r="AG547" s="304"/>
      <c r="AH547" s="304"/>
      <c r="AI547" s="304"/>
      <c r="AJ547" s="386">
        <v>0</v>
      </c>
      <c r="AK547" s="386">
        <v>0</v>
      </c>
      <c r="AL547" s="595">
        <v>0</v>
      </c>
      <c r="AM547" s="596"/>
      <c r="AN547" s="386">
        <v>0</v>
      </c>
      <c r="AO547" s="348">
        <v>0</v>
      </c>
      <c r="AP547" s="26">
        <f>P547+Q547+R547+S547+T547+U547+V547+W547+X547+Y547+Z547+AA547+AB547+AC547+AD547+AE547+AF547+AG547+AH547+AI547+AJ547+AK547+AL547+AM547+AN547+AO547</f>
        <v>25750000</v>
      </c>
    </row>
    <row r="548" spans="1:42" s="196" customFormat="1" ht="71.25" customHeight="1" x14ac:dyDescent="0.25">
      <c r="A548" s="20"/>
      <c r="B548" s="19"/>
      <c r="C548" s="349"/>
      <c r="D548" s="599"/>
      <c r="E548" s="401"/>
      <c r="F548" s="401"/>
      <c r="G548" s="105"/>
      <c r="H548" s="150">
        <v>129</v>
      </c>
      <c r="I548" s="151" t="s">
        <v>682</v>
      </c>
      <c r="J548" s="152" t="s">
        <v>36</v>
      </c>
      <c r="K548" s="815">
        <v>6</v>
      </c>
      <c r="L548" s="887"/>
      <c r="M548" s="962"/>
      <c r="N548" s="895"/>
      <c r="O548" s="152" t="s">
        <v>44</v>
      </c>
      <c r="P548" s="26">
        <v>0</v>
      </c>
      <c r="Q548" s="26">
        <v>0</v>
      </c>
      <c r="R548" s="26">
        <v>0</v>
      </c>
      <c r="S548" s="26">
        <v>0</v>
      </c>
      <c r="T548" s="26">
        <v>0</v>
      </c>
      <c r="U548" s="26">
        <v>0</v>
      </c>
      <c r="V548" s="26">
        <v>0</v>
      </c>
      <c r="W548" s="5">
        <v>58709999.999999993</v>
      </c>
      <c r="X548" s="5"/>
      <c r="Y548" s="5"/>
      <c r="Z548" s="386">
        <v>0</v>
      </c>
      <c r="AA548" s="386"/>
      <c r="AB548" s="386">
        <v>0</v>
      </c>
      <c r="AC548" s="386">
        <v>0</v>
      </c>
      <c r="AD548" s="304"/>
      <c r="AE548" s="304"/>
      <c r="AF548" s="304"/>
      <c r="AG548" s="304"/>
      <c r="AH548" s="304"/>
      <c r="AI548" s="304"/>
      <c r="AJ548" s="386">
        <v>0</v>
      </c>
      <c r="AK548" s="386">
        <v>0</v>
      </c>
      <c r="AL548" s="595">
        <v>0</v>
      </c>
      <c r="AM548" s="596"/>
      <c r="AN548" s="386">
        <v>0</v>
      </c>
      <c r="AO548" s="348">
        <v>0</v>
      </c>
      <c r="AP548" s="26">
        <f>P548+Q548+R548+S548+T548+U548+V548+W548+X548+Y548+Z548+AA548+AB548+AC548+AD548+AE548+AF548+AG548+AH548+AI548+AJ548+AK548+AL548+AM548+AN548+AO548</f>
        <v>58709999.999999993</v>
      </c>
    </row>
    <row r="549" spans="1:42" s="196" customFormat="1" ht="15" x14ac:dyDescent="0.25">
      <c r="A549" s="20"/>
      <c r="B549" s="189"/>
      <c r="C549" s="144"/>
      <c r="D549" s="534"/>
      <c r="E549" s="401"/>
      <c r="F549" s="401"/>
      <c r="G549" s="191"/>
      <c r="H549" s="192"/>
      <c r="I549" s="191"/>
      <c r="J549" s="192"/>
      <c r="K549" s="192"/>
      <c r="L549" s="192"/>
      <c r="M549" s="194"/>
      <c r="N549" s="191"/>
      <c r="O549" s="192"/>
      <c r="P549" s="195">
        <f>SUM(P546:P548)</f>
        <v>0</v>
      </c>
      <c r="Q549" s="195">
        <f>SUM(Q546:Q548)</f>
        <v>0</v>
      </c>
      <c r="R549" s="195">
        <f>SUM(R546:R548)</f>
        <v>0</v>
      </c>
      <c r="S549" s="195">
        <f>SUM(S546:S548)</f>
        <v>0</v>
      </c>
      <c r="T549" s="195">
        <f>SUM(T546:T548)</f>
        <v>0</v>
      </c>
      <c r="U549" s="195">
        <f>SUM(U546:U548)</f>
        <v>0</v>
      </c>
      <c r="V549" s="195">
        <f>SUM(V546:V548)</f>
        <v>0</v>
      </c>
      <c r="W549" s="195">
        <f>SUM(W546:W548)</f>
        <v>189400000</v>
      </c>
      <c r="X549" s="195"/>
      <c r="Y549" s="195"/>
      <c r="Z549" s="195">
        <f>SUM(Z546:Z548)</f>
        <v>0</v>
      </c>
      <c r="AA549" s="195"/>
      <c r="AB549" s="195">
        <f>SUM(AB546:AB548)</f>
        <v>0</v>
      </c>
      <c r="AC549" s="195">
        <f>SUM(AC546:AC548)</f>
        <v>0</v>
      </c>
      <c r="AD549" s="195">
        <f>SUM(AD546:AD548)</f>
        <v>0</v>
      </c>
      <c r="AE549" s="195">
        <f>SUM(AE546:AE548)</f>
        <v>0</v>
      </c>
      <c r="AF549" s="195"/>
      <c r="AG549" s="195">
        <f>SUM(AG546:AG548)</f>
        <v>0</v>
      </c>
      <c r="AH549" s="195">
        <f>SUM(AH546:AH548)</f>
        <v>0</v>
      </c>
      <c r="AI549" s="195">
        <f>SUM(AI546:AI548)</f>
        <v>0</v>
      </c>
      <c r="AJ549" s="195">
        <f>SUM(AJ546:AJ548)</f>
        <v>0</v>
      </c>
      <c r="AK549" s="195">
        <f>SUM(AK546:AK548)</f>
        <v>0</v>
      </c>
      <c r="AL549" s="295">
        <f>SUM(AL546:AL548)</f>
        <v>0</v>
      </c>
      <c r="AM549" s="195"/>
      <c r="AN549" s="195">
        <f>SUM(AN546:AN548)</f>
        <v>0</v>
      </c>
      <c r="AO549" s="195">
        <f>SUM(AO546:AO548)</f>
        <v>0</v>
      </c>
      <c r="AP549" s="195">
        <f>SUM(AP546:AP548)</f>
        <v>189400000</v>
      </c>
    </row>
    <row r="550" spans="1:42" s="196" customFormat="1" ht="15" x14ac:dyDescent="0.25">
      <c r="A550" s="20"/>
      <c r="B550" s="260"/>
      <c r="C550" s="199"/>
      <c r="D550" s="198"/>
      <c r="E550" s="199"/>
      <c r="F550" s="199"/>
      <c r="G550" s="198"/>
      <c r="H550" s="199"/>
      <c r="I550" s="198"/>
      <c r="J550" s="199"/>
      <c r="K550" s="199"/>
      <c r="L550" s="199"/>
      <c r="M550" s="201"/>
      <c r="N550" s="198"/>
      <c r="O550" s="199"/>
      <c r="P550" s="202">
        <f>P549</f>
        <v>0</v>
      </c>
      <c r="Q550" s="202">
        <f>Q549</f>
        <v>0</v>
      </c>
      <c r="R550" s="202">
        <f>R549</f>
        <v>0</v>
      </c>
      <c r="S550" s="202">
        <f>S549</f>
        <v>0</v>
      </c>
      <c r="T550" s="202">
        <f>T549</f>
        <v>0</v>
      </c>
      <c r="U550" s="202">
        <f>U549</f>
        <v>0</v>
      </c>
      <c r="V550" s="202">
        <f>V549</f>
        <v>0</v>
      </c>
      <c r="W550" s="202">
        <f>W549</f>
        <v>189400000</v>
      </c>
      <c r="X550" s="202"/>
      <c r="Y550" s="202"/>
      <c r="Z550" s="202">
        <f>Z549</f>
        <v>0</v>
      </c>
      <c r="AA550" s="202"/>
      <c r="AB550" s="202">
        <f>AB549</f>
        <v>0</v>
      </c>
      <c r="AC550" s="202">
        <f>AC549</f>
        <v>0</v>
      </c>
      <c r="AD550" s="202">
        <f>AD549</f>
        <v>0</v>
      </c>
      <c r="AE550" s="202">
        <f>AE549</f>
        <v>0</v>
      </c>
      <c r="AF550" s="202"/>
      <c r="AG550" s="202">
        <f>AG549</f>
        <v>0</v>
      </c>
      <c r="AH550" s="202">
        <f>AH549</f>
        <v>0</v>
      </c>
      <c r="AI550" s="202">
        <f>AI549</f>
        <v>0</v>
      </c>
      <c r="AJ550" s="202">
        <f>AJ549</f>
        <v>0</v>
      </c>
      <c r="AK550" s="202">
        <f>AK549</f>
        <v>0</v>
      </c>
      <c r="AL550" s="297">
        <f>AL549</f>
        <v>0</v>
      </c>
      <c r="AM550" s="202"/>
      <c r="AN550" s="202">
        <f>AN549</f>
        <v>0</v>
      </c>
      <c r="AO550" s="202">
        <f>AO549</f>
        <v>0</v>
      </c>
      <c r="AP550" s="202">
        <f>AP549</f>
        <v>189400000</v>
      </c>
    </row>
    <row r="551" spans="1:42" s="28" customFormat="1" ht="15" x14ac:dyDescent="0.25">
      <c r="A551" s="20"/>
      <c r="B551" s="214"/>
      <c r="C551" s="454"/>
      <c r="D551" s="214"/>
      <c r="E551" s="454"/>
      <c r="F551" s="454"/>
      <c r="G551" s="214"/>
      <c r="H551" s="454"/>
      <c r="I551" s="214"/>
      <c r="J551" s="454"/>
      <c r="K551" s="454"/>
      <c r="L551" s="153"/>
      <c r="M551" s="279"/>
      <c r="N551" s="265"/>
      <c r="O551" s="454"/>
      <c r="P551" s="217"/>
      <c r="Q551" s="217"/>
      <c r="R551" s="217"/>
      <c r="S551" s="217"/>
      <c r="T551" s="217"/>
      <c r="U551" s="217"/>
      <c r="V551" s="217"/>
      <c r="W551" s="217"/>
      <c r="X551" s="217"/>
      <c r="Y551" s="217"/>
      <c r="Z551" s="217"/>
      <c r="AA551" s="217"/>
      <c r="AB551" s="217"/>
      <c r="AC551" s="217"/>
      <c r="AD551" s="217"/>
      <c r="AE551" s="217"/>
      <c r="AF551" s="217"/>
      <c r="AG551" s="217"/>
      <c r="AH551" s="217"/>
      <c r="AI551" s="217"/>
      <c r="AJ551" s="217"/>
      <c r="AK551" s="217"/>
      <c r="AL551" s="219"/>
      <c r="AM551" s="217"/>
      <c r="AN551" s="217"/>
      <c r="AO551" s="217"/>
      <c r="AP551" s="238"/>
    </row>
    <row r="552" spans="1:42" s="28" customFormat="1" x14ac:dyDescent="0.25">
      <c r="A552" s="20"/>
      <c r="B552" s="600">
        <v>12</v>
      </c>
      <c r="C552" s="181" t="s">
        <v>683</v>
      </c>
      <c r="D552" s="182"/>
      <c r="E552" s="182"/>
      <c r="F552" s="182"/>
      <c r="G552" s="182"/>
      <c r="H552" s="183"/>
      <c r="I552" s="182"/>
      <c r="J552" s="182"/>
      <c r="K552" s="182"/>
      <c r="L552" s="182"/>
      <c r="M552" s="184"/>
      <c r="N552" s="182"/>
      <c r="O552" s="182"/>
      <c r="P552" s="182"/>
      <c r="Q552" s="182"/>
      <c r="R552" s="182"/>
      <c r="S552" s="182"/>
      <c r="T552" s="182"/>
      <c r="U552" s="182"/>
      <c r="V552" s="182"/>
      <c r="W552" s="182"/>
      <c r="X552" s="182"/>
      <c r="Y552" s="182"/>
      <c r="Z552" s="182"/>
      <c r="AA552" s="182"/>
      <c r="AB552" s="182"/>
      <c r="AC552" s="182"/>
      <c r="AD552" s="182"/>
      <c r="AE552" s="182"/>
      <c r="AF552" s="182"/>
      <c r="AG552" s="182"/>
      <c r="AH552" s="182"/>
      <c r="AI552" s="182"/>
      <c r="AJ552" s="182"/>
      <c r="AK552" s="182"/>
      <c r="AL552" s="185"/>
      <c r="AM552" s="182"/>
      <c r="AN552" s="182"/>
      <c r="AO552" s="182"/>
      <c r="AP552" s="186"/>
    </row>
    <row r="553" spans="1:42" s="28" customFormat="1" ht="15" x14ac:dyDescent="0.25">
      <c r="A553" s="19"/>
      <c r="B553" s="20"/>
      <c r="C553" s="454"/>
      <c r="D553" s="214"/>
      <c r="E553" s="454"/>
      <c r="F553" s="150"/>
      <c r="G553" s="410">
        <v>36</v>
      </c>
      <c r="H553" s="227" t="s">
        <v>684</v>
      </c>
      <c r="I553" s="227"/>
      <c r="J553" s="227"/>
      <c r="K553" s="227"/>
      <c r="L553" s="227"/>
      <c r="M553" s="227"/>
      <c r="N553" s="227"/>
      <c r="O553" s="227"/>
      <c r="P553" s="227"/>
      <c r="Q553" s="227"/>
      <c r="R553" s="227"/>
      <c r="S553" s="227"/>
      <c r="T553" s="227"/>
      <c r="U553" s="227"/>
      <c r="V553" s="227"/>
      <c r="W553" s="227"/>
      <c r="X553" s="227"/>
      <c r="Y553" s="227"/>
      <c r="Z553" s="227"/>
      <c r="AA553" s="227"/>
      <c r="AB553" s="227"/>
      <c r="AC553" s="227"/>
      <c r="AD553" s="227"/>
      <c r="AE553" s="227"/>
      <c r="AF553" s="227"/>
      <c r="AG553" s="227"/>
      <c r="AH553" s="227"/>
      <c r="AI553" s="227"/>
      <c r="AJ553" s="227"/>
      <c r="AK553" s="227"/>
      <c r="AL553" s="229"/>
      <c r="AM553" s="227"/>
      <c r="AN553" s="227"/>
      <c r="AO553" s="227"/>
      <c r="AP553" s="230"/>
    </row>
    <row r="554" spans="1:42" s="196" customFormat="1" ht="51.75" customHeight="1" x14ac:dyDescent="0.25">
      <c r="A554" s="19"/>
      <c r="B554" s="20"/>
      <c r="C554" s="864">
        <v>3</v>
      </c>
      <c r="D554" s="954" t="s">
        <v>361</v>
      </c>
      <c r="E554" s="889" t="s">
        <v>146</v>
      </c>
      <c r="F554" s="889" t="s">
        <v>147</v>
      </c>
      <c r="G554" s="876"/>
      <c r="H554" s="152">
        <v>130</v>
      </c>
      <c r="I554" s="151" t="s">
        <v>685</v>
      </c>
      <c r="J554" s="385">
        <v>0</v>
      </c>
      <c r="K554" s="815">
        <v>1</v>
      </c>
      <c r="L554" s="948">
        <v>2</v>
      </c>
      <c r="M554" s="907" t="s">
        <v>686</v>
      </c>
      <c r="N554" s="893" t="s">
        <v>687</v>
      </c>
      <c r="O554" s="152" t="s">
        <v>44</v>
      </c>
      <c r="P554" s="26">
        <v>0</v>
      </c>
      <c r="Q554" s="26">
        <v>0</v>
      </c>
      <c r="R554" s="26">
        <v>0</v>
      </c>
      <c r="S554" s="26">
        <v>0</v>
      </c>
      <c r="T554" s="26">
        <v>0</v>
      </c>
      <c r="U554" s="26">
        <v>0</v>
      </c>
      <c r="V554" s="26">
        <v>0</v>
      </c>
      <c r="W554" s="601">
        <v>30900000</v>
      </c>
      <c r="X554" s="602"/>
      <c r="Y554" s="602"/>
      <c r="Z554" s="386">
        <v>0</v>
      </c>
      <c r="AA554" s="386"/>
      <c r="AB554" s="386">
        <v>0</v>
      </c>
      <c r="AC554" s="386">
        <v>0</v>
      </c>
      <c r="AD554" s="304"/>
      <c r="AE554" s="304"/>
      <c r="AF554" s="304"/>
      <c r="AG554" s="304"/>
      <c r="AH554" s="304"/>
      <c r="AI554" s="304"/>
      <c r="AJ554" s="386">
        <v>0</v>
      </c>
      <c r="AK554" s="386">
        <v>0</v>
      </c>
      <c r="AL554" s="595">
        <v>0</v>
      </c>
      <c r="AM554" s="596"/>
      <c r="AN554" s="386">
        <v>0</v>
      </c>
      <c r="AO554" s="348">
        <v>0</v>
      </c>
      <c r="AP554" s="26">
        <f>P554+Q554+R554+S554+T554+U554+V554+W554+X554+Y554+Z554+AA554+AB554+AC554+AD554+AE554+AF554+AG554+AH554+AI554+AJ554+AK554+AL554+AM554+AN554+AO554</f>
        <v>30900000</v>
      </c>
    </row>
    <row r="555" spans="1:42" s="196" customFormat="1" ht="81" customHeight="1" x14ac:dyDescent="0.25">
      <c r="A555" s="19"/>
      <c r="B555" s="20"/>
      <c r="C555" s="866"/>
      <c r="D555" s="956"/>
      <c r="E555" s="963"/>
      <c r="F555" s="963"/>
      <c r="G555" s="887"/>
      <c r="H555" s="152">
        <v>131</v>
      </c>
      <c r="I555" s="151" t="s">
        <v>688</v>
      </c>
      <c r="J555" s="152">
        <v>0</v>
      </c>
      <c r="K555" s="815">
        <v>3</v>
      </c>
      <c r="L555" s="949"/>
      <c r="M555" s="909"/>
      <c r="N555" s="895"/>
      <c r="O555" s="152" t="s">
        <v>40</v>
      </c>
      <c r="P555" s="26">
        <v>0</v>
      </c>
      <c r="Q555" s="26">
        <v>0</v>
      </c>
      <c r="R555" s="26">
        <v>0</v>
      </c>
      <c r="S555" s="26">
        <v>0</v>
      </c>
      <c r="T555" s="26">
        <v>0</v>
      </c>
      <c r="U555" s="26">
        <v>0</v>
      </c>
      <c r="V555" s="26">
        <v>0</v>
      </c>
      <c r="W555" s="601">
        <v>123600000</v>
      </c>
      <c r="X555" s="602"/>
      <c r="Y555" s="602"/>
      <c r="Z555" s="386">
        <v>0</v>
      </c>
      <c r="AA555" s="386"/>
      <c r="AB555" s="386">
        <v>0</v>
      </c>
      <c r="AC555" s="386">
        <v>0</v>
      </c>
      <c r="AD555" s="304"/>
      <c r="AE555" s="304"/>
      <c r="AF555" s="304"/>
      <c r="AG555" s="304"/>
      <c r="AH555" s="304"/>
      <c r="AI555" s="304"/>
      <c r="AJ555" s="386">
        <v>0</v>
      </c>
      <c r="AK555" s="386">
        <v>0</v>
      </c>
      <c r="AL555" s="595">
        <v>0</v>
      </c>
      <c r="AM555" s="596"/>
      <c r="AN555" s="386">
        <v>0</v>
      </c>
      <c r="AO555" s="348">
        <v>0</v>
      </c>
      <c r="AP555" s="26">
        <f>P555+Q555+R555+S555+T555+U555+V555+W555+X555+Y555+Z555+AA555+AB555+AC555+AD555+AE555+AF555+AG555+AH555+AI555+AJ555+AK555+AL555+AM555+AN555+AO555</f>
        <v>123600000</v>
      </c>
    </row>
    <row r="556" spans="1:42" s="196" customFormat="1" ht="15" x14ac:dyDescent="0.25">
      <c r="A556" s="19"/>
      <c r="B556" s="20"/>
      <c r="C556" s="150"/>
      <c r="D556" s="190"/>
      <c r="E556" s="708"/>
      <c r="F556" s="708"/>
      <c r="G556" s="191"/>
      <c r="H556" s="192"/>
      <c r="I556" s="191"/>
      <c r="J556" s="192"/>
      <c r="K556" s="192"/>
      <c r="L556" s="192"/>
      <c r="M556" s="194"/>
      <c r="N556" s="191"/>
      <c r="O556" s="192"/>
      <c r="P556" s="195">
        <f>SUM(P554:P555)</f>
        <v>0</v>
      </c>
      <c r="Q556" s="195">
        <f>SUM(Q554:Q555)</f>
        <v>0</v>
      </c>
      <c r="R556" s="195">
        <f>SUM(R554:R555)</f>
        <v>0</v>
      </c>
      <c r="S556" s="195">
        <f>SUM(S554:S555)</f>
        <v>0</v>
      </c>
      <c r="T556" s="195">
        <f>SUM(T554:T555)</f>
        <v>0</v>
      </c>
      <c r="U556" s="195">
        <f>SUM(U554:U555)</f>
        <v>0</v>
      </c>
      <c r="V556" s="195">
        <f>SUM(V554:V555)</f>
        <v>0</v>
      </c>
      <c r="W556" s="195">
        <f>SUM(W554:W555)</f>
        <v>154500000</v>
      </c>
      <c r="X556" s="195"/>
      <c r="Y556" s="195"/>
      <c r="Z556" s="195">
        <f>SUM(Z554:Z555)</f>
        <v>0</v>
      </c>
      <c r="AA556" s="195"/>
      <c r="AB556" s="195">
        <f>SUM(AB554:AB555)</f>
        <v>0</v>
      </c>
      <c r="AC556" s="195">
        <f>SUM(AC554:AC555)</f>
        <v>0</v>
      </c>
      <c r="AD556" s="195">
        <f>SUM(AD554:AD555)</f>
        <v>0</v>
      </c>
      <c r="AE556" s="195">
        <f>SUM(AE554:AE555)</f>
        <v>0</v>
      </c>
      <c r="AF556" s="195"/>
      <c r="AG556" s="195">
        <f>SUM(AG554:AG555)</f>
        <v>0</v>
      </c>
      <c r="AH556" s="195">
        <f>SUM(AH554:AH555)</f>
        <v>0</v>
      </c>
      <c r="AI556" s="195">
        <f>SUM(AI554:AI555)</f>
        <v>0</v>
      </c>
      <c r="AJ556" s="195">
        <f>SUM(AJ554:AJ555)</f>
        <v>0</v>
      </c>
      <c r="AK556" s="195">
        <f>SUM(AK554:AK555)</f>
        <v>0</v>
      </c>
      <c r="AL556" s="295">
        <f>SUM(AL554:AL555)</f>
        <v>0</v>
      </c>
      <c r="AM556" s="195"/>
      <c r="AN556" s="195">
        <f>SUM(AN554:AN555)</f>
        <v>0</v>
      </c>
      <c r="AO556" s="195">
        <f>SUM(AO554:AO555)</f>
        <v>0</v>
      </c>
      <c r="AP556" s="195">
        <f>SUM(AP554:AP555)</f>
        <v>154500000</v>
      </c>
    </row>
    <row r="557" spans="1:42" s="28" customFormat="1" ht="15" x14ac:dyDescent="0.25">
      <c r="A557" s="19"/>
      <c r="B557" s="20"/>
      <c r="C557" s="454"/>
      <c r="D557" s="214"/>
      <c r="E557" s="454"/>
      <c r="F557" s="454"/>
      <c r="G557" s="214"/>
      <c r="H557" s="454"/>
      <c r="I557" s="214"/>
      <c r="J557" s="454"/>
      <c r="K557" s="454"/>
      <c r="L557" s="153"/>
      <c r="M557" s="279"/>
      <c r="N557" s="265"/>
      <c r="O557" s="454"/>
      <c r="P557" s="217"/>
      <c r="Q557" s="217"/>
      <c r="R557" s="217"/>
      <c r="S557" s="217"/>
      <c r="T557" s="217"/>
      <c r="U557" s="217"/>
      <c r="V557" s="217"/>
      <c r="W557" s="217"/>
      <c r="X557" s="217"/>
      <c r="Y557" s="217"/>
      <c r="Z557" s="217"/>
      <c r="AA557" s="217"/>
      <c r="AB557" s="217"/>
      <c r="AC557" s="217"/>
      <c r="AD557" s="217"/>
      <c r="AE557" s="217"/>
      <c r="AF557" s="217"/>
      <c r="AG557" s="217"/>
      <c r="AH557" s="217"/>
      <c r="AI557" s="217"/>
      <c r="AJ557" s="217"/>
      <c r="AK557" s="217"/>
      <c r="AL557" s="219"/>
      <c r="AM557" s="220"/>
      <c r="AN557" s="217"/>
      <c r="AO557" s="217"/>
      <c r="AP557" s="238"/>
    </row>
    <row r="558" spans="1:42" s="196" customFormat="1" ht="15" x14ac:dyDescent="0.25">
      <c r="A558" s="19"/>
      <c r="B558" s="20"/>
      <c r="C558" s="454"/>
      <c r="D558" s="190"/>
      <c r="E558" s="708"/>
      <c r="F558" s="708"/>
      <c r="G558" s="410">
        <v>37</v>
      </c>
      <c r="H558" s="227" t="s">
        <v>689</v>
      </c>
      <c r="I558" s="227"/>
      <c r="J558" s="227"/>
      <c r="K558" s="227"/>
      <c r="L558" s="227"/>
      <c r="M558" s="227"/>
      <c r="N558" s="227"/>
      <c r="O558" s="227"/>
      <c r="P558" s="227"/>
      <c r="Q558" s="227"/>
      <c r="R558" s="227"/>
      <c r="S558" s="227"/>
      <c r="T558" s="227"/>
      <c r="U558" s="227"/>
      <c r="V558" s="227"/>
      <c r="W558" s="227"/>
      <c r="X558" s="227"/>
      <c r="Y558" s="227"/>
      <c r="Z558" s="227"/>
      <c r="AA558" s="227"/>
      <c r="AB558" s="227"/>
      <c r="AC558" s="227"/>
      <c r="AD558" s="227"/>
      <c r="AE558" s="227"/>
      <c r="AF558" s="227"/>
      <c r="AG558" s="227"/>
      <c r="AH558" s="227"/>
      <c r="AI558" s="227"/>
      <c r="AJ558" s="227"/>
      <c r="AK558" s="227"/>
      <c r="AL558" s="229"/>
      <c r="AM558" s="227"/>
      <c r="AN558" s="227"/>
      <c r="AO558" s="227"/>
      <c r="AP558" s="230"/>
    </row>
    <row r="559" spans="1:42" s="196" customFormat="1" ht="84" customHeight="1" x14ac:dyDescent="0.25">
      <c r="A559" s="19"/>
      <c r="B559" s="20"/>
      <c r="C559" s="454">
        <v>22</v>
      </c>
      <c r="D559" s="571" t="s">
        <v>690</v>
      </c>
      <c r="E559" s="709" t="s">
        <v>610</v>
      </c>
      <c r="F559" s="709" t="s">
        <v>691</v>
      </c>
      <c r="G559" s="23"/>
      <c r="H559" s="150">
        <v>132</v>
      </c>
      <c r="I559" s="151" t="s">
        <v>692</v>
      </c>
      <c r="J559" s="152" t="s">
        <v>36</v>
      </c>
      <c r="K559" s="603">
        <v>8</v>
      </c>
      <c r="L559" s="876" t="s">
        <v>676</v>
      </c>
      <c r="M559" s="907" t="s">
        <v>693</v>
      </c>
      <c r="N559" s="893" t="s">
        <v>694</v>
      </c>
      <c r="O559" s="152" t="s">
        <v>40</v>
      </c>
      <c r="P559" s="26">
        <v>0</v>
      </c>
      <c r="Q559" s="26">
        <v>0</v>
      </c>
      <c r="R559" s="26">
        <v>0</v>
      </c>
      <c r="S559" s="26">
        <v>0</v>
      </c>
      <c r="T559" s="26">
        <v>0</v>
      </c>
      <c r="U559" s="26">
        <v>0</v>
      </c>
      <c r="V559" s="26">
        <v>0</v>
      </c>
      <c r="W559" s="14">
        <v>43100000</v>
      </c>
      <c r="X559" s="14"/>
      <c r="Y559" s="14"/>
      <c r="Z559" s="26">
        <v>0</v>
      </c>
      <c r="AA559" s="26"/>
      <c r="AB559" s="386">
        <v>0</v>
      </c>
      <c r="AC559" s="386">
        <v>0</v>
      </c>
      <c r="AD559" s="304"/>
      <c r="AE559" s="304"/>
      <c r="AF559" s="304"/>
      <c r="AG559" s="304"/>
      <c r="AH559" s="304"/>
      <c r="AI559" s="304"/>
      <c r="AJ559" s="386">
        <v>0</v>
      </c>
      <c r="AK559" s="386">
        <v>0</v>
      </c>
      <c r="AL559" s="595">
        <v>0</v>
      </c>
      <c r="AM559" s="596"/>
      <c r="AN559" s="386">
        <v>0</v>
      </c>
      <c r="AO559" s="348">
        <v>0</v>
      </c>
      <c r="AP559" s="26">
        <f>P559+Q559+R559+S559+T559+U559+V559+W559+X559+Y559+Z559+AA559+AB559+AC559+AD559+AE559+AF559+AG559+AH559+AI559+AJ559+AK559+AL559+AM559+AN559+AO559</f>
        <v>43100000</v>
      </c>
    </row>
    <row r="560" spans="1:42" s="196" customFormat="1" ht="99.75" customHeight="1" x14ac:dyDescent="0.25">
      <c r="A560" s="19"/>
      <c r="B560" s="20"/>
      <c r="C560" s="454">
        <v>31</v>
      </c>
      <c r="D560" s="604" t="s">
        <v>913</v>
      </c>
      <c r="E560" s="572">
        <v>0.249</v>
      </c>
      <c r="F560" s="605">
        <v>0.2</v>
      </c>
      <c r="G560" s="29"/>
      <c r="H560" s="150">
        <v>133</v>
      </c>
      <c r="I560" s="151" t="s">
        <v>695</v>
      </c>
      <c r="J560" s="152">
        <v>0</v>
      </c>
      <c r="K560" s="603">
        <v>12</v>
      </c>
      <c r="L560" s="877"/>
      <c r="M560" s="908"/>
      <c r="N560" s="894"/>
      <c r="O560" s="152" t="s">
        <v>44</v>
      </c>
      <c r="P560" s="26">
        <v>0</v>
      </c>
      <c r="Q560" s="26">
        <v>0</v>
      </c>
      <c r="R560" s="26">
        <v>0</v>
      </c>
      <c r="S560" s="26">
        <v>0</v>
      </c>
      <c r="T560" s="26">
        <v>0</v>
      </c>
      <c r="U560" s="26">
        <v>0</v>
      </c>
      <c r="V560" s="26">
        <v>0</v>
      </c>
      <c r="W560" s="14">
        <v>25750000</v>
      </c>
      <c r="X560" s="14"/>
      <c r="Y560" s="14"/>
      <c r="Z560" s="26">
        <v>0</v>
      </c>
      <c r="AA560" s="26"/>
      <c r="AB560" s="386">
        <v>0</v>
      </c>
      <c r="AC560" s="386">
        <v>0</v>
      </c>
      <c r="AD560" s="304"/>
      <c r="AE560" s="304"/>
      <c r="AF560" s="304"/>
      <c r="AG560" s="304"/>
      <c r="AH560" s="304"/>
      <c r="AI560" s="304"/>
      <c r="AJ560" s="386">
        <v>0</v>
      </c>
      <c r="AK560" s="386">
        <v>0</v>
      </c>
      <c r="AL560" s="595">
        <v>0</v>
      </c>
      <c r="AM560" s="596"/>
      <c r="AN560" s="386">
        <v>0</v>
      </c>
      <c r="AO560" s="348">
        <v>0</v>
      </c>
      <c r="AP560" s="26">
        <f>P560+Q560+R560+S560+T560+U560+V560+W560+X560+Y560+Z560+AA560+AB560+AC560+AD560+AE560+AF560+AG560+AH560+AI560+AJ560+AK560+AL560+AM560+AN560+AO560</f>
        <v>25750000</v>
      </c>
    </row>
    <row r="561" spans="1:42" s="196" customFormat="1" ht="84" customHeight="1" x14ac:dyDescent="0.25">
      <c r="A561" s="19"/>
      <c r="B561" s="20"/>
      <c r="C561" s="153">
        <v>33</v>
      </c>
      <c r="D561" s="625" t="s">
        <v>696</v>
      </c>
      <c r="E561" s="654">
        <v>0</v>
      </c>
      <c r="F561" s="133">
        <v>0</v>
      </c>
      <c r="G561" s="29"/>
      <c r="H561" s="152">
        <v>134</v>
      </c>
      <c r="I561" s="151" t="s">
        <v>697</v>
      </c>
      <c r="J561" s="54">
        <v>3600</v>
      </c>
      <c r="K561" s="603">
        <v>4800</v>
      </c>
      <c r="L561" s="877"/>
      <c r="M561" s="908"/>
      <c r="N561" s="894"/>
      <c r="O561" s="152" t="s">
        <v>44</v>
      </c>
      <c r="P561" s="26">
        <v>0</v>
      </c>
      <c r="Q561" s="26">
        <v>0</v>
      </c>
      <c r="R561" s="26">
        <v>0</v>
      </c>
      <c r="S561" s="26">
        <v>0</v>
      </c>
      <c r="T561" s="26">
        <v>0</v>
      </c>
      <c r="U561" s="26">
        <v>0</v>
      </c>
      <c r="V561" s="26">
        <v>0</v>
      </c>
      <c r="W561" s="14">
        <v>54000000</v>
      </c>
      <c r="X561" s="14"/>
      <c r="Y561" s="14"/>
      <c r="Z561" s="26">
        <v>0</v>
      </c>
      <c r="AA561" s="26"/>
      <c r="AB561" s="386">
        <v>0</v>
      </c>
      <c r="AC561" s="386">
        <v>0</v>
      </c>
      <c r="AD561" s="304"/>
      <c r="AE561" s="304"/>
      <c r="AF561" s="304"/>
      <c r="AG561" s="304"/>
      <c r="AH561" s="304"/>
      <c r="AI561" s="304"/>
      <c r="AJ561" s="386">
        <v>0</v>
      </c>
      <c r="AK561" s="386">
        <v>0</v>
      </c>
      <c r="AL561" s="595">
        <v>0</v>
      </c>
      <c r="AM561" s="596"/>
      <c r="AN561" s="386">
        <v>0</v>
      </c>
      <c r="AO561" s="348">
        <v>0</v>
      </c>
      <c r="AP561" s="26">
        <f>P561+Q561+R561+S561+T561+U561+V561+W561+X561+Y561+Z561+AA561+AB561+AC561+AD561+AE561+AF561+AG561+AH561+AI561+AJ561+AK561+AL561+AM561+AN561+AO561</f>
        <v>54000000</v>
      </c>
    </row>
    <row r="562" spans="1:42" s="196" customFormat="1" ht="84" customHeight="1" x14ac:dyDescent="0.25">
      <c r="A562" s="19"/>
      <c r="B562" s="20"/>
      <c r="C562" s="144">
        <v>31</v>
      </c>
      <c r="D562" s="151" t="s">
        <v>615</v>
      </c>
      <c r="E562" s="606">
        <v>0.249</v>
      </c>
      <c r="F562" s="81">
        <v>0.2</v>
      </c>
      <c r="G562" s="31"/>
      <c r="H562" s="152">
        <v>135</v>
      </c>
      <c r="I562" s="151" t="s">
        <v>698</v>
      </c>
      <c r="J562" s="54">
        <v>12</v>
      </c>
      <c r="K562" s="603">
        <v>12</v>
      </c>
      <c r="L562" s="887"/>
      <c r="M562" s="909"/>
      <c r="N562" s="895"/>
      <c r="O562" s="152" t="s">
        <v>44</v>
      </c>
      <c r="P562" s="26"/>
      <c r="Q562" s="26"/>
      <c r="R562" s="26"/>
      <c r="S562" s="26"/>
      <c r="T562" s="26"/>
      <c r="U562" s="26"/>
      <c r="V562" s="26"/>
      <c r="W562" s="14">
        <v>25750000</v>
      </c>
      <c r="X562" s="14"/>
      <c r="Y562" s="14"/>
      <c r="Z562" s="26"/>
      <c r="AA562" s="26"/>
      <c r="AB562" s="386"/>
      <c r="AC562" s="386"/>
      <c r="AD562" s="304"/>
      <c r="AE562" s="304"/>
      <c r="AF562" s="304"/>
      <c r="AG562" s="304"/>
      <c r="AH562" s="304"/>
      <c r="AI562" s="304"/>
      <c r="AJ562" s="386"/>
      <c r="AK562" s="386"/>
      <c r="AL562" s="595"/>
      <c r="AM562" s="596"/>
      <c r="AN562" s="386">
        <v>0</v>
      </c>
      <c r="AO562" s="108"/>
      <c r="AP562" s="26">
        <f>P562+Q562+R562+S562+T562+U562+V562+W562+X562+Y562+Z562+AA562+AB562+AC562+AD562+AE562+AF562+AG562+AH562+AI562+AJ562+AK562+AL562+AM562+AN562+AO562</f>
        <v>25750000</v>
      </c>
    </row>
    <row r="563" spans="1:42" s="196" customFormat="1" ht="15" x14ac:dyDescent="0.25">
      <c r="A563" s="19"/>
      <c r="B563" s="20"/>
      <c r="C563" s="150"/>
      <c r="D563" s="534"/>
      <c r="E563" s="401"/>
      <c r="F563" s="401"/>
      <c r="G563" s="191"/>
      <c r="H563" s="192"/>
      <c r="I563" s="191"/>
      <c r="J563" s="607"/>
      <c r="K563" s="607"/>
      <c r="L563" s="607"/>
      <c r="M563" s="194"/>
      <c r="N563" s="191"/>
      <c r="O563" s="192"/>
      <c r="P563" s="195">
        <f>SUM(P559:P562)</f>
        <v>0</v>
      </c>
      <c r="Q563" s="195">
        <f>SUM(Q559:Q562)</f>
        <v>0</v>
      </c>
      <c r="R563" s="195">
        <f>SUM(R559:R562)</f>
        <v>0</v>
      </c>
      <c r="S563" s="195">
        <f>SUM(S559:S562)</f>
        <v>0</v>
      </c>
      <c r="T563" s="195">
        <f>SUM(T559:T562)</f>
        <v>0</v>
      </c>
      <c r="U563" s="195">
        <f>SUM(U559:U562)</f>
        <v>0</v>
      </c>
      <c r="V563" s="195">
        <f>SUM(V559:V562)</f>
        <v>0</v>
      </c>
      <c r="W563" s="195">
        <f>SUM(W559:W562)</f>
        <v>148600000</v>
      </c>
      <c r="X563" s="195">
        <f>SUM(X559:X562)</f>
        <v>0</v>
      </c>
      <c r="Y563" s="195">
        <f>SUM(Y559:Y562)</f>
        <v>0</v>
      </c>
      <c r="Z563" s="195">
        <f>SUM(Z559:Z562)</f>
        <v>0</v>
      </c>
      <c r="AA563" s="195"/>
      <c r="AB563" s="195">
        <f>SUM(AB559:AB562)</f>
        <v>0</v>
      </c>
      <c r="AC563" s="195">
        <f>SUM(AC559:AC562)</f>
        <v>0</v>
      </c>
      <c r="AD563" s="195">
        <f>SUM(AD559:AD562)</f>
        <v>0</v>
      </c>
      <c r="AE563" s="195">
        <f>SUM(AE559:AE562)</f>
        <v>0</v>
      </c>
      <c r="AF563" s="195"/>
      <c r="AG563" s="195">
        <f>SUM(AG559:AG562)</f>
        <v>0</v>
      </c>
      <c r="AH563" s="195">
        <f>SUM(AH559:AH562)</f>
        <v>0</v>
      </c>
      <c r="AI563" s="195">
        <f>SUM(AI559:AI562)</f>
        <v>0</v>
      </c>
      <c r="AJ563" s="195">
        <f>SUM(AJ559:AJ562)</f>
        <v>0</v>
      </c>
      <c r="AK563" s="195">
        <f>SUM(AK559:AK562)</f>
        <v>0</v>
      </c>
      <c r="AL563" s="295">
        <f>SUM(AL559:AL562)</f>
        <v>0</v>
      </c>
      <c r="AM563" s="296"/>
      <c r="AN563" s="195">
        <f>SUM(AN559:AN562)</f>
        <v>0</v>
      </c>
      <c r="AO563" s="195">
        <f>SUM(AO559:AO562)</f>
        <v>0</v>
      </c>
      <c r="AP563" s="195">
        <f>SUM(AP559:AP562)</f>
        <v>148600000</v>
      </c>
    </row>
    <row r="564" spans="1:42" s="196" customFormat="1" ht="15" x14ac:dyDescent="0.25">
      <c r="A564" s="19"/>
      <c r="B564" s="20"/>
      <c r="C564" s="454"/>
      <c r="D564" s="214"/>
      <c r="E564" s="454"/>
      <c r="F564" s="454"/>
      <c r="G564" s="214"/>
      <c r="H564" s="454"/>
      <c r="I564" s="214"/>
      <c r="J564" s="454"/>
      <c r="K564" s="454"/>
      <c r="L564" s="153"/>
      <c r="M564" s="279"/>
      <c r="N564" s="265"/>
      <c r="O564" s="454"/>
      <c r="P564" s="217"/>
      <c r="Q564" s="217"/>
      <c r="R564" s="217"/>
      <c r="S564" s="217"/>
      <c r="T564" s="217"/>
      <c r="U564" s="217"/>
      <c r="V564" s="217"/>
      <c r="W564" s="217"/>
      <c r="X564" s="217"/>
      <c r="Y564" s="217"/>
      <c r="Z564" s="217"/>
      <c r="AA564" s="217"/>
      <c r="AB564" s="217"/>
      <c r="AC564" s="217"/>
      <c r="AD564" s="217"/>
      <c r="AE564" s="217"/>
      <c r="AF564" s="217"/>
      <c r="AG564" s="217"/>
      <c r="AH564" s="217"/>
      <c r="AI564" s="217"/>
      <c r="AJ564" s="217"/>
      <c r="AK564" s="217"/>
      <c r="AL564" s="219"/>
      <c r="AM564" s="220"/>
      <c r="AN564" s="217"/>
      <c r="AO564" s="217"/>
      <c r="AP564" s="238"/>
    </row>
    <row r="565" spans="1:42" s="196" customFormat="1" ht="15" x14ac:dyDescent="0.25">
      <c r="A565" s="19"/>
      <c r="B565" s="20"/>
      <c r="C565" s="454"/>
      <c r="D565" s="190"/>
      <c r="E565" s="708"/>
      <c r="F565" s="708"/>
      <c r="G565" s="410">
        <v>38</v>
      </c>
      <c r="H565" s="904" t="s">
        <v>699</v>
      </c>
      <c r="I565" s="904"/>
      <c r="J565" s="904"/>
      <c r="K565" s="904"/>
      <c r="L565" s="904"/>
      <c r="M565" s="904"/>
      <c r="N565" s="904"/>
      <c r="O565" s="904"/>
      <c r="P565" s="904"/>
      <c r="Q565" s="227"/>
      <c r="R565" s="227"/>
      <c r="S565" s="227"/>
      <c r="T565" s="227"/>
      <c r="U565" s="227"/>
      <c r="V565" s="227"/>
      <c r="W565" s="227"/>
      <c r="X565" s="227"/>
      <c r="Y565" s="227"/>
      <c r="Z565" s="227"/>
      <c r="AA565" s="227"/>
      <c r="AB565" s="227"/>
      <c r="AC565" s="227"/>
      <c r="AD565" s="227"/>
      <c r="AE565" s="227"/>
      <c r="AF565" s="227"/>
      <c r="AG565" s="227"/>
      <c r="AH565" s="227"/>
      <c r="AI565" s="227"/>
      <c r="AJ565" s="227"/>
      <c r="AK565" s="227"/>
      <c r="AL565" s="229"/>
      <c r="AM565" s="227"/>
      <c r="AN565" s="227"/>
      <c r="AO565" s="227"/>
      <c r="AP565" s="230"/>
    </row>
    <row r="566" spans="1:42" s="196" customFormat="1" ht="103.5" customHeight="1" x14ac:dyDescent="0.25">
      <c r="A566" s="19"/>
      <c r="B566" s="20"/>
      <c r="C566" s="920">
        <v>22</v>
      </c>
      <c r="D566" s="891" t="s">
        <v>609</v>
      </c>
      <c r="E566" s="891" t="s">
        <v>610</v>
      </c>
      <c r="F566" s="948" t="s">
        <v>611</v>
      </c>
      <c r="G566" s="608"/>
      <c r="H566" s="32">
        <v>136</v>
      </c>
      <c r="I566" s="151" t="s">
        <v>700</v>
      </c>
      <c r="J566" s="152" t="s">
        <v>36</v>
      </c>
      <c r="K566" s="609">
        <v>12</v>
      </c>
      <c r="L566" s="918" t="s">
        <v>676</v>
      </c>
      <c r="M566" s="907" t="s">
        <v>701</v>
      </c>
      <c r="N566" s="893" t="s">
        <v>702</v>
      </c>
      <c r="O566" s="152" t="s">
        <v>44</v>
      </c>
      <c r="P566" s="26">
        <v>0</v>
      </c>
      <c r="Q566" s="26">
        <v>0</v>
      </c>
      <c r="R566" s="26">
        <v>0</v>
      </c>
      <c r="S566" s="26">
        <v>0</v>
      </c>
      <c r="T566" s="26">
        <v>0</v>
      </c>
      <c r="U566" s="26">
        <v>0</v>
      </c>
      <c r="V566" s="26">
        <v>0</v>
      </c>
      <c r="W566" s="14">
        <v>55750000</v>
      </c>
      <c r="X566" s="14"/>
      <c r="Y566" s="14"/>
      <c r="Z566" s="386">
        <v>0</v>
      </c>
      <c r="AA566" s="386"/>
      <c r="AB566" s="386">
        <v>0</v>
      </c>
      <c r="AC566" s="386">
        <v>0</v>
      </c>
      <c r="AD566" s="304"/>
      <c r="AE566" s="304"/>
      <c r="AF566" s="304"/>
      <c r="AG566" s="304"/>
      <c r="AH566" s="304"/>
      <c r="AI566" s="304"/>
      <c r="AJ566" s="386">
        <v>0</v>
      </c>
      <c r="AK566" s="386">
        <v>0</v>
      </c>
      <c r="AL566" s="595">
        <v>0</v>
      </c>
      <c r="AM566" s="596"/>
      <c r="AN566" s="386">
        <v>0</v>
      </c>
      <c r="AO566" s="348">
        <v>0</v>
      </c>
      <c r="AP566" s="26">
        <f>P566+Q566+R566+S566+T566+U566+V566+W566+X566+Y566+Z566+AA566+AB566+AC566+AD566+AE566+AF566+AG566+AH566+AI566+AJ566+AK566+AL566+AM566+AN566+AO566</f>
        <v>55750000</v>
      </c>
    </row>
    <row r="567" spans="1:42" s="196" customFormat="1" ht="76.5" customHeight="1" x14ac:dyDescent="0.25">
      <c r="A567" s="19"/>
      <c r="B567" s="20"/>
      <c r="C567" s="921"/>
      <c r="D567" s="892"/>
      <c r="E567" s="892"/>
      <c r="F567" s="958"/>
      <c r="G567" s="451"/>
      <c r="H567" s="32">
        <v>137</v>
      </c>
      <c r="I567" s="151" t="s">
        <v>928</v>
      </c>
      <c r="J567" s="152">
        <v>0</v>
      </c>
      <c r="K567" s="609">
        <v>12</v>
      </c>
      <c r="L567" s="959"/>
      <c r="M567" s="908"/>
      <c r="N567" s="894"/>
      <c r="O567" s="152" t="s">
        <v>44</v>
      </c>
      <c r="P567" s="26">
        <v>0</v>
      </c>
      <c r="Q567" s="26">
        <v>0</v>
      </c>
      <c r="R567" s="26">
        <v>0</v>
      </c>
      <c r="S567" s="26">
        <v>0</v>
      </c>
      <c r="T567" s="26">
        <v>0</v>
      </c>
      <c r="U567" s="26">
        <v>0</v>
      </c>
      <c r="V567" s="26">
        <v>0</v>
      </c>
      <c r="W567" s="5">
        <v>41200000</v>
      </c>
      <c r="X567" s="14"/>
      <c r="Y567" s="14"/>
      <c r="Z567" s="386">
        <v>0</v>
      </c>
      <c r="AA567" s="386"/>
      <c r="AB567" s="386">
        <v>0</v>
      </c>
      <c r="AC567" s="386">
        <v>0</v>
      </c>
      <c r="AD567" s="304"/>
      <c r="AE567" s="304"/>
      <c r="AF567" s="304"/>
      <c r="AG567" s="304"/>
      <c r="AH567" s="304"/>
      <c r="AI567" s="304"/>
      <c r="AJ567" s="386">
        <v>0</v>
      </c>
      <c r="AK567" s="386">
        <v>0</v>
      </c>
      <c r="AL567" s="595">
        <v>0</v>
      </c>
      <c r="AM567" s="596"/>
      <c r="AN567" s="386">
        <v>0</v>
      </c>
      <c r="AO567" s="348">
        <v>0</v>
      </c>
      <c r="AP567" s="26">
        <f>P567+Q567+R567+S567+T567+U567+V567+W567+X567+Y567+Z567+AA567+AB567+AC567+AD567+AE567+AF567+AG567+AH567+AI567+AJ567+AK567+AL567+AM567+AN567+AO567</f>
        <v>41200000</v>
      </c>
    </row>
    <row r="568" spans="1:42" s="196" customFormat="1" ht="103.5" customHeight="1" x14ac:dyDescent="0.25">
      <c r="A568" s="19"/>
      <c r="B568" s="20"/>
      <c r="C568" s="922"/>
      <c r="D568" s="957"/>
      <c r="E568" s="957"/>
      <c r="F568" s="949"/>
      <c r="G568" s="451"/>
      <c r="H568" s="32">
        <v>138</v>
      </c>
      <c r="I568" s="151" t="s">
        <v>703</v>
      </c>
      <c r="J568" s="152" t="s">
        <v>36</v>
      </c>
      <c r="K568" s="32">
        <v>12</v>
      </c>
      <c r="L568" s="919"/>
      <c r="M568" s="909"/>
      <c r="N568" s="895"/>
      <c r="O568" s="152" t="s">
        <v>44</v>
      </c>
      <c r="P568" s="26">
        <v>0</v>
      </c>
      <c r="Q568" s="26">
        <v>0</v>
      </c>
      <c r="R568" s="26">
        <v>0</v>
      </c>
      <c r="S568" s="26">
        <v>0</v>
      </c>
      <c r="T568" s="26">
        <v>0</v>
      </c>
      <c r="U568" s="26">
        <v>0</v>
      </c>
      <c r="V568" s="26">
        <v>0</v>
      </c>
      <c r="W568" s="5">
        <v>25750000</v>
      </c>
      <c r="X568" s="14"/>
      <c r="Y568" s="14"/>
      <c r="Z568" s="386">
        <v>0</v>
      </c>
      <c r="AA568" s="386"/>
      <c r="AB568" s="386">
        <v>0</v>
      </c>
      <c r="AC568" s="386">
        <v>0</v>
      </c>
      <c r="AD568" s="304"/>
      <c r="AE568" s="304"/>
      <c r="AF568" s="304"/>
      <c r="AG568" s="304"/>
      <c r="AH568" s="304"/>
      <c r="AI568" s="304"/>
      <c r="AJ568" s="386">
        <v>0</v>
      </c>
      <c r="AK568" s="386">
        <v>0</v>
      </c>
      <c r="AL568" s="595">
        <v>0</v>
      </c>
      <c r="AM568" s="596"/>
      <c r="AN568" s="386">
        <v>0</v>
      </c>
      <c r="AO568" s="348">
        <v>0</v>
      </c>
      <c r="AP568" s="26">
        <f>P568+Q568+R568+S568+T568+U568+V568+W568+X568+Y568+Z568+AA568+AB568+AC568+AD568+AE568+AF568+AG568+AH568+AI568+AJ568+AK568+AL568+AM568+AN568+AO568</f>
        <v>25750000</v>
      </c>
    </row>
    <row r="569" spans="1:42" s="196" customFormat="1" ht="15" x14ac:dyDescent="0.25">
      <c r="A569" s="19"/>
      <c r="B569" s="20"/>
      <c r="C569" s="150"/>
      <c r="D569" s="190"/>
      <c r="E569" s="708"/>
      <c r="F569" s="708"/>
      <c r="G569" s="361"/>
      <c r="H569" s="380"/>
      <c r="I569" s="191"/>
      <c r="J569" s="192"/>
      <c r="K569" s="380"/>
      <c r="L569" s="380"/>
      <c r="M569" s="194"/>
      <c r="N569" s="437"/>
      <c r="O569" s="192"/>
      <c r="P569" s="195">
        <f>SUM(P566:P568)</f>
        <v>0</v>
      </c>
      <c r="Q569" s="195">
        <f>SUM(Q566:Q568)</f>
        <v>0</v>
      </c>
      <c r="R569" s="195">
        <f>SUM(R566:R568)</f>
        <v>0</v>
      </c>
      <c r="S569" s="195">
        <f>SUM(S566:S568)</f>
        <v>0</v>
      </c>
      <c r="T569" s="195">
        <f>SUM(T566:T568)</f>
        <v>0</v>
      </c>
      <c r="U569" s="195">
        <f>SUM(U566:U568)</f>
        <v>0</v>
      </c>
      <c r="V569" s="195">
        <f>SUM(V566:V568)</f>
        <v>0</v>
      </c>
      <c r="W569" s="195">
        <f>SUM(W566:W568)</f>
        <v>122700000</v>
      </c>
      <c r="X569" s="195"/>
      <c r="Y569" s="195"/>
      <c r="Z569" s="195">
        <f>SUM(Z566:Z568)</f>
        <v>0</v>
      </c>
      <c r="AA569" s="195"/>
      <c r="AB569" s="195">
        <f>SUM(AB566:AB568)</f>
        <v>0</v>
      </c>
      <c r="AC569" s="195">
        <f>SUM(AC566:AC568)</f>
        <v>0</v>
      </c>
      <c r="AD569" s="195">
        <f>SUM(AD566:AD568)</f>
        <v>0</v>
      </c>
      <c r="AE569" s="195">
        <f>SUM(AE566:AE568)</f>
        <v>0</v>
      </c>
      <c r="AF569" s="195"/>
      <c r="AG569" s="195">
        <f>SUM(AG566:AG568)</f>
        <v>0</v>
      </c>
      <c r="AH569" s="195">
        <f>SUM(AH566:AH568)</f>
        <v>0</v>
      </c>
      <c r="AI569" s="195">
        <f>SUM(AI566:AI568)</f>
        <v>0</v>
      </c>
      <c r="AJ569" s="195">
        <f>SUM(AJ566:AJ568)</f>
        <v>0</v>
      </c>
      <c r="AK569" s="195">
        <f>SUM(AK566:AK568)</f>
        <v>0</v>
      </c>
      <c r="AL569" s="295">
        <f>SUM(AL566:AL568)</f>
        <v>0</v>
      </c>
      <c r="AM569" s="195"/>
      <c r="AN569" s="195">
        <f>SUM(AN566:AN568)</f>
        <v>0</v>
      </c>
      <c r="AO569" s="195">
        <f>SUM(AO566:AO568)</f>
        <v>0</v>
      </c>
      <c r="AP569" s="195">
        <f>SUM(AP566:AP568)</f>
        <v>122700000</v>
      </c>
    </row>
    <row r="570" spans="1:42" s="196" customFormat="1" ht="15" x14ac:dyDescent="0.25">
      <c r="A570" s="19"/>
      <c r="B570" s="20"/>
      <c r="C570" s="454"/>
      <c r="D570" s="214"/>
      <c r="E570" s="454"/>
      <c r="F570" s="454"/>
      <c r="G570" s="214"/>
      <c r="H570" s="454"/>
      <c r="I570" s="214"/>
      <c r="J570" s="454"/>
      <c r="K570" s="454"/>
      <c r="L570" s="153"/>
      <c r="M570" s="279"/>
      <c r="N570" s="265"/>
      <c r="O570" s="454"/>
      <c r="P570" s="217"/>
      <c r="Q570" s="217"/>
      <c r="R570" s="217"/>
      <c r="S570" s="217"/>
      <c r="T570" s="217"/>
      <c r="U570" s="217"/>
      <c r="V570" s="217"/>
      <c r="W570" s="217"/>
      <c r="X570" s="217"/>
      <c r="Y570" s="217"/>
      <c r="Z570" s="217"/>
      <c r="AA570" s="217"/>
      <c r="AB570" s="217"/>
      <c r="AC570" s="217"/>
      <c r="AD570" s="217"/>
      <c r="AE570" s="217"/>
      <c r="AF570" s="217"/>
      <c r="AG570" s="217"/>
      <c r="AH570" s="217"/>
      <c r="AI570" s="217"/>
      <c r="AJ570" s="217"/>
      <c r="AK570" s="217"/>
      <c r="AL570" s="219"/>
      <c r="AM570" s="220"/>
      <c r="AN570" s="217"/>
      <c r="AO570" s="217"/>
      <c r="AP570" s="238"/>
    </row>
    <row r="571" spans="1:42" s="196" customFormat="1" x14ac:dyDescent="0.25">
      <c r="A571" s="19"/>
      <c r="B571" s="20"/>
      <c r="C571" s="454"/>
      <c r="D571" s="190"/>
      <c r="E571" s="708"/>
      <c r="F571" s="708"/>
      <c r="G571" s="410">
        <v>39</v>
      </c>
      <c r="H571" s="326" t="s">
        <v>704</v>
      </c>
      <c r="I571" s="227"/>
      <c r="J571" s="227"/>
      <c r="K571" s="227"/>
      <c r="L571" s="227"/>
      <c r="M571" s="228"/>
      <c r="N571" s="227"/>
      <c r="O571" s="227"/>
      <c r="P571" s="227"/>
      <c r="Q571" s="227"/>
      <c r="R571" s="227"/>
      <c r="S571" s="227"/>
      <c r="T571" s="227"/>
      <c r="U571" s="227"/>
      <c r="V571" s="227"/>
      <c r="W571" s="227"/>
      <c r="X571" s="227"/>
      <c r="Y571" s="227"/>
      <c r="Z571" s="227"/>
      <c r="AA571" s="227"/>
      <c r="AB571" s="227"/>
      <c r="AC571" s="227"/>
      <c r="AD571" s="227"/>
      <c r="AE571" s="227"/>
      <c r="AF571" s="227"/>
      <c r="AG571" s="227"/>
      <c r="AH571" s="227"/>
      <c r="AI571" s="227"/>
      <c r="AJ571" s="227"/>
      <c r="AK571" s="227"/>
      <c r="AL571" s="229"/>
      <c r="AM571" s="227"/>
      <c r="AN571" s="227"/>
      <c r="AO571" s="227"/>
      <c r="AP571" s="230"/>
    </row>
    <row r="572" spans="1:42" s="196" customFormat="1" ht="75" customHeight="1" x14ac:dyDescent="0.25">
      <c r="A572" s="19"/>
      <c r="B572" s="20"/>
      <c r="C572" s="143">
        <v>36</v>
      </c>
      <c r="D572" s="610" t="s">
        <v>705</v>
      </c>
      <c r="E572" s="611">
        <v>0.4</v>
      </c>
      <c r="F572" s="612">
        <v>0.6</v>
      </c>
      <c r="G572" s="877"/>
      <c r="H572" s="152">
        <v>139</v>
      </c>
      <c r="I572" s="151" t="s">
        <v>706</v>
      </c>
      <c r="J572" s="152">
        <v>0</v>
      </c>
      <c r="K572" s="815">
        <v>1</v>
      </c>
      <c r="L572" s="877"/>
      <c r="M572" s="907" t="s">
        <v>707</v>
      </c>
      <c r="N572" s="954" t="s">
        <v>708</v>
      </c>
      <c r="O572" s="152" t="s">
        <v>44</v>
      </c>
      <c r="P572" s="26"/>
      <c r="Q572" s="26"/>
      <c r="R572" s="26"/>
      <c r="S572" s="26"/>
      <c r="T572" s="26"/>
      <c r="U572" s="26"/>
      <c r="V572" s="26"/>
      <c r="W572" s="17">
        <v>92700000</v>
      </c>
      <c r="X572" s="18"/>
      <c r="Y572" s="18"/>
      <c r="Z572" s="386"/>
      <c r="AA572" s="386"/>
      <c r="AB572" s="386"/>
      <c r="AC572" s="386"/>
      <c r="AD572" s="304"/>
      <c r="AE572" s="304"/>
      <c r="AF572" s="304"/>
      <c r="AG572" s="304"/>
      <c r="AH572" s="304"/>
      <c r="AI572" s="304"/>
      <c r="AJ572" s="386"/>
      <c r="AK572" s="386"/>
      <c r="AL572" s="595"/>
      <c r="AM572" s="596"/>
      <c r="AN572" s="386"/>
      <c r="AO572" s="348"/>
      <c r="AP572" s="26">
        <f>P572+Q572+R572+S572+T572+U572+V572+W572+X572+Y572+Z572+AA572+AB572+AC572+AD572+AE572+AF572+AG572+AH572+AI572+AJ572+AK572+AL572+AM572+AN572+AO572</f>
        <v>92700000</v>
      </c>
    </row>
    <row r="573" spans="1:42" s="196" customFormat="1" ht="75" customHeight="1" x14ac:dyDescent="0.25">
      <c r="A573" s="19"/>
      <c r="B573" s="20"/>
      <c r="C573" s="876" t="s">
        <v>709</v>
      </c>
      <c r="D573" s="867" t="s">
        <v>710</v>
      </c>
      <c r="E573" s="950">
        <v>1</v>
      </c>
      <c r="F573" s="952">
        <v>1</v>
      </c>
      <c r="G573" s="877"/>
      <c r="H573" s="152">
        <v>140</v>
      </c>
      <c r="I573" s="151" t="s">
        <v>711</v>
      </c>
      <c r="J573" s="152">
        <v>1</v>
      </c>
      <c r="K573" s="815">
        <v>1</v>
      </c>
      <c r="L573" s="877"/>
      <c r="M573" s="908"/>
      <c r="N573" s="955"/>
      <c r="O573" s="152" t="s">
        <v>44</v>
      </c>
      <c r="P573" s="26">
        <v>0</v>
      </c>
      <c r="Q573" s="26">
        <v>0</v>
      </c>
      <c r="R573" s="26">
        <v>0</v>
      </c>
      <c r="S573" s="26">
        <v>0</v>
      </c>
      <c r="T573" s="26">
        <v>0</v>
      </c>
      <c r="U573" s="26">
        <v>0</v>
      </c>
      <c r="V573" s="26">
        <v>0</v>
      </c>
      <c r="W573" s="17">
        <v>25750000</v>
      </c>
      <c r="X573" s="18"/>
      <c r="Y573" s="18"/>
      <c r="Z573" s="386">
        <v>0</v>
      </c>
      <c r="AA573" s="386"/>
      <c r="AB573" s="386">
        <v>0</v>
      </c>
      <c r="AC573" s="386">
        <v>0</v>
      </c>
      <c r="AD573" s="304"/>
      <c r="AE573" s="304"/>
      <c r="AF573" s="304"/>
      <c r="AG573" s="304"/>
      <c r="AH573" s="304"/>
      <c r="AI573" s="304"/>
      <c r="AJ573" s="386">
        <v>0</v>
      </c>
      <c r="AK573" s="386">
        <v>0</v>
      </c>
      <c r="AL573" s="595">
        <v>0</v>
      </c>
      <c r="AM573" s="596"/>
      <c r="AN573" s="386">
        <v>0</v>
      </c>
      <c r="AO573" s="348">
        <v>0</v>
      </c>
      <c r="AP573" s="26">
        <f>P573+Q573+R573+S573+T573+U573+V573+W573+X573+Y573+Z573+AA573+AB573+AC573+AD573+AE573+AF573+AG573+AH573+AI573+AJ573+AK573+AL573+AM573+AN573+AO573</f>
        <v>25750000</v>
      </c>
    </row>
    <row r="574" spans="1:42" s="196" customFormat="1" ht="75" customHeight="1" x14ac:dyDescent="0.25">
      <c r="A574" s="19"/>
      <c r="B574" s="20"/>
      <c r="C574" s="887"/>
      <c r="D574" s="869"/>
      <c r="E574" s="951"/>
      <c r="F574" s="953"/>
      <c r="G574" s="887"/>
      <c r="H574" s="152">
        <v>141</v>
      </c>
      <c r="I574" s="151" t="s">
        <v>712</v>
      </c>
      <c r="J574" s="152" t="s">
        <v>36</v>
      </c>
      <c r="K574" s="815">
        <v>1</v>
      </c>
      <c r="L574" s="887"/>
      <c r="M574" s="909"/>
      <c r="N574" s="956"/>
      <c r="O574" s="152" t="s">
        <v>44</v>
      </c>
      <c r="P574" s="26">
        <v>0</v>
      </c>
      <c r="Q574" s="26">
        <v>0</v>
      </c>
      <c r="R574" s="26">
        <v>0</v>
      </c>
      <c r="S574" s="26">
        <v>0</v>
      </c>
      <c r="T574" s="26">
        <v>0</v>
      </c>
      <c r="U574" s="26">
        <v>0</v>
      </c>
      <c r="V574" s="26">
        <v>0</v>
      </c>
      <c r="W574" s="17">
        <v>25750000</v>
      </c>
      <c r="X574" s="18"/>
      <c r="Y574" s="18"/>
      <c r="Z574" s="386">
        <v>0</v>
      </c>
      <c r="AA574" s="386"/>
      <c r="AB574" s="386">
        <v>0</v>
      </c>
      <c r="AC574" s="386">
        <v>0</v>
      </c>
      <c r="AD574" s="304"/>
      <c r="AE574" s="304"/>
      <c r="AF574" s="304"/>
      <c r="AG574" s="304"/>
      <c r="AH574" s="304"/>
      <c r="AI574" s="304"/>
      <c r="AJ574" s="386">
        <v>0</v>
      </c>
      <c r="AK574" s="386">
        <v>0</v>
      </c>
      <c r="AL574" s="595">
        <v>0</v>
      </c>
      <c r="AM574" s="596"/>
      <c r="AN574" s="386">
        <v>0</v>
      </c>
      <c r="AO574" s="348">
        <v>0</v>
      </c>
      <c r="AP574" s="26">
        <f>P574+Q574+R574+S574+T574+U574+V574+W574+X574+Y574+Z574+AA574+AB574+AC574+AD574+AE574+AF574+AG574+AH574+AI574+AJ574+AK574+AL574+AM574+AN574+AO574</f>
        <v>25750000</v>
      </c>
    </row>
    <row r="575" spans="1:42" s="196" customFormat="1" ht="15" x14ac:dyDescent="0.25">
      <c r="A575" s="19"/>
      <c r="B575" s="20"/>
      <c r="C575" s="150"/>
      <c r="D575" s="190"/>
      <c r="E575" s="708"/>
      <c r="F575" s="708"/>
      <c r="G575" s="191"/>
      <c r="H575" s="192"/>
      <c r="I575" s="191"/>
      <c r="J575" s="192"/>
      <c r="K575" s="192"/>
      <c r="L575" s="192"/>
      <c r="M575" s="194"/>
      <c r="N575" s="191"/>
      <c r="O575" s="192"/>
      <c r="P575" s="195">
        <f>SUM(P572:P574)</f>
        <v>0</v>
      </c>
      <c r="Q575" s="195">
        <f>SUM(Q572:Q574)</f>
        <v>0</v>
      </c>
      <c r="R575" s="195">
        <f>SUM(R572:R574)</f>
        <v>0</v>
      </c>
      <c r="S575" s="195">
        <f>SUM(S572:S574)</f>
        <v>0</v>
      </c>
      <c r="T575" s="195">
        <f>SUM(T572:T574)</f>
        <v>0</v>
      </c>
      <c r="U575" s="195">
        <f>SUM(U572:U574)</f>
        <v>0</v>
      </c>
      <c r="V575" s="195">
        <f>SUM(V572:V574)</f>
        <v>0</v>
      </c>
      <c r="W575" s="195">
        <f>SUM(W572:W574)</f>
        <v>144200000</v>
      </c>
      <c r="X575" s="195"/>
      <c r="Y575" s="195"/>
      <c r="Z575" s="195">
        <f>SUM(Z572:Z574)</f>
        <v>0</v>
      </c>
      <c r="AA575" s="195"/>
      <c r="AB575" s="195">
        <f>SUM(AB572:AB574)</f>
        <v>0</v>
      </c>
      <c r="AC575" s="195">
        <f>SUM(AC572:AC574)</f>
        <v>0</v>
      </c>
      <c r="AD575" s="195">
        <f>SUM(AD572:AD574)</f>
        <v>0</v>
      </c>
      <c r="AE575" s="195">
        <f>SUM(AE572:AE574)</f>
        <v>0</v>
      </c>
      <c r="AF575" s="195"/>
      <c r="AG575" s="195">
        <f>SUM(AG572:AG574)</f>
        <v>0</v>
      </c>
      <c r="AH575" s="195">
        <f>SUM(AH572:AH574)</f>
        <v>0</v>
      </c>
      <c r="AI575" s="195">
        <f>SUM(AI572:AI574)</f>
        <v>0</v>
      </c>
      <c r="AJ575" s="195">
        <f>SUM(AJ572:AJ574)</f>
        <v>0</v>
      </c>
      <c r="AK575" s="195">
        <f>SUM(AK572:AK574)</f>
        <v>0</v>
      </c>
      <c r="AL575" s="295">
        <f>SUM(AL572:AL574)</f>
        <v>0</v>
      </c>
      <c r="AM575" s="195"/>
      <c r="AN575" s="195">
        <f>SUM(AN572:AN574)</f>
        <v>0</v>
      </c>
      <c r="AO575" s="195">
        <f>SUM(AO572:AO574)</f>
        <v>0</v>
      </c>
      <c r="AP575" s="195">
        <f>SUM(AP572:AP574)</f>
        <v>144200000</v>
      </c>
    </row>
    <row r="576" spans="1:42" s="196" customFormat="1" ht="15" x14ac:dyDescent="0.25">
      <c r="A576" s="19"/>
      <c r="B576" s="20"/>
      <c r="C576" s="454"/>
      <c r="D576" s="214"/>
      <c r="E576" s="454"/>
      <c r="F576" s="454"/>
      <c r="G576" s="214"/>
      <c r="H576" s="454"/>
      <c r="I576" s="214"/>
      <c r="J576" s="454"/>
      <c r="K576" s="454"/>
      <c r="L576" s="153"/>
      <c r="M576" s="279"/>
      <c r="N576" s="265"/>
      <c r="O576" s="454"/>
      <c r="P576" s="217"/>
      <c r="Q576" s="217"/>
      <c r="R576" s="217"/>
      <c r="S576" s="217"/>
      <c r="T576" s="217"/>
      <c r="U576" s="217"/>
      <c r="V576" s="217"/>
      <c r="W576" s="217"/>
      <c r="X576" s="217"/>
      <c r="Y576" s="217"/>
      <c r="Z576" s="217"/>
      <c r="AA576" s="217"/>
      <c r="AB576" s="217"/>
      <c r="AC576" s="217"/>
      <c r="AD576" s="217"/>
      <c r="AE576" s="217"/>
      <c r="AF576" s="217"/>
      <c r="AG576" s="217"/>
      <c r="AH576" s="217"/>
      <c r="AI576" s="217"/>
      <c r="AJ576" s="217"/>
      <c r="AK576" s="217"/>
      <c r="AL576" s="219"/>
      <c r="AM576" s="220"/>
      <c r="AN576" s="217"/>
      <c r="AO576" s="217"/>
      <c r="AP576" s="238"/>
    </row>
    <row r="577" spans="1:42" s="196" customFormat="1" ht="15" x14ac:dyDescent="0.25">
      <c r="A577" s="19"/>
      <c r="B577" s="20"/>
      <c r="C577" s="454"/>
      <c r="D577" s="190"/>
      <c r="E577" s="708"/>
      <c r="F577" s="708"/>
      <c r="G577" s="410">
        <v>40</v>
      </c>
      <c r="H577" s="227" t="s">
        <v>713</v>
      </c>
      <c r="I577" s="227"/>
      <c r="J577" s="227"/>
      <c r="K577" s="227"/>
      <c r="L577" s="227"/>
      <c r="M577" s="227"/>
      <c r="N577" s="227"/>
      <c r="O577" s="227"/>
      <c r="P577" s="227"/>
      <c r="Q577" s="227"/>
      <c r="R577" s="227"/>
      <c r="S577" s="227"/>
      <c r="T577" s="227"/>
      <c r="U577" s="227"/>
      <c r="V577" s="227"/>
      <c r="W577" s="227"/>
      <c r="X577" s="227"/>
      <c r="Y577" s="227"/>
      <c r="Z577" s="227"/>
      <c r="AA577" s="227"/>
      <c r="AB577" s="227"/>
      <c r="AC577" s="227"/>
      <c r="AD577" s="227"/>
      <c r="AE577" s="227"/>
      <c r="AF577" s="227"/>
      <c r="AG577" s="227"/>
      <c r="AH577" s="227"/>
      <c r="AI577" s="227"/>
      <c r="AJ577" s="227"/>
      <c r="AK577" s="227"/>
      <c r="AL577" s="229"/>
      <c r="AM577" s="227"/>
      <c r="AN577" s="227"/>
      <c r="AO577" s="227"/>
      <c r="AP577" s="230"/>
    </row>
    <row r="578" spans="1:42" s="196" customFormat="1" ht="93" customHeight="1" x14ac:dyDescent="0.25">
      <c r="A578" s="19"/>
      <c r="B578" s="20"/>
      <c r="C578" s="613">
        <v>26</v>
      </c>
      <c r="D578" s="614" t="s">
        <v>714</v>
      </c>
      <c r="E578" s="709" t="s">
        <v>715</v>
      </c>
      <c r="F578" s="709" t="s">
        <v>716</v>
      </c>
      <c r="G578" s="23"/>
      <c r="H578" s="150">
        <v>142</v>
      </c>
      <c r="I578" s="151" t="s">
        <v>717</v>
      </c>
      <c r="J578" s="152" t="s">
        <v>36</v>
      </c>
      <c r="K578" s="815">
        <v>12</v>
      </c>
      <c r="L578" s="876" t="s">
        <v>676</v>
      </c>
      <c r="M578" s="907" t="s">
        <v>718</v>
      </c>
      <c r="N578" s="893" t="s">
        <v>719</v>
      </c>
      <c r="O578" s="152" t="s">
        <v>44</v>
      </c>
      <c r="P578" s="26">
        <v>0</v>
      </c>
      <c r="Q578" s="26">
        <v>0</v>
      </c>
      <c r="R578" s="26">
        <v>0</v>
      </c>
      <c r="S578" s="26">
        <v>0</v>
      </c>
      <c r="T578" s="26">
        <v>0</v>
      </c>
      <c r="U578" s="26">
        <v>0</v>
      </c>
      <c r="V578" s="26">
        <v>0</v>
      </c>
      <c r="W578" s="5">
        <v>6147580</v>
      </c>
      <c r="X578" s="14"/>
      <c r="Y578" s="14"/>
      <c r="Z578" s="26">
        <v>56000000</v>
      </c>
      <c r="AA578" s="386"/>
      <c r="AB578" s="386">
        <v>0</v>
      </c>
      <c r="AC578" s="386">
        <v>0</v>
      </c>
      <c r="AD578" s="304"/>
      <c r="AE578" s="304"/>
      <c r="AF578" s="304"/>
      <c r="AG578" s="304"/>
      <c r="AH578" s="304"/>
      <c r="AI578" s="304"/>
      <c r="AJ578" s="386">
        <v>0</v>
      </c>
      <c r="AK578" s="386">
        <v>0</v>
      </c>
      <c r="AL578" s="595">
        <v>0</v>
      </c>
      <c r="AM578" s="596"/>
      <c r="AN578" s="386">
        <v>0</v>
      </c>
      <c r="AO578" s="60">
        <v>0</v>
      </c>
      <c r="AP578" s="26">
        <f>P578+Q578+R578+S578+T578+U578+V578+W578+X578+Y578+Z578+AA578+AB578+AC578+AD578+AE578+AF578+AG578+AH578+AI578+AJ578+AK578+AL578+AM578+AN578+AO578</f>
        <v>62147580</v>
      </c>
    </row>
    <row r="579" spans="1:42" s="196" customFormat="1" ht="90.75" customHeight="1" x14ac:dyDescent="0.25">
      <c r="A579" s="19"/>
      <c r="B579" s="20"/>
      <c r="C579" s="454">
        <v>30</v>
      </c>
      <c r="D579" s="616" t="s">
        <v>720</v>
      </c>
      <c r="E579" s="574" t="s">
        <v>721</v>
      </c>
      <c r="F579" s="574" t="s">
        <v>721</v>
      </c>
      <c r="G579" s="29"/>
      <c r="H579" s="150">
        <v>143</v>
      </c>
      <c r="I579" s="151" t="s">
        <v>722</v>
      </c>
      <c r="J579" s="152">
        <v>1</v>
      </c>
      <c r="K579" s="815">
        <v>1</v>
      </c>
      <c r="L579" s="887"/>
      <c r="M579" s="909"/>
      <c r="N579" s="895"/>
      <c r="O579" s="152" t="s">
        <v>44</v>
      </c>
      <c r="P579" s="26">
        <v>0</v>
      </c>
      <c r="Q579" s="26">
        <v>0</v>
      </c>
      <c r="R579" s="26">
        <v>0</v>
      </c>
      <c r="S579" s="26">
        <v>0</v>
      </c>
      <c r="T579" s="26">
        <v>0</v>
      </c>
      <c r="U579" s="26">
        <v>0</v>
      </c>
      <c r="V579" s="26">
        <v>0</v>
      </c>
      <c r="W579" s="5"/>
      <c r="X579" s="14"/>
      <c r="Y579" s="14"/>
      <c r="Z579" s="26">
        <v>20000000</v>
      </c>
      <c r="AA579" s="386"/>
      <c r="AB579" s="386">
        <v>0</v>
      </c>
      <c r="AC579" s="386">
        <v>0</v>
      </c>
      <c r="AD579" s="304"/>
      <c r="AE579" s="304"/>
      <c r="AF579" s="304"/>
      <c r="AG579" s="304"/>
      <c r="AH579" s="304"/>
      <c r="AI579" s="304"/>
      <c r="AJ579" s="386">
        <v>0</v>
      </c>
      <c r="AK579" s="386">
        <v>0</v>
      </c>
      <c r="AL579" s="595">
        <v>0</v>
      </c>
      <c r="AM579" s="596"/>
      <c r="AN579" s="386">
        <v>0</v>
      </c>
      <c r="AO579" s="348">
        <v>0</v>
      </c>
      <c r="AP579" s="26">
        <f>P579+Q579+R579+S579+T579+U579+V579+W579+X579+Y579+Z579+AA579+AB579+AC579+AD579+AE579+AF579+AG579+AH579+AI579+AJ579+AK579+AL579+AM579+AN579+AO579</f>
        <v>20000000</v>
      </c>
    </row>
    <row r="580" spans="1:42" s="28" customFormat="1" ht="98.25" customHeight="1" x14ac:dyDescent="0.25">
      <c r="A580" s="19"/>
      <c r="B580" s="20"/>
      <c r="C580" s="150" t="s">
        <v>709</v>
      </c>
      <c r="D580" s="138" t="s">
        <v>723</v>
      </c>
      <c r="E580" s="135">
        <v>10</v>
      </c>
      <c r="F580" s="135" t="s">
        <v>724</v>
      </c>
      <c r="G580" s="29"/>
      <c r="H580" s="150">
        <v>144</v>
      </c>
      <c r="I580" s="151" t="s">
        <v>725</v>
      </c>
      <c r="J580" s="152">
        <v>5</v>
      </c>
      <c r="K580" s="815">
        <v>5</v>
      </c>
      <c r="L580" s="876" t="s">
        <v>676</v>
      </c>
      <c r="M580" s="907" t="s">
        <v>726</v>
      </c>
      <c r="N580" s="894" t="s">
        <v>727</v>
      </c>
      <c r="O580" s="152" t="s">
        <v>44</v>
      </c>
      <c r="P580" s="26">
        <v>0</v>
      </c>
      <c r="Q580" s="26">
        <v>0</v>
      </c>
      <c r="R580" s="26">
        <v>0</v>
      </c>
      <c r="S580" s="26">
        <v>0</v>
      </c>
      <c r="T580" s="26">
        <v>0</v>
      </c>
      <c r="U580" s="26">
        <v>0</v>
      </c>
      <c r="V580" s="26">
        <v>0</v>
      </c>
      <c r="W580" s="14">
        <v>145101160</v>
      </c>
      <c r="X580" s="14"/>
      <c r="Y580" s="14"/>
      <c r="Z580" s="26">
        <v>24000000</v>
      </c>
      <c r="AA580" s="26"/>
      <c r="AB580" s="26">
        <v>0</v>
      </c>
      <c r="AC580" s="78"/>
      <c r="AD580" s="26"/>
      <c r="AE580" s="26"/>
      <c r="AF580" s="26"/>
      <c r="AG580" s="26"/>
      <c r="AH580" s="26"/>
      <c r="AI580" s="26"/>
      <c r="AJ580" s="26">
        <v>0</v>
      </c>
      <c r="AK580" s="26">
        <v>0</v>
      </c>
      <c r="AL580" s="113">
        <v>0</v>
      </c>
      <c r="AM580" s="39"/>
      <c r="AN580" s="26">
        <v>0</v>
      </c>
      <c r="AO580" s="26">
        <f>131211561+6400000+5263604+7383+60459865+66930000</f>
        <v>270272413</v>
      </c>
      <c r="AP580" s="26">
        <f>P580+Q580+R580+S580+T580+U580+V580+W580+X580+Y580+Z580+AA580+AB580+AC580+AD580+AE580+AF580+AG580+AH580+AI580+AJ580+AK580+AL580+AM580+AN580+AO580</f>
        <v>439373573</v>
      </c>
    </row>
    <row r="581" spans="1:42" s="196" customFormat="1" ht="91.5" customHeight="1" x14ac:dyDescent="0.25">
      <c r="A581" s="19"/>
      <c r="B581" s="20"/>
      <c r="C581" s="150" t="s">
        <v>709</v>
      </c>
      <c r="D581" s="151" t="s">
        <v>728</v>
      </c>
      <c r="E581" s="152" t="s">
        <v>729</v>
      </c>
      <c r="F581" s="81">
        <v>0.8</v>
      </c>
      <c r="G581" s="29"/>
      <c r="H581" s="150">
        <v>145</v>
      </c>
      <c r="I581" s="151" t="s">
        <v>730</v>
      </c>
      <c r="J581" s="40" t="s">
        <v>36</v>
      </c>
      <c r="K581" s="54">
        <v>1</v>
      </c>
      <c r="L581" s="887"/>
      <c r="M581" s="909"/>
      <c r="N581" s="895"/>
      <c r="O581" s="152" t="s">
        <v>44</v>
      </c>
      <c r="P581" s="26">
        <v>0</v>
      </c>
      <c r="Q581" s="26">
        <v>0</v>
      </c>
      <c r="R581" s="26">
        <v>0</v>
      </c>
      <c r="S581" s="26">
        <v>0</v>
      </c>
      <c r="T581" s="26">
        <v>0</v>
      </c>
      <c r="U581" s="26">
        <v>0</v>
      </c>
      <c r="V581" s="26">
        <v>0</v>
      </c>
      <c r="W581" s="14">
        <v>88395537.9969109</v>
      </c>
      <c r="X581" s="14"/>
      <c r="Y581" s="14"/>
      <c r="Z581" s="386">
        <v>0</v>
      </c>
      <c r="AA581" s="386"/>
      <c r="AB581" s="386">
        <v>0</v>
      </c>
      <c r="AC581" s="386">
        <v>0</v>
      </c>
      <c r="AD581" s="304"/>
      <c r="AE581" s="304"/>
      <c r="AF581" s="304"/>
      <c r="AG581" s="304"/>
      <c r="AH581" s="304"/>
      <c r="AI581" s="304"/>
      <c r="AJ581" s="386">
        <v>0</v>
      </c>
      <c r="AK581" s="386">
        <v>0</v>
      </c>
      <c r="AL581" s="595">
        <v>0</v>
      </c>
      <c r="AM581" s="596"/>
      <c r="AN581" s="386">
        <v>0</v>
      </c>
      <c r="AO581" s="348">
        <v>0</v>
      </c>
      <c r="AP581" s="26">
        <f>P581+Q581+R581+S581+T581+U581+V581+W581+X581+Y581+Z581+AA581+AB581+AC581+AD581+AE581+AF581+AG581+AH581+AI581+AJ581+AK581+AL581+AM581+AN581+AO581</f>
        <v>88395537.9969109</v>
      </c>
    </row>
    <row r="582" spans="1:42" s="196" customFormat="1" ht="86.25" customHeight="1" x14ac:dyDescent="0.25">
      <c r="A582" s="19"/>
      <c r="B582" s="20"/>
      <c r="C582" s="150" t="s">
        <v>709</v>
      </c>
      <c r="D582" s="151" t="s">
        <v>731</v>
      </c>
      <c r="E582" s="81">
        <v>0.68</v>
      </c>
      <c r="F582" s="81">
        <v>0.73</v>
      </c>
      <c r="G582" s="31"/>
      <c r="H582" s="150">
        <v>146</v>
      </c>
      <c r="I582" s="151" t="s">
        <v>732</v>
      </c>
      <c r="J582" s="152" t="s">
        <v>36</v>
      </c>
      <c r="K582" s="815">
        <v>1</v>
      </c>
      <c r="L582" s="152" t="s">
        <v>676</v>
      </c>
      <c r="M582" s="38" t="s">
        <v>733</v>
      </c>
      <c r="N582" s="151" t="s">
        <v>734</v>
      </c>
      <c r="O582" s="152" t="s">
        <v>44</v>
      </c>
      <c r="P582" s="26">
        <v>0</v>
      </c>
      <c r="Q582" s="26">
        <v>0</v>
      </c>
      <c r="R582" s="26">
        <v>0</v>
      </c>
      <c r="S582" s="26">
        <v>0</v>
      </c>
      <c r="T582" s="26">
        <v>0</v>
      </c>
      <c r="U582" s="26">
        <v>0</v>
      </c>
      <c r="V582" s="26">
        <v>0</v>
      </c>
      <c r="W582" s="5">
        <v>24590320</v>
      </c>
      <c r="X582" s="14"/>
      <c r="Y582" s="14"/>
      <c r="Z582" s="386">
        <v>0</v>
      </c>
      <c r="AA582" s="386"/>
      <c r="AB582" s="386">
        <v>0</v>
      </c>
      <c r="AC582" s="617">
        <v>61389691</v>
      </c>
      <c r="AD582" s="304"/>
      <c r="AE582" s="304"/>
      <c r="AF582" s="304"/>
      <c r="AG582" s="304"/>
      <c r="AH582" s="304"/>
      <c r="AI582" s="304"/>
      <c r="AJ582" s="386">
        <v>0</v>
      </c>
      <c r="AK582" s="386">
        <v>0</v>
      </c>
      <c r="AL582" s="595">
        <v>0</v>
      </c>
      <c r="AM582" s="596"/>
      <c r="AN582" s="386">
        <v>0</v>
      </c>
      <c r="AO582" s="27">
        <v>167667454</v>
      </c>
      <c r="AP582" s="26">
        <f>P582+Q582+R582+S582+T582+U582+V582+W582+X582+Y582+Z582+AA582+AB582+AC582+AD582+AE582+AF582+AG582+AH582+AI582+AJ582+AK582+AL582+AM582+AN582+AO582</f>
        <v>253647465</v>
      </c>
    </row>
    <row r="583" spans="1:42" s="196" customFormat="1" ht="15" x14ac:dyDescent="0.25">
      <c r="A583" s="19"/>
      <c r="B583" s="20"/>
      <c r="C583" s="150"/>
      <c r="D583" s="190"/>
      <c r="E583" s="708"/>
      <c r="F583" s="708"/>
      <c r="G583" s="191"/>
      <c r="H583" s="192"/>
      <c r="I583" s="191"/>
      <c r="J583" s="192"/>
      <c r="K583" s="192"/>
      <c r="L583" s="192"/>
      <c r="M583" s="194"/>
      <c r="N583" s="191"/>
      <c r="O583" s="192"/>
      <c r="P583" s="195">
        <f t="shared" ref="P583:AP583" si="203">SUM(P578:P582)</f>
        <v>0</v>
      </c>
      <c r="Q583" s="195">
        <f t="shared" si="203"/>
        <v>0</v>
      </c>
      <c r="R583" s="195">
        <f t="shared" si="203"/>
        <v>0</v>
      </c>
      <c r="S583" s="195">
        <f t="shared" si="203"/>
        <v>0</v>
      </c>
      <c r="T583" s="195">
        <f t="shared" si="203"/>
        <v>0</v>
      </c>
      <c r="U583" s="195">
        <f t="shared" si="203"/>
        <v>0</v>
      </c>
      <c r="V583" s="195">
        <f t="shared" si="203"/>
        <v>0</v>
      </c>
      <c r="W583" s="195">
        <f t="shared" si="203"/>
        <v>264234597.9969109</v>
      </c>
      <c r="X583" s="195"/>
      <c r="Y583" s="195"/>
      <c r="Z583" s="195">
        <f t="shared" si="203"/>
        <v>100000000</v>
      </c>
      <c r="AA583" s="195"/>
      <c r="AB583" s="195">
        <f t="shared" si="203"/>
        <v>0</v>
      </c>
      <c r="AC583" s="195">
        <f t="shared" si="203"/>
        <v>61389691</v>
      </c>
      <c r="AD583" s="195">
        <f t="shared" si="203"/>
        <v>0</v>
      </c>
      <c r="AE583" s="195">
        <f t="shared" si="203"/>
        <v>0</v>
      </c>
      <c r="AF583" s="195">
        <f t="shared" si="203"/>
        <v>0</v>
      </c>
      <c r="AG583" s="195">
        <f t="shared" si="203"/>
        <v>0</v>
      </c>
      <c r="AH583" s="195">
        <f t="shared" si="203"/>
        <v>0</v>
      </c>
      <c r="AI583" s="195">
        <f t="shared" si="203"/>
        <v>0</v>
      </c>
      <c r="AJ583" s="195">
        <f t="shared" si="203"/>
        <v>0</v>
      </c>
      <c r="AK583" s="195">
        <f t="shared" si="203"/>
        <v>0</v>
      </c>
      <c r="AL583" s="195">
        <f t="shared" si="203"/>
        <v>0</v>
      </c>
      <c r="AM583" s="195">
        <f t="shared" si="203"/>
        <v>0</v>
      </c>
      <c r="AN583" s="195">
        <f t="shared" si="203"/>
        <v>0</v>
      </c>
      <c r="AO583" s="195">
        <f t="shared" si="203"/>
        <v>437939867</v>
      </c>
      <c r="AP583" s="195">
        <f t="shared" si="203"/>
        <v>863564155.99691093</v>
      </c>
    </row>
    <row r="584" spans="1:42" s="196" customFormat="1" ht="15" x14ac:dyDescent="0.25">
      <c r="A584" s="19"/>
      <c r="B584" s="20"/>
      <c r="C584" s="454"/>
      <c r="D584" s="214"/>
      <c r="E584" s="454"/>
      <c r="F584" s="454"/>
      <c r="G584" s="214"/>
      <c r="H584" s="454"/>
      <c r="I584" s="214"/>
      <c r="J584" s="454"/>
      <c r="K584" s="454"/>
      <c r="L584" s="153"/>
      <c r="M584" s="279"/>
      <c r="N584" s="265"/>
      <c r="O584" s="454"/>
      <c r="P584" s="217"/>
      <c r="Q584" s="217"/>
      <c r="R584" s="217"/>
      <c r="S584" s="217"/>
      <c r="T584" s="217"/>
      <c r="U584" s="217"/>
      <c r="V584" s="217"/>
      <c r="W584" s="217"/>
      <c r="X584" s="217"/>
      <c r="Y584" s="217"/>
      <c r="Z584" s="217"/>
      <c r="AA584" s="217"/>
      <c r="AB584" s="217"/>
      <c r="AC584" s="217"/>
      <c r="AD584" s="217"/>
      <c r="AE584" s="217"/>
      <c r="AF584" s="217"/>
      <c r="AG584" s="217"/>
      <c r="AH584" s="217"/>
      <c r="AI584" s="217"/>
      <c r="AJ584" s="217"/>
      <c r="AK584" s="217"/>
      <c r="AL584" s="219"/>
      <c r="AM584" s="220"/>
      <c r="AN584" s="217"/>
      <c r="AO584" s="217"/>
      <c r="AP584" s="238"/>
    </row>
    <row r="585" spans="1:42" s="196" customFormat="1" ht="15" x14ac:dyDescent="0.25">
      <c r="A585" s="19"/>
      <c r="B585" s="20"/>
      <c r="C585" s="454"/>
      <c r="D585" s="190"/>
      <c r="E585" s="708"/>
      <c r="F585" s="708"/>
      <c r="G585" s="410">
        <v>41</v>
      </c>
      <c r="H585" s="904" t="s">
        <v>735</v>
      </c>
      <c r="I585" s="904"/>
      <c r="J585" s="904"/>
      <c r="K585" s="904"/>
      <c r="L585" s="904"/>
      <c r="M585" s="904"/>
      <c r="N585" s="904"/>
      <c r="O585" s="904"/>
      <c r="P585" s="904"/>
      <c r="Q585" s="227"/>
      <c r="R585" s="227"/>
      <c r="S585" s="227"/>
      <c r="T585" s="227"/>
      <c r="U585" s="227"/>
      <c r="V585" s="227"/>
      <c r="W585" s="227"/>
      <c r="X585" s="227"/>
      <c r="Y585" s="227"/>
      <c r="Z585" s="227"/>
      <c r="AA585" s="227"/>
      <c r="AB585" s="227"/>
      <c r="AC585" s="227"/>
      <c r="AD585" s="227"/>
      <c r="AE585" s="227"/>
      <c r="AF585" s="227"/>
      <c r="AG585" s="227"/>
      <c r="AH585" s="227"/>
      <c r="AI585" s="227"/>
      <c r="AJ585" s="227"/>
      <c r="AK585" s="227"/>
      <c r="AL585" s="229"/>
      <c r="AM585" s="227"/>
      <c r="AN585" s="227"/>
      <c r="AO585" s="227"/>
      <c r="AP585" s="230"/>
    </row>
    <row r="586" spans="1:42" s="196" customFormat="1" ht="51.75" customHeight="1" x14ac:dyDescent="0.25">
      <c r="A586" s="19"/>
      <c r="B586" s="20"/>
      <c r="C586" s="920">
        <v>28</v>
      </c>
      <c r="D586" s="944" t="s">
        <v>914</v>
      </c>
      <c r="E586" s="946">
        <v>0.5</v>
      </c>
      <c r="F586" s="946">
        <v>1</v>
      </c>
      <c r="G586" s="948"/>
      <c r="H586" s="150">
        <v>147</v>
      </c>
      <c r="I586" s="151" t="s">
        <v>736</v>
      </c>
      <c r="J586" s="152">
        <v>14</v>
      </c>
      <c r="K586" s="815">
        <v>14</v>
      </c>
      <c r="L586" s="876" t="s">
        <v>676</v>
      </c>
      <c r="M586" s="907" t="s">
        <v>737</v>
      </c>
      <c r="N586" s="893" t="s">
        <v>738</v>
      </c>
      <c r="O586" s="152" t="s">
        <v>44</v>
      </c>
      <c r="P586" s="26">
        <v>0</v>
      </c>
      <c r="Q586" s="26">
        <v>0</v>
      </c>
      <c r="R586" s="26">
        <v>0</v>
      </c>
      <c r="S586" s="26">
        <v>0</v>
      </c>
      <c r="T586" s="26">
        <v>0</v>
      </c>
      <c r="U586" s="26">
        <v>0</v>
      </c>
      <c r="V586" s="26">
        <v>0</v>
      </c>
      <c r="W586" s="5">
        <v>5150000</v>
      </c>
      <c r="X586" s="14"/>
      <c r="Y586" s="14"/>
      <c r="Z586" s="386">
        <v>0</v>
      </c>
      <c r="AA586" s="386"/>
      <c r="AB586" s="386">
        <v>0</v>
      </c>
      <c r="AC586" s="386">
        <v>0</v>
      </c>
      <c r="AD586" s="304"/>
      <c r="AE586" s="304"/>
      <c r="AF586" s="304"/>
      <c r="AG586" s="304"/>
      <c r="AH586" s="304"/>
      <c r="AI586" s="304"/>
      <c r="AJ586" s="386">
        <v>0</v>
      </c>
      <c r="AK586" s="386">
        <v>0</v>
      </c>
      <c r="AL586" s="595">
        <v>0</v>
      </c>
      <c r="AM586" s="596"/>
      <c r="AN586" s="386">
        <v>0</v>
      </c>
      <c r="AO586" s="348">
        <v>0</v>
      </c>
      <c r="AP586" s="26">
        <f>P586+Q586+R586+S586+T586+U586+V586+W586+X586+Y586+Z586+AA586+AB586+AC586+AD586+AE586+AF586+AG586+AH586+AI586+AJ586+AK586+AL586+AM586+AN586+AO586</f>
        <v>5150000</v>
      </c>
    </row>
    <row r="587" spans="1:42" s="196" customFormat="1" ht="62.25" customHeight="1" x14ac:dyDescent="0.25">
      <c r="A587" s="19"/>
      <c r="B587" s="20"/>
      <c r="C587" s="922"/>
      <c r="D587" s="945"/>
      <c r="E587" s="947"/>
      <c r="F587" s="947"/>
      <c r="G587" s="949"/>
      <c r="H587" s="150">
        <v>148</v>
      </c>
      <c r="I587" s="151" t="s">
        <v>739</v>
      </c>
      <c r="J587" s="152" t="s">
        <v>36</v>
      </c>
      <c r="K587" s="815">
        <v>11</v>
      </c>
      <c r="L587" s="887"/>
      <c r="M587" s="909"/>
      <c r="N587" s="895"/>
      <c r="O587" s="152" t="s">
        <v>44</v>
      </c>
      <c r="P587" s="26">
        <v>0</v>
      </c>
      <c r="Q587" s="26">
        <v>0</v>
      </c>
      <c r="R587" s="26">
        <v>0</v>
      </c>
      <c r="S587" s="26">
        <v>0</v>
      </c>
      <c r="T587" s="26">
        <v>0</v>
      </c>
      <c r="U587" s="26">
        <v>0</v>
      </c>
      <c r="V587" s="26">
        <v>0</v>
      </c>
      <c r="W587" s="5">
        <v>5150000</v>
      </c>
      <c r="X587" s="14"/>
      <c r="Y587" s="14"/>
      <c r="Z587" s="386">
        <v>0</v>
      </c>
      <c r="AA587" s="386"/>
      <c r="AB587" s="386">
        <v>0</v>
      </c>
      <c r="AC587" s="386">
        <v>0</v>
      </c>
      <c r="AD587" s="304"/>
      <c r="AE587" s="304"/>
      <c r="AF587" s="304"/>
      <c r="AG587" s="304"/>
      <c r="AH587" s="304"/>
      <c r="AI587" s="304"/>
      <c r="AJ587" s="386">
        <v>0</v>
      </c>
      <c r="AK587" s="386">
        <v>0</v>
      </c>
      <c r="AL587" s="595">
        <v>0</v>
      </c>
      <c r="AM587" s="596"/>
      <c r="AN587" s="386">
        <v>0</v>
      </c>
      <c r="AO587" s="348">
        <v>0</v>
      </c>
      <c r="AP587" s="26">
        <f>P587+Q587+R587+S587+T587+U587+V587+W587+X587+Y587+Z587+AA587+AB587+AC587+AD587+AE587+AF587+AG587+AH587+AI587+AJ587+AK587+AL587+AM587+AN587+AO587</f>
        <v>5150000</v>
      </c>
    </row>
    <row r="588" spans="1:42" s="196" customFormat="1" ht="15" x14ac:dyDescent="0.25">
      <c r="A588" s="19"/>
      <c r="B588" s="20"/>
      <c r="C588" s="150"/>
      <c r="D588" s="190"/>
      <c r="E588" s="708"/>
      <c r="F588" s="708"/>
      <c r="G588" s="191"/>
      <c r="H588" s="192"/>
      <c r="I588" s="191"/>
      <c r="J588" s="192"/>
      <c r="K588" s="192"/>
      <c r="L588" s="192"/>
      <c r="M588" s="194"/>
      <c r="N588" s="191"/>
      <c r="O588" s="192"/>
      <c r="P588" s="195">
        <f>SUM(P586:P587)</f>
        <v>0</v>
      </c>
      <c r="Q588" s="195">
        <f>SUM(Q586:Q587)</f>
        <v>0</v>
      </c>
      <c r="R588" s="195">
        <f>SUM(R586:R587)</f>
        <v>0</v>
      </c>
      <c r="S588" s="195">
        <f>SUM(S586:S587)</f>
        <v>0</v>
      </c>
      <c r="T588" s="195">
        <f>SUM(T586:T587)</f>
        <v>0</v>
      </c>
      <c r="U588" s="195">
        <f>SUM(U586:U587)</f>
        <v>0</v>
      </c>
      <c r="V588" s="195">
        <f>SUM(V586:V587)</f>
        <v>0</v>
      </c>
      <c r="W588" s="195">
        <f>SUM(W586:W587)</f>
        <v>10300000</v>
      </c>
      <c r="X588" s="195"/>
      <c r="Y588" s="195"/>
      <c r="Z588" s="195">
        <f>SUM(Z586:Z587)</f>
        <v>0</v>
      </c>
      <c r="AA588" s="195"/>
      <c r="AB588" s="195">
        <f>SUM(AB586:AB587)</f>
        <v>0</v>
      </c>
      <c r="AC588" s="195">
        <f>SUM(AC586:AC587)</f>
        <v>0</v>
      </c>
      <c r="AD588" s="195">
        <f>SUM(AD586:AD587)</f>
        <v>0</v>
      </c>
      <c r="AE588" s="195">
        <f>SUM(AE586:AE587)</f>
        <v>0</v>
      </c>
      <c r="AF588" s="195"/>
      <c r="AG588" s="195">
        <f>SUM(AG586:AG587)</f>
        <v>0</v>
      </c>
      <c r="AH588" s="195">
        <f>SUM(AH586:AH587)</f>
        <v>0</v>
      </c>
      <c r="AI588" s="195">
        <f>SUM(AI586:AI587)</f>
        <v>0</v>
      </c>
      <c r="AJ588" s="195">
        <f>SUM(AJ586:AJ587)</f>
        <v>0</v>
      </c>
      <c r="AK588" s="195">
        <f>SUM(AK586:AK587)</f>
        <v>0</v>
      </c>
      <c r="AL588" s="295">
        <f>SUM(AL586:AL587)</f>
        <v>0</v>
      </c>
      <c r="AM588" s="195"/>
      <c r="AN588" s="195">
        <f>SUM(AN586:AN587)</f>
        <v>0</v>
      </c>
      <c r="AO588" s="195">
        <f>SUM(AO586:AO587)</f>
        <v>0</v>
      </c>
      <c r="AP588" s="195">
        <f>SUM(AP586:AP587)</f>
        <v>10300000</v>
      </c>
    </row>
    <row r="589" spans="1:42" s="196" customFormat="1" ht="15" x14ac:dyDescent="0.25">
      <c r="A589" s="19"/>
      <c r="B589" s="20"/>
      <c r="C589" s="454"/>
      <c r="D589" s="214"/>
      <c r="E589" s="454"/>
      <c r="F589" s="454"/>
      <c r="G589" s="214"/>
      <c r="H589" s="454"/>
      <c r="I589" s="214"/>
      <c r="J589" s="454"/>
      <c r="K589" s="454"/>
      <c r="L589" s="153"/>
      <c r="M589" s="279"/>
      <c r="N589" s="265"/>
      <c r="O589" s="454"/>
      <c r="P589" s="217"/>
      <c r="Q589" s="217"/>
      <c r="R589" s="217"/>
      <c r="S589" s="217"/>
      <c r="T589" s="217"/>
      <c r="U589" s="217"/>
      <c r="V589" s="217"/>
      <c r="W589" s="217"/>
      <c r="X589" s="217"/>
      <c r="Y589" s="217"/>
      <c r="Z589" s="217"/>
      <c r="AA589" s="217"/>
      <c r="AB589" s="217"/>
      <c r="AC589" s="217"/>
      <c r="AD589" s="217"/>
      <c r="AE589" s="217"/>
      <c r="AF589" s="217"/>
      <c r="AG589" s="217"/>
      <c r="AH589" s="217"/>
      <c r="AI589" s="217"/>
      <c r="AJ589" s="217"/>
      <c r="AK589" s="217"/>
      <c r="AL589" s="219"/>
      <c r="AM589" s="220"/>
      <c r="AN589" s="217"/>
      <c r="AO589" s="217"/>
      <c r="AP589" s="238"/>
    </row>
    <row r="590" spans="1:42" s="196" customFormat="1" ht="15" x14ac:dyDescent="0.25">
      <c r="A590" s="19"/>
      <c r="B590" s="20"/>
      <c r="C590" s="454"/>
      <c r="D590" s="190"/>
      <c r="E590" s="708"/>
      <c r="F590" s="708"/>
      <c r="G590" s="410">
        <v>42</v>
      </c>
      <c r="H590" s="904" t="s">
        <v>740</v>
      </c>
      <c r="I590" s="904"/>
      <c r="J590" s="904"/>
      <c r="K590" s="904"/>
      <c r="L590" s="904"/>
      <c r="M590" s="904"/>
      <c r="N590" s="904"/>
      <c r="O590" s="904"/>
      <c r="P590" s="227"/>
      <c r="Q590" s="227"/>
      <c r="R590" s="227"/>
      <c r="S590" s="227"/>
      <c r="T590" s="227"/>
      <c r="U590" s="227"/>
      <c r="V590" s="227"/>
      <c r="W590" s="227"/>
      <c r="X590" s="227"/>
      <c r="Y590" s="227"/>
      <c r="Z590" s="227"/>
      <c r="AA590" s="227"/>
      <c r="AB590" s="227"/>
      <c r="AC590" s="227"/>
      <c r="AD590" s="227"/>
      <c r="AE590" s="227"/>
      <c r="AF590" s="227"/>
      <c r="AG590" s="227"/>
      <c r="AH590" s="227"/>
      <c r="AI590" s="227"/>
      <c r="AJ590" s="227"/>
      <c r="AK590" s="227"/>
      <c r="AL590" s="229"/>
      <c r="AM590" s="227"/>
      <c r="AN590" s="227"/>
      <c r="AO590" s="227"/>
      <c r="AP590" s="230"/>
    </row>
    <row r="591" spans="1:42" s="196" customFormat="1" ht="66" customHeight="1" x14ac:dyDescent="0.25">
      <c r="A591" s="19"/>
      <c r="B591" s="20"/>
      <c r="C591" s="133" t="s">
        <v>709</v>
      </c>
      <c r="D591" s="88" t="s">
        <v>741</v>
      </c>
      <c r="E591" s="88" t="s">
        <v>742</v>
      </c>
      <c r="F591" s="88" t="s">
        <v>743</v>
      </c>
      <c r="G591" s="942"/>
      <c r="H591" s="32">
        <v>149</v>
      </c>
      <c r="I591" s="151" t="s">
        <v>744</v>
      </c>
      <c r="J591" s="152" t="s">
        <v>36</v>
      </c>
      <c r="K591" s="815">
        <v>8</v>
      </c>
      <c r="L591" s="876" t="s">
        <v>676</v>
      </c>
      <c r="M591" s="907" t="s">
        <v>745</v>
      </c>
      <c r="N591" s="894" t="s">
        <v>746</v>
      </c>
      <c r="O591" s="152" t="s">
        <v>44</v>
      </c>
      <c r="P591" s="26"/>
      <c r="Q591" s="26"/>
      <c r="R591" s="26"/>
      <c r="S591" s="26"/>
      <c r="T591" s="26"/>
      <c r="U591" s="26"/>
      <c r="V591" s="26"/>
      <c r="W591" s="5">
        <v>38625000</v>
      </c>
      <c r="X591" s="14"/>
      <c r="Y591" s="14"/>
      <c r="Z591" s="26"/>
      <c r="AA591" s="26"/>
      <c r="AB591" s="26"/>
      <c r="AC591" s="26"/>
      <c r="AD591" s="304"/>
      <c r="AE591" s="304"/>
      <c r="AF591" s="304"/>
      <c r="AG591" s="304"/>
      <c r="AH591" s="304"/>
      <c r="AI591" s="304"/>
      <c r="AJ591" s="26"/>
      <c r="AK591" s="26"/>
      <c r="AL591" s="595"/>
      <c r="AM591" s="596"/>
      <c r="AN591" s="386"/>
      <c r="AO591" s="348"/>
      <c r="AP591" s="26">
        <f>P591+Q591+R591+S591+T591+U591+V591+W591+X591+Y591+Z591+AA591+AB591+AC591+AD591+AE591+AF591+AG591+AH591+AI591+AJ591+AK591+AL591+AM591+AN591+AO591</f>
        <v>38625000</v>
      </c>
    </row>
    <row r="592" spans="1:42" s="196" customFormat="1" ht="95.25" customHeight="1" x14ac:dyDescent="0.25">
      <c r="A592" s="19"/>
      <c r="B592" s="20"/>
      <c r="C592" s="152">
        <v>28</v>
      </c>
      <c r="D592" s="88" t="s">
        <v>747</v>
      </c>
      <c r="E592" s="81">
        <v>0.5</v>
      </c>
      <c r="F592" s="81">
        <v>1</v>
      </c>
      <c r="G592" s="943"/>
      <c r="H592" s="32">
        <v>150</v>
      </c>
      <c r="I592" s="151" t="s">
        <v>748</v>
      </c>
      <c r="J592" s="152">
        <v>0</v>
      </c>
      <c r="K592" s="815">
        <v>14</v>
      </c>
      <c r="L592" s="887"/>
      <c r="M592" s="909"/>
      <c r="N592" s="895"/>
      <c r="O592" s="152" t="s">
        <v>44</v>
      </c>
      <c r="P592" s="26">
        <v>0</v>
      </c>
      <c r="Q592" s="26">
        <v>0</v>
      </c>
      <c r="R592" s="26">
        <v>0</v>
      </c>
      <c r="S592" s="26">
        <v>0</v>
      </c>
      <c r="T592" s="26">
        <v>0</v>
      </c>
      <c r="U592" s="26">
        <v>0</v>
      </c>
      <c r="V592" s="26">
        <v>0</v>
      </c>
      <c r="W592" s="5">
        <v>12875000</v>
      </c>
      <c r="X592" s="14"/>
      <c r="Y592" s="14"/>
      <c r="Z592" s="26">
        <v>0</v>
      </c>
      <c r="AA592" s="26"/>
      <c r="AB592" s="26">
        <v>0</v>
      </c>
      <c r="AC592" s="26">
        <v>0</v>
      </c>
      <c r="AD592" s="304"/>
      <c r="AE592" s="304"/>
      <c r="AF592" s="304"/>
      <c r="AG592" s="304"/>
      <c r="AH592" s="304"/>
      <c r="AI592" s="304"/>
      <c r="AJ592" s="26">
        <v>0</v>
      </c>
      <c r="AK592" s="26">
        <v>0</v>
      </c>
      <c r="AL592" s="595">
        <v>0</v>
      </c>
      <c r="AM592" s="596"/>
      <c r="AN592" s="386">
        <v>0</v>
      </c>
      <c r="AO592" s="348">
        <v>0</v>
      </c>
      <c r="AP592" s="26">
        <f>P592+Q592+R592+S592+T592+U592+V592+W592+X592+Y592+Z592+AA592+AB592+AC592+AD592+AE592+AF592+AG592+AH592+AI592+AJ592+AK592+AL592+AM592+AN592+AO592</f>
        <v>12875000</v>
      </c>
    </row>
    <row r="593" spans="1:42" s="196" customFormat="1" ht="15" x14ac:dyDescent="0.25">
      <c r="A593" s="19"/>
      <c r="B593" s="20"/>
      <c r="C593" s="150"/>
      <c r="D593" s="151"/>
      <c r="E593" s="152"/>
      <c r="F593" s="152"/>
      <c r="G593" s="361"/>
      <c r="H593" s="380"/>
      <c r="I593" s="191"/>
      <c r="J593" s="192"/>
      <c r="K593" s="192"/>
      <c r="L593" s="192"/>
      <c r="M593" s="194"/>
      <c r="N593" s="191"/>
      <c r="O593" s="192"/>
      <c r="P593" s="195">
        <f>SUM(P591:P592)</f>
        <v>0</v>
      </c>
      <c r="Q593" s="195">
        <f>SUM(Q591:Q592)</f>
        <v>0</v>
      </c>
      <c r="R593" s="195">
        <f>SUM(R591:R592)</f>
        <v>0</v>
      </c>
      <c r="S593" s="195">
        <f>SUM(S591:S592)</f>
        <v>0</v>
      </c>
      <c r="T593" s="195">
        <f>SUM(T591:T592)</f>
        <v>0</v>
      </c>
      <c r="U593" s="195">
        <f>SUM(U591:U592)</f>
        <v>0</v>
      </c>
      <c r="V593" s="195">
        <f>SUM(V591:V592)</f>
        <v>0</v>
      </c>
      <c r="W593" s="195">
        <f>SUM(W591:W592)</f>
        <v>51500000</v>
      </c>
      <c r="X593" s="195"/>
      <c r="Y593" s="195"/>
      <c r="Z593" s="195">
        <f>SUM(Z591:Z592)</f>
        <v>0</v>
      </c>
      <c r="AA593" s="195"/>
      <c r="AB593" s="195">
        <f>SUM(AB591:AB592)</f>
        <v>0</v>
      </c>
      <c r="AC593" s="195">
        <f>SUM(AC591:AC592)</f>
        <v>0</v>
      </c>
      <c r="AD593" s="195">
        <f>SUM(AD591:AD592)</f>
        <v>0</v>
      </c>
      <c r="AE593" s="195">
        <f>SUM(AE591:AE592)</f>
        <v>0</v>
      </c>
      <c r="AF593" s="195"/>
      <c r="AG593" s="195">
        <f>SUM(AG591:AG592)</f>
        <v>0</v>
      </c>
      <c r="AH593" s="195">
        <f>SUM(AH591:AH592)</f>
        <v>0</v>
      </c>
      <c r="AI593" s="195">
        <f>SUM(AI591:AI592)</f>
        <v>0</v>
      </c>
      <c r="AJ593" s="195">
        <f>SUM(AJ591:AJ592)</f>
        <v>0</v>
      </c>
      <c r="AK593" s="195">
        <f>SUM(AK591:AK592)</f>
        <v>0</v>
      </c>
      <c r="AL593" s="295">
        <f>SUM(AL591:AL592)</f>
        <v>0</v>
      </c>
      <c r="AM593" s="195"/>
      <c r="AN593" s="195">
        <f>SUM(AN591:AN592)</f>
        <v>0</v>
      </c>
      <c r="AO593" s="195">
        <f>SUM(AO591:AO592)</f>
        <v>0</v>
      </c>
      <c r="AP593" s="195">
        <f>SUM(AP591:AP592)</f>
        <v>51500000</v>
      </c>
    </row>
    <row r="594" spans="1:42" s="196" customFormat="1" ht="15" x14ac:dyDescent="0.25">
      <c r="A594" s="19"/>
      <c r="B594" s="20"/>
      <c r="C594" s="454"/>
      <c r="D594" s="214"/>
      <c r="E594" s="454"/>
      <c r="F594" s="454"/>
      <c r="G594" s="214"/>
      <c r="H594" s="454"/>
      <c r="I594" s="214"/>
      <c r="J594" s="454"/>
      <c r="K594" s="454"/>
      <c r="L594" s="153"/>
      <c r="M594" s="279"/>
      <c r="N594" s="265"/>
      <c r="O594" s="454"/>
      <c r="P594" s="217"/>
      <c r="Q594" s="217"/>
      <c r="R594" s="217"/>
      <c r="S594" s="217"/>
      <c r="T594" s="217"/>
      <c r="U594" s="217"/>
      <c r="V594" s="217"/>
      <c r="W594" s="217"/>
      <c r="X594" s="217"/>
      <c r="Y594" s="217"/>
      <c r="Z594" s="217"/>
      <c r="AA594" s="217"/>
      <c r="AB594" s="217"/>
      <c r="AC594" s="217"/>
      <c r="AD594" s="217"/>
      <c r="AE594" s="217"/>
      <c r="AF594" s="217"/>
      <c r="AG594" s="217"/>
      <c r="AH594" s="217"/>
      <c r="AI594" s="217"/>
      <c r="AJ594" s="217"/>
      <c r="AK594" s="217"/>
      <c r="AL594" s="219"/>
      <c r="AM594" s="220"/>
      <c r="AN594" s="217"/>
      <c r="AO594" s="217"/>
      <c r="AP594" s="238"/>
    </row>
    <row r="595" spans="1:42" s="196" customFormat="1" ht="15" x14ac:dyDescent="0.25">
      <c r="A595" s="19"/>
      <c r="B595" s="19"/>
      <c r="C595" s="133"/>
      <c r="D595" s="530"/>
      <c r="E595" s="398"/>
      <c r="F595" s="398"/>
      <c r="G595" s="410">
        <v>43</v>
      </c>
      <c r="H595" s="904" t="s">
        <v>749</v>
      </c>
      <c r="I595" s="904"/>
      <c r="J595" s="904"/>
      <c r="K595" s="904"/>
      <c r="L595" s="904"/>
      <c r="M595" s="904"/>
      <c r="N595" s="904"/>
      <c r="O595" s="904"/>
      <c r="P595" s="904"/>
      <c r="Q595" s="227"/>
      <c r="R595" s="227"/>
      <c r="S595" s="227"/>
      <c r="T595" s="227"/>
      <c r="U595" s="227"/>
      <c r="V595" s="227"/>
      <c r="W595" s="227"/>
      <c r="X595" s="227"/>
      <c r="Y595" s="227"/>
      <c r="Z595" s="227"/>
      <c r="AA595" s="227"/>
      <c r="AB595" s="227"/>
      <c r="AC595" s="227"/>
      <c r="AD595" s="227"/>
      <c r="AE595" s="227"/>
      <c r="AF595" s="227"/>
      <c r="AG595" s="227"/>
      <c r="AH595" s="227"/>
      <c r="AI595" s="227"/>
      <c r="AJ595" s="227"/>
      <c r="AK595" s="227"/>
      <c r="AL595" s="229"/>
      <c r="AM595" s="227"/>
      <c r="AN595" s="227"/>
      <c r="AO595" s="227"/>
      <c r="AP595" s="230"/>
    </row>
    <row r="596" spans="1:42" s="196" customFormat="1" ht="111" customHeight="1" x14ac:dyDescent="0.25">
      <c r="A596" s="19"/>
      <c r="B596" s="19"/>
      <c r="C596" s="134" t="s">
        <v>709</v>
      </c>
      <c r="D596" s="877" t="s">
        <v>750</v>
      </c>
      <c r="E596" s="937">
        <v>0</v>
      </c>
      <c r="F596" s="937">
        <v>1</v>
      </c>
      <c r="G596" s="864"/>
      <c r="H596" s="152">
        <v>151</v>
      </c>
      <c r="I596" s="151" t="s">
        <v>751</v>
      </c>
      <c r="J596" s="152" t="s">
        <v>36</v>
      </c>
      <c r="K596" s="815">
        <v>12</v>
      </c>
      <c r="L596" s="876" t="s">
        <v>676</v>
      </c>
      <c r="M596" s="939" t="s">
        <v>752</v>
      </c>
      <c r="N596" s="876" t="s">
        <v>753</v>
      </c>
      <c r="O596" s="58" t="s">
        <v>44</v>
      </c>
      <c r="P596" s="26">
        <v>0</v>
      </c>
      <c r="Q596" s="26">
        <v>0</v>
      </c>
      <c r="R596" s="26">
        <v>0</v>
      </c>
      <c r="S596" s="26">
        <v>0</v>
      </c>
      <c r="T596" s="26">
        <v>0</v>
      </c>
      <c r="U596" s="26">
        <v>0</v>
      </c>
      <c r="V596" s="26">
        <v>0</v>
      </c>
      <c r="W596" s="111">
        <v>120837740</v>
      </c>
      <c r="X596" s="111"/>
      <c r="Y596" s="111"/>
      <c r="Z596" s="26">
        <v>0</v>
      </c>
      <c r="AA596" s="26"/>
      <c r="AB596" s="304">
        <f>5339423-5339423</f>
        <v>0</v>
      </c>
      <c r="AC596" s="26">
        <v>0</v>
      </c>
      <c r="AD596" s="304"/>
      <c r="AE596" s="304"/>
      <c r="AF596" s="304"/>
      <c r="AG596" s="304"/>
      <c r="AH596" s="304"/>
      <c r="AI596" s="304"/>
      <c r="AJ596" s="26">
        <v>0</v>
      </c>
      <c r="AK596" s="26"/>
      <c r="AL596" s="117">
        <v>100000000</v>
      </c>
      <c r="AM596" s="5"/>
      <c r="AN596" s="26">
        <v>0</v>
      </c>
      <c r="AO596" s="618"/>
      <c r="AP596" s="26">
        <f>P596+Q596+R596+S596+T596+U596+V596+W596+X596+Y596+Z596+AA596+AB596+AC596+AD596+AE596+AF596+AG596+AH596+AI596+AJ596+AK596+AL596+AM596+AN596+AO596</f>
        <v>220837740</v>
      </c>
    </row>
    <row r="597" spans="1:42" s="196" customFormat="1" ht="85.5" customHeight="1" x14ac:dyDescent="0.25">
      <c r="A597" s="19"/>
      <c r="B597" s="19"/>
      <c r="C597" s="134"/>
      <c r="D597" s="887"/>
      <c r="E597" s="938"/>
      <c r="F597" s="938"/>
      <c r="G597" s="865"/>
      <c r="H597" s="152">
        <v>152</v>
      </c>
      <c r="I597" s="576" t="s">
        <v>754</v>
      </c>
      <c r="J597" s="385" t="s">
        <v>36</v>
      </c>
      <c r="K597" s="815">
        <v>1</v>
      </c>
      <c r="L597" s="877"/>
      <c r="M597" s="940"/>
      <c r="N597" s="877"/>
      <c r="O597" s="58" t="s">
        <v>44</v>
      </c>
      <c r="P597" s="26">
        <v>0</v>
      </c>
      <c r="Q597" s="26">
        <v>0</v>
      </c>
      <c r="R597" s="26">
        <v>0</v>
      </c>
      <c r="S597" s="26">
        <v>0</v>
      </c>
      <c r="T597" s="26">
        <v>0</v>
      </c>
      <c r="U597" s="26">
        <v>0</v>
      </c>
      <c r="V597" s="26">
        <v>0</v>
      </c>
      <c r="W597" s="5">
        <v>89020304</v>
      </c>
      <c r="X597" s="14"/>
      <c r="Y597" s="14"/>
      <c r="Z597" s="26">
        <v>0</v>
      </c>
      <c r="AA597" s="26"/>
      <c r="AB597" s="26">
        <v>0</v>
      </c>
      <c r="AC597" s="26">
        <v>0</v>
      </c>
      <c r="AD597" s="304"/>
      <c r="AE597" s="304"/>
      <c r="AF597" s="304"/>
      <c r="AG597" s="304"/>
      <c r="AH597" s="304"/>
      <c r="AI597" s="304"/>
      <c r="AJ597" s="26">
        <v>0</v>
      </c>
      <c r="AK597" s="26"/>
      <c r="AL597" s="117"/>
      <c r="AM597" s="395"/>
      <c r="AN597" s="26">
        <v>0</v>
      </c>
      <c r="AO597" s="348">
        <v>0</v>
      </c>
      <c r="AP597" s="26">
        <f>P597+Q597+R597+S597+T597+U597+V597+W597+X597+Y597+Z597+AA597+AB597+AC597+AD597+AE597+AF597+AG597+AH597+AI597+AJ597+AK597+AL597+AM597+AN597+AO597</f>
        <v>89020304</v>
      </c>
    </row>
    <row r="598" spans="1:42" s="196" customFormat="1" ht="99.75" customHeight="1" x14ac:dyDescent="0.25">
      <c r="A598" s="19"/>
      <c r="B598" s="19"/>
      <c r="C598" s="134" t="s">
        <v>709</v>
      </c>
      <c r="D598" s="138" t="s">
        <v>891</v>
      </c>
      <c r="E598" s="149">
        <v>0</v>
      </c>
      <c r="F598" s="149">
        <v>1</v>
      </c>
      <c r="G598" s="145"/>
      <c r="H598" s="152">
        <v>153</v>
      </c>
      <c r="I598" s="151" t="s">
        <v>892</v>
      </c>
      <c r="J598" s="152" t="s">
        <v>36</v>
      </c>
      <c r="K598" s="815">
        <v>150</v>
      </c>
      <c r="L598" s="887"/>
      <c r="M598" s="941"/>
      <c r="N598" s="887"/>
      <c r="O598" s="58" t="s">
        <v>44</v>
      </c>
      <c r="P598" s="26"/>
      <c r="Q598" s="26"/>
      <c r="R598" s="26"/>
      <c r="S598" s="26"/>
      <c r="T598" s="26"/>
      <c r="U598" s="26"/>
      <c r="V598" s="26"/>
      <c r="W598" s="5"/>
      <c r="X598" s="14"/>
      <c r="Y598" s="14"/>
      <c r="Z598" s="26"/>
      <c r="AA598" s="26"/>
      <c r="AB598" s="26">
        <v>1378557211</v>
      </c>
      <c r="AC598" s="26"/>
      <c r="AD598" s="304"/>
      <c r="AE598" s="304"/>
      <c r="AF598" s="304"/>
      <c r="AG598" s="304"/>
      <c r="AH598" s="304"/>
      <c r="AI598" s="304"/>
      <c r="AJ598" s="26"/>
      <c r="AK598" s="26"/>
      <c r="AL598" s="117"/>
      <c r="AM598" s="395"/>
      <c r="AN598" s="26"/>
      <c r="AO598" s="348"/>
      <c r="AP598" s="26">
        <f>P598+Q598+R598+S598+T598+U598+V598+W598+X598+Y598+Z598+AA598+AB598+AC598+AD598+AE598+AF598+AG598+AH598+AI598+AJ598+AK598+AL598+AM598+AN598+AO598</f>
        <v>1378557211</v>
      </c>
    </row>
    <row r="599" spans="1:42" s="196" customFormat="1" ht="19.5" customHeight="1" x14ac:dyDescent="0.25">
      <c r="A599" s="19"/>
      <c r="B599" s="20"/>
      <c r="C599" s="150"/>
      <c r="D599" s="190"/>
      <c r="E599" s="708"/>
      <c r="F599" s="708"/>
      <c r="G599" s="191"/>
      <c r="H599" s="192"/>
      <c r="I599" s="191"/>
      <c r="J599" s="192"/>
      <c r="K599" s="380"/>
      <c r="L599" s="380"/>
      <c r="M599" s="194"/>
      <c r="N599" s="191"/>
      <c r="O599" s="192"/>
      <c r="P599" s="195">
        <f>SUM(P596:P598)</f>
        <v>0</v>
      </c>
      <c r="Q599" s="195">
        <f t="shared" ref="Q599:AK599" si="204">SUM(Q596:Q598)</f>
        <v>0</v>
      </c>
      <c r="R599" s="195">
        <f t="shared" si="204"/>
        <v>0</v>
      </c>
      <c r="S599" s="195">
        <f t="shared" si="204"/>
        <v>0</v>
      </c>
      <c r="T599" s="195">
        <f t="shared" si="204"/>
        <v>0</v>
      </c>
      <c r="U599" s="195">
        <f t="shared" si="204"/>
        <v>0</v>
      </c>
      <c r="V599" s="195">
        <f t="shared" si="204"/>
        <v>0</v>
      </c>
      <c r="W599" s="195">
        <f t="shared" si="204"/>
        <v>209858044</v>
      </c>
      <c r="X599" s="195">
        <f t="shared" si="204"/>
        <v>0</v>
      </c>
      <c r="Y599" s="195">
        <f t="shared" si="204"/>
        <v>0</v>
      </c>
      <c r="Z599" s="195">
        <f t="shared" si="204"/>
        <v>0</v>
      </c>
      <c r="AA599" s="195">
        <f t="shared" si="204"/>
        <v>0</v>
      </c>
      <c r="AB599" s="195">
        <f t="shared" si="204"/>
        <v>1378557211</v>
      </c>
      <c r="AC599" s="195">
        <f t="shared" si="204"/>
        <v>0</v>
      </c>
      <c r="AD599" s="195">
        <f t="shared" si="204"/>
        <v>0</v>
      </c>
      <c r="AE599" s="195">
        <f t="shared" si="204"/>
        <v>0</v>
      </c>
      <c r="AF599" s="195">
        <f t="shared" si="204"/>
        <v>0</v>
      </c>
      <c r="AG599" s="195">
        <f t="shared" si="204"/>
        <v>0</v>
      </c>
      <c r="AH599" s="195">
        <f t="shared" si="204"/>
        <v>0</v>
      </c>
      <c r="AI599" s="195">
        <f t="shared" si="204"/>
        <v>0</v>
      </c>
      <c r="AJ599" s="195">
        <f t="shared" si="204"/>
        <v>0</v>
      </c>
      <c r="AK599" s="195">
        <f t="shared" si="204"/>
        <v>0</v>
      </c>
      <c r="AL599" s="195">
        <f t="shared" ref="AL599:AP599" si="205">SUM(AL596:AL598)</f>
        <v>100000000</v>
      </c>
      <c r="AM599" s="195">
        <f t="shared" si="205"/>
        <v>0</v>
      </c>
      <c r="AN599" s="195">
        <f t="shared" si="205"/>
        <v>0</v>
      </c>
      <c r="AO599" s="195">
        <f t="shared" si="205"/>
        <v>0</v>
      </c>
      <c r="AP599" s="195">
        <f t="shared" si="205"/>
        <v>1688415255</v>
      </c>
    </row>
    <row r="600" spans="1:42" s="196" customFormat="1" ht="22.5" customHeight="1" x14ac:dyDescent="0.25">
      <c r="A600" s="19"/>
      <c r="B600" s="20"/>
      <c r="C600" s="454"/>
      <c r="D600" s="214"/>
      <c r="E600" s="454"/>
      <c r="F600" s="454"/>
      <c r="G600" s="214"/>
      <c r="H600" s="454"/>
      <c r="I600" s="214"/>
      <c r="J600" s="454"/>
      <c r="K600" s="454"/>
      <c r="L600" s="153"/>
      <c r="M600" s="279"/>
      <c r="N600" s="265"/>
      <c r="O600" s="454"/>
      <c r="P600" s="217"/>
      <c r="Q600" s="217"/>
      <c r="R600" s="217"/>
      <c r="S600" s="217"/>
      <c r="T600" s="217"/>
      <c r="U600" s="217"/>
      <c r="V600" s="217"/>
      <c r="W600" s="217"/>
      <c r="X600" s="217"/>
      <c r="Y600" s="217"/>
      <c r="Z600" s="217"/>
      <c r="AA600" s="217"/>
      <c r="AB600" s="217"/>
      <c r="AC600" s="217"/>
      <c r="AD600" s="217"/>
      <c r="AE600" s="217"/>
      <c r="AF600" s="217"/>
      <c r="AG600" s="217"/>
      <c r="AH600" s="217"/>
      <c r="AI600" s="217"/>
      <c r="AJ600" s="217"/>
      <c r="AK600" s="217"/>
      <c r="AL600" s="219"/>
      <c r="AM600" s="220"/>
      <c r="AN600" s="217"/>
      <c r="AO600" s="217"/>
      <c r="AP600" s="238"/>
    </row>
    <row r="601" spans="1:42" s="196" customFormat="1" ht="15" x14ac:dyDescent="0.25">
      <c r="A601" s="19"/>
      <c r="B601" s="20"/>
      <c r="C601" s="153"/>
      <c r="D601" s="530"/>
      <c r="E601" s="398"/>
      <c r="F601" s="398"/>
      <c r="G601" s="490">
        <v>44</v>
      </c>
      <c r="H601" s="904" t="s">
        <v>755</v>
      </c>
      <c r="I601" s="904"/>
      <c r="J601" s="904"/>
      <c r="K601" s="904"/>
      <c r="L601" s="904"/>
      <c r="M601" s="904"/>
      <c r="N601" s="904"/>
      <c r="O601" s="904"/>
      <c r="P601" s="904"/>
      <c r="Q601" s="227"/>
      <c r="R601" s="227"/>
      <c r="S601" s="227"/>
      <c r="T601" s="227"/>
      <c r="U601" s="227"/>
      <c r="V601" s="227"/>
      <c r="W601" s="227"/>
      <c r="X601" s="227"/>
      <c r="Y601" s="227"/>
      <c r="Z601" s="227"/>
      <c r="AA601" s="227"/>
      <c r="AB601" s="227"/>
      <c r="AC601" s="227"/>
      <c r="AD601" s="227"/>
      <c r="AE601" s="227"/>
      <c r="AF601" s="227"/>
      <c r="AG601" s="227"/>
      <c r="AH601" s="227"/>
      <c r="AI601" s="227"/>
      <c r="AJ601" s="227"/>
      <c r="AK601" s="227"/>
      <c r="AL601" s="229"/>
      <c r="AM601" s="227"/>
      <c r="AN601" s="227"/>
      <c r="AO601" s="227"/>
      <c r="AP601" s="230"/>
    </row>
    <row r="602" spans="1:42" s="28" customFormat="1" ht="94.5" customHeight="1" x14ac:dyDescent="0.25">
      <c r="A602" s="19"/>
      <c r="B602" s="19"/>
      <c r="C602" s="152">
        <v>37</v>
      </c>
      <c r="D602" s="151" t="s">
        <v>669</v>
      </c>
      <c r="E602" s="152" t="s">
        <v>642</v>
      </c>
      <c r="F602" s="81">
        <v>0.6</v>
      </c>
      <c r="G602" s="88"/>
      <c r="H602" s="152">
        <v>154</v>
      </c>
      <c r="I602" s="151" t="s">
        <v>756</v>
      </c>
      <c r="J602" s="152" t="s">
        <v>36</v>
      </c>
      <c r="K602" s="32">
        <v>5</v>
      </c>
      <c r="L602" s="898" t="s">
        <v>676</v>
      </c>
      <c r="M602" s="907" t="s">
        <v>757</v>
      </c>
      <c r="N602" s="893" t="s">
        <v>758</v>
      </c>
      <c r="O602" s="152" t="s">
        <v>44</v>
      </c>
      <c r="P602" s="26">
        <v>0</v>
      </c>
      <c r="Q602" s="26">
        <v>0</v>
      </c>
      <c r="R602" s="26">
        <v>0</v>
      </c>
      <c r="S602" s="26">
        <v>0</v>
      </c>
      <c r="T602" s="26">
        <v>0</v>
      </c>
      <c r="U602" s="26">
        <v>0</v>
      </c>
      <c r="V602" s="26">
        <v>0</v>
      </c>
      <c r="W602" s="14">
        <v>59500000</v>
      </c>
      <c r="X602" s="14"/>
      <c r="Y602" s="14"/>
      <c r="Z602" s="26">
        <v>0</v>
      </c>
      <c r="AA602" s="26"/>
      <c r="AB602" s="26">
        <v>0</v>
      </c>
      <c r="AC602" s="26">
        <v>0</v>
      </c>
      <c r="AD602" s="26"/>
      <c r="AE602" s="26"/>
      <c r="AF602" s="26"/>
      <c r="AG602" s="26"/>
      <c r="AH602" s="26"/>
      <c r="AI602" s="26"/>
      <c r="AJ602" s="26">
        <v>0</v>
      </c>
      <c r="AK602" s="26">
        <v>0</v>
      </c>
      <c r="AL602" s="113">
        <v>100000000</v>
      </c>
      <c r="AM602" s="39"/>
      <c r="AN602" s="26">
        <v>0</v>
      </c>
      <c r="AO602" s="27">
        <v>0</v>
      </c>
      <c r="AP602" s="26">
        <f>P602+Q602+R602+S602+T602+U602+V602+W602+X602+Y602+Z602+AA602+AB602+AC602+AD602+AE602+AF602+AG602+AH602+AI602+AJ602+AK602+AL602+AM602+AN602+AO602</f>
        <v>159500000</v>
      </c>
    </row>
    <row r="603" spans="1:42" s="196" customFormat="1" ht="54" customHeight="1" x14ac:dyDescent="0.25">
      <c r="A603" s="19"/>
      <c r="B603" s="19"/>
      <c r="C603" s="349">
        <v>13</v>
      </c>
      <c r="D603" s="626" t="s">
        <v>915</v>
      </c>
      <c r="E603" s="709">
        <v>71.040000000000006</v>
      </c>
      <c r="F603" s="572">
        <v>0.88170000000000004</v>
      </c>
      <c r="G603" s="88"/>
      <c r="H603" s="152">
        <v>155</v>
      </c>
      <c r="I603" s="151" t="s">
        <v>759</v>
      </c>
      <c r="J603" s="152">
        <v>0</v>
      </c>
      <c r="K603" s="32">
        <v>1</v>
      </c>
      <c r="L603" s="899"/>
      <c r="M603" s="908"/>
      <c r="N603" s="894"/>
      <c r="O603" s="58" t="s">
        <v>44</v>
      </c>
      <c r="P603" s="26">
        <v>0</v>
      </c>
      <c r="Q603" s="26">
        <v>0</v>
      </c>
      <c r="R603" s="26">
        <v>0</v>
      </c>
      <c r="S603" s="26">
        <v>0</v>
      </c>
      <c r="T603" s="26">
        <v>0</v>
      </c>
      <c r="U603" s="26">
        <v>0</v>
      </c>
      <c r="V603" s="26">
        <v>0</v>
      </c>
      <c r="W603" s="5">
        <v>34000000</v>
      </c>
      <c r="X603" s="14"/>
      <c r="Y603" s="14"/>
      <c r="Z603" s="26">
        <v>0</v>
      </c>
      <c r="AA603" s="26"/>
      <c r="AB603" s="26">
        <v>0</v>
      </c>
      <c r="AC603" s="26">
        <v>0</v>
      </c>
      <c r="AD603" s="304"/>
      <c r="AE603" s="304"/>
      <c r="AF603" s="304"/>
      <c r="AG603" s="304"/>
      <c r="AH603" s="304"/>
      <c r="AI603" s="304"/>
      <c r="AJ603" s="26">
        <v>0</v>
      </c>
      <c r="AK603" s="26">
        <v>0</v>
      </c>
      <c r="AL603" s="113">
        <v>0</v>
      </c>
      <c r="AM603" s="39"/>
      <c r="AN603" s="26">
        <v>0</v>
      </c>
      <c r="AO603" s="348">
        <v>0</v>
      </c>
      <c r="AP603" s="26">
        <f>P603+Q603+R603+S603+T603+U603+V603+W603+X603+Y603+Z603+AA603+AB603+AC603+AD603+AE603+AF603+AG603+AH603+AI603+AJ603+AK603+AL603+AM603+AN603+AO603</f>
        <v>34000000</v>
      </c>
    </row>
    <row r="604" spans="1:42" s="196" customFormat="1" ht="229.5" customHeight="1" x14ac:dyDescent="0.25">
      <c r="A604" s="19"/>
      <c r="B604" s="19"/>
      <c r="C604" s="349" t="s">
        <v>760</v>
      </c>
      <c r="D604" s="599" t="s">
        <v>761</v>
      </c>
      <c r="E604" s="349" t="s">
        <v>762</v>
      </c>
      <c r="F604" s="349" t="s">
        <v>763</v>
      </c>
      <c r="G604" s="102"/>
      <c r="H604" s="152">
        <v>156</v>
      </c>
      <c r="I604" s="151" t="s">
        <v>764</v>
      </c>
      <c r="J604" s="152">
        <v>12</v>
      </c>
      <c r="K604" s="32">
        <v>12</v>
      </c>
      <c r="L604" s="899"/>
      <c r="M604" s="908"/>
      <c r="N604" s="894"/>
      <c r="O604" s="58" t="s">
        <v>44</v>
      </c>
      <c r="P604" s="26">
        <v>0</v>
      </c>
      <c r="Q604" s="26">
        <v>0</v>
      </c>
      <c r="R604" s="26">
        <v>0</v>
      </c>
      <c r="S604" s="26">
        <v>0</v>
      </c>
      <c r="T604" s="26">
        <v>0</v>
      </c>
      <c r="U604" s="26">
        <v>0</v>
      </c>
      <c r="V604" s="26">
        <v>0</v>
      </c>
      <c r="W604" s="304">
        <v>119200000</v>
      </c>
      <c r="X604" s="26"/>
      <c r="Y604" s="26"/>
      <c r="Z604" s="26">
        <v>0</v>
      </c>
      <c r="AA604" s="26"/>
      <c r="AB604" s="26">
        <v>0</v>
      </c>
      <c r="AC604" s="26">
        <v>0</v>
      </c>
      <c r="AD604" s="304"/>
      <c r="AE604" s="304"/>
      <c r="AF604" s="304"/>
      <c r="AG604" s="304"/>
      <c r="AH604" s="304"/>
      <c r="AI604" s="304"/>
      <c r="AJ604" s="26">
        <v>0</v>
      </c>
      <c r="AK604" s="26">
        <v>0</v>
      </c>
      <c r="AL604" s="113">
        <v>19440000</v>
      </c>
      <c r="AM604" s="39"/>
      <c r="AN604" s="26">
        <v>0</v>
      </c>
      <c r="AO604" s="348">
        <v>0</v>
      </c>
      <c r="AP604" s="26">
        <f>P604+Q604+R604+S604+T604+U604+V604+W604+X604+Y604+Z604+AA604+AB604+AC604+AD604+AE604+AF604+AG604+AH604+AI604+AJ604+AK604+AL604+AM604+AN604+AO604</f>
        <v>138640000</v>
      </c>
    </row>
    <row r="605" spans="1:42" s="196" customFormat="1" ht="72.75" customHeight="1" x14ac:dyDescent="0.25">
      <c r="A605" s="19"/>
      <c r="B605" s="19"/>
      <c r="C605" s="6">
        <v>34</v>
      </c>
      <c r="D605" s="571" t="s">
        <v>916</v>
      </c>
      <c r="E605" s="709" t="s">
        <v>36</v>
      </c>
      <c r="F605" s="619">
        <v>0.4</v>
      </c>
      <c r="G605" s="102"/>
      <c r="H605" s="152">
        <v>157</v>
      </c>
      <c r="I605" s="151" t="s">
        <v>765</v>
      </c>
      <c r="J605" s="152">
        <v>12</v>
      </c>
      <c r="K605" s="32">
        <v>12</v>
      </c>
      <c r="L605" s="900"/>
      <c r="M605" s="909"/>
      <c r="N605" s="895"/>
      <c r="O605" s="58" t="s">
        <v>44</v>
      </c>
      <c r="P605" s="26">
        <v>0</v>
      </c>
      <c r="Q605" s="26">
        <v>0</v>
      </c>
      <c r="R605" s="26">
        <v>0</v>
      </c>
      <c r="S605" s="26">
        <v>0</v>
      </c>
      <c r="T605" s="26">
        <v>0</v>
      </c>
      <c r="U605" s="26">
        <v>0</v>
      </c>
      <c r="V605" s="26">
        <v>0</v>
      </c>
      <c r="W605" s="304">
        <v>61607604</v>
      </c>
      <c r="X605" s="14"/>
      <c r="Y605" s="14"/>
      <c r="Z605" s="26">
        <v>0</v>
      </c>
      <c r="AA605" s="26"/>
      <c r="AB605" s="26">
        <v>0</v>
      </c>
      <c r="AC605" s="26">
        <v>0</v>
      </c>
      <c r="AD605" s="304"/>
      <c r="AE605" s="304"/>
      <c r="AF605" s="304"/>
      <c r="AG605" s="304"/>
      <c r="AH605" s="304"/>
      <c r="AI605" s="304"/>
      <c r="AJ605" s="26">
        <v>0</v>
      </c>
      <c r="AK605" s="26">
        <v>0</v>
      </c>
      <c r="AL605" s="113">
        <v>10560000</v>
      </c>
      <c r="AM605" s="39"/>
      <c r="AN605" s="26">
        <v>0</v>
      </c>
      <c r="AO605" s="348">
        <v>0</v>
      </c>
      <c r="AP605" s="26">
        <f>P605+Q605+R605+S605+T605+U605+V605+W605+X605+Y605+Z605+AA605+AB605+AC605+AD605+AE605+AF605+AG605+AH605+AI605+AJ605+AK605+AL605+AM605+AN605+AO605</f>
        <v>72167604</v>
      </c>
    </row>
    <row r="606" spans="1:42" s="196" customFormat="1" ht="15" x14ac:dyDescent="0.25">
      <c r="A606" s="19"/>
      <c r="B606" s="20"/>
      <c r="C606" s="144"/>
      <c r="D606" s="534"/>
      <c r="E606" s="401"/>
      <c r="F606" s="401"/>
      <c r="G606" s="191"/>
      <c r="H606" s="192"/>
      <c r="I606" s="191"/>
      <c r="J606" s="192"/>
      <c r="K606" s="380"/>
      <c r="L606" s="380"/>
      <c r="M606" s="194"/>
      <c r="N606" s="191"/>
      <c r="O606" s="192"/>
      <c r="P606" s="195">
        <f>SUM(P602:P605)</f>
        <v>0</v>
      </c>
      <c r="Q606" s="195">
        <f>SUM(Q602:Q605)</f>
        <v>0</v>
      </c>
      <c r="R606" s="195">
        <f>SUM(R602:R605)</f>
        <v>0</v>
      </c>
      <c r="S606" s="195">
        <f>SUM(S602:S605)</f>
        <v>0</v>
      </c>
      <c r="T606" s="195">
        <f>SUM(T602:T605)</f>
        <v>0</v>
      </c>
      <c r="U606" s="195">
        <f>SUM(U602:U605)</f>
        <v>0</v>
      </c>
      <c r="V606" s="195">
        <f>SUM(V602:V605)</f>
        <v>0</v>
      </c>
      <c r="W606" s="195">
        <f>SUM(W602:W605)</f>
        <v>274307604</v>
      </c>
      <c r="X606" s="195"/>
      <c r="Y606" s="195"/>
      <c r="Z606" s="195">
        <f>SUM(Z602:Z605)</f>
        <v>0</v>
      </c>
      <c r="AA606" s="195"/>
      <c r="AB606" s="195">
        <f>SUM(AB602:AB605)</f>
        <v>0</v>
      </c>
      <c r="AC606" s="195">
        <f>SUM(AC602:AC605)</f>
        <v>0</v>
      </c>
      <c r="AD606" s="195">
        <f>SUM(AD602:AD605)</f>
        <v>0</v>
      </c>
      <c r="AE606" s="195">
        <f>SUM(AE602:AE605)</f>
        <v>0</v>
      </c>
      <c r="AF606" s="195"/>
      <c r="AG606" s="195">
        <f>SUM(AG602:AG605)</f>
        <v>0</v>
      </c>
      <c r="AH606" s="195">
        <f>SUM(AH602:AH605)</f>
        <v>0</v>
      </c>
      <c r="AI606" s="195">
        <f>SUM(AI602:AI605)</f>
        <v>0</v>
      </c>
      <c r="AJ606" s="195">
        <f>SUM(AJ602:AJ605)</f>
        <v>0</v>
      </c>
      <c r="AK606" s="195">
        <f>SUM(AK602:AK605)</f>
        <v>0</v>
      </c>
      <c r="AL606" s="295">
        <f>SUM(AL602:AL605)</f>
        <v>130000000</v>
      </c>
      <c r="AM606" s="295">
        <f t="shared" ref="AM606:AO606" si="206">SUM(AM602:AM605)</f>
        <v>0</v>
      </c>
      <c r="AN606" s="295">
        <f t="shared" si="206"/>
        <v>0</v>
      </c>
      <c r="AO606" s="295">
        <f t="shared" si="206"/>
        <v>0</v>
      </c>
      <c r="AP606" s="195">
        <f>SUM(AP602:AP605)</f>
        <v>404307604</v>
      </c>
    </row>
    <row r="607" spans="1:42" s="196" customFormat="1" ht="15" x14ac:dyDescent="0.25">
      <c r="A607" s="19"/>
      <c r="B607" s="20"/>
      <c r="C607" s="454"/>
      <c r="D607" s="214"/>
      <c r="E607" s="454"/>
      <c r="F607" s="454"/>
      <c r="G607" s="214"/>
      <c r="H607" s="454"/>
      <c r="I607" s="214"/>
      <c r="J607" s="454"/>
      <c r="K607" s="454"/>
      <c r="L607" s="153"/>
      <c r="M607" s="279"/>
      <c r="N607" s="265"/>
      <c r="O607" s="454"/>
      <c r="P607" s="217"/>
      <c r="Q607" s="217"/>
      <c r="R607" s="217"/>
      <c r="S607" s="217"/>
      <c r="T607" s="217"/>
      <c r="U607" s="217"/>
      <c r="V607" s="217"/>
      <c r="W607" s="217"/>
      <c r="X607" s="217"/>
      <c r="Y607" s="217"/>
      <c r="Z607" s="217"/>
      <c r="AA607" s="217"/>
      <c r="AB607" s="217"/>
      <c r="AC607" s="217"/>
      <c r="AD607" s="217"/>
      <c r="AE607" s="217"/>
      <c r="AF607" s="217"/>
      <c r="AG607" s="217"/>
      <c r="AH607" s="217"/>
      <c r="AI607" s="217"/>
      <c r="AJ607" s="217"/>
      <c r="AK607" s="217"/>
      <c r="AL607" s="219"/>
      <c r="AM607" s="220"/>
      <c r="AN607" s="217"/>
      <c r="AO607" s="217"/>
      <c r="AP607" s="238"/>
    </row>
    <row r="608" spans="1:42" s="196" customFormat="1" ht="15" x14ac:dyDescent="0.25">
      <c r="A608" s="19"/>
      <c r="B608" s="20"/>
      <c r="C608" s="454"/>
      <c r="D608" s="190"/>
      <c r="E608" s="708"/>
      <c r="F608" s="708"/>
      <c r="G608" s="410">
        <v>45</v>
      </c>
      <c r="H608" s="904" t="s">
        <v>766</v>
      </c>
      <c r="I608" s="904"/>
      <c r="J608" s="904"/>
      <c r="K608" s="904"/>
      <c r="L608" s="904"/>
      <c r="M608" s="904"/>
      <c r="N608" s="904"/>
      <c r="O608" s="227"/>
      <c r="P608" s="227"/>
      <c r="Q608" s="227"/>
      <c r="R608" s="227"/>
      <c r="S608" s="227"/>
      <c r="T608" s="227"/>
      <c r="U608" s="227"/>
      <c r="V608" s="227"/>
      <c r="W608" s="227"/>
      <c r="X608" s="227"/>
      <c r="Y608" s="227"/>
      <c r="Z608" s="227"/>
      <c r="AA608" s="227"/>
      <c r="AB608" s="227"/>
      <c r="AC608" s="227"/>
      <c r="AD608" s="227"/>
      <c r="AE608" s="227"/>
      <c r="AF608" s="227"/>
      <c r="AG608" s="227"/>
      <c r="AH608" s="227"/>
      <c r="AI608" s="227"/>
      <c r="AJ608" s="227"/>
      <c r="AK608" s="227"/>
      <c r="AL608" s="229"/>
      <c r="AM608" s="227"/>
      <c r="AN608" s="227"/>
      <c r="AO608" s="227"/>
      <c r="AP608" s="230"/>
    </row>
    <row r="609" spans="1:42" s="196" customFormat="1" ht="129" customHeight="1" x14ac:dyDescent="0.25">
      <c r="A609" s="19"/>
      <c r="B609" s="20"/>
      <c r="C609" s="935" t="s">
        <v>936</v>
      </c>
      <c r="D609" s="893" t="s">
        <v>767</v>
      </c>
      <c r="E609" s="876" t="s">
        <v>768</v>
      </c>
      <c r="F609" s="876" t="s">
        <v>769</v>
      </c>
      <c r="G609" s="898"/>
      <c r="H609" s="32">
        <v>158</v>
      </c>
      <c r="I609" s="151" t="s">
        <v>770</v>
      </c>
      <c r="J609" s="32" t="s">
        <v>36</v>
      </c>
      <c r="K609" s="815">
        <v>11</v>
      </c>
      <c r="L609" s="876" t="s">
        <v>676</v>
      </c>
      <c r="M609" s="907" t="s">
        <v>771</v>
      </c>
      <c r="N609" s="893" t="s">
        <v>772</v>
      </c>
      <c r="O609" s="152" t="s">
        <v>44</v>
      </c>
      <c r="P609" s="26">
        <v>0</v>
      </c>
      <c r="Q609" s="26">
        <v>0</v>
      </c>
      <c r="R609" s="26">
        <v>0</v>
      </c>
      <c r="S609" s="26">
        <v>0</v>
      </c>
      <c r="T609" s="26">
        <v>0</v>
      </c>
      <c r="U609" s="26">
        <v>0</v>
      </c>
      <c r="V609" s="26">
        <v>0</v>
      </c>
      <c r="W609" s="304">
        <v>1396230606.9999998</v>
      </c>
      <c r="X609" s="14"/>
      <c r="Y609" s="14"/>
      <c r="Z609" s="386">
        <v>0</v>
      </c>
      <c r="AA609" s="386"/>
      <c r="AB609" s="386">
        <v>0</v>
      </c>
      <c r="AC609" s="386">
        <v>0</v>
      </c>
      <c r="AD609" s="304"/>
      <c r="AE609" s="304"/>
      <c r="AF609" s="304"/>
      <c r="AG609" s="304"/>
      <c r="AH609" s="304"/>
      <c r="AI609" s="304"/>
      <c r="AJ609" s="386">
        <v>0</v>
      </c>
      <c r="AK609" s="386">
        <v>0</v>
      </c>
      <c r="AL609" s="595">
        <v>0</v>
      </c>
      <c r="AM609" s="596"/>
      <c r="AN609" s="386">
        <v>0</v>
      </c>
      <c r="AO609" s="348">
        <v>0</v>
      </c>
      <c r="AP609" s="26">
        <f>P609+Q609+R609+S609+T609+U609+V609+W609+X609+Y609+Z609+AA609+AB609+AC609+AD609+AE609+AF609+AG609+AH609+AI609+AJ609+AK609+AL609+AM609+AN609+AO609</f>
        <v>1396230606.9999998</v>
      </c>
    </row>
    <row r="610" spans="1:42" s="196" customFormat="1" ht="129" customHeight="1" x14ac:dyDescent="0.25">
      <c r="A610" s="19"/>
      <c r="B610" s="20"/>
      <c r="C610" s="936"/>
      <c r="D610" s="895"/>
      <c r="E610" s="887"/>
      <c r="F610" s="887"/>
      <c r="G610" s="900"/>
      <c r="H610" s="32">
        <v>159</v>
      </c>
      <c r="I610" s="151" t="s">
        <v>773</v>
      </c>
      <c r="J610" s="32" t="s">
        <v>36</v>
      </c>
      <c r="K610" s="815">
        <v>8</v>
      </c>
      <c r="L610" s="887"/>
      <c r="M610" s="909"/>
      <c r="N610" s="895"/>
      <c r="O610" s="152" t="s">
        <v>44</v>
      </c>
      <c r="P610" s="26">
        <v>0</v>
      </c>
      <c r="Q610" s="26">
        <v>0</v>
      </c>
      <c r="R610" s="26">
        <v>0</v>
      </c>
      <c r="S610" s="26">
        <v>0</v>
      </c>
      <c r="T610" s="26">
        <v>0</v>
      </c>
      <c r="U610" s="26">
        <v>0</v>
      </c>
      <c r="V610" s="26">
        <v>0</v>
      </c>
      <c r="W610" s="304">
        <v>0</v>
      </c>
      <c r="X610" s="26"/>
      <c r="Y610" s="26"/>
      <c r="Z610" s="386">
        <v>0</v>
      </c>
      <c r="AA610" s="386"/>
      <c r="AB610" s="386">
        <v>0</v>
      </c>
      <c r="AC610" s="386">
        <v>0</v>
      </c>
      <c r="AD610" s="304"/>
      <c r="AE610" s="304"/>
      <c r="AF610" s="304"/>
      <c r="AG610" s="304"/>
      <c r="AH610" s="304"/>
      <c r="AI610" s="304"/>
      <c r="AJ610" s="386">
        <v>0</v>
      </c>
      <c r="AK610" s="386">
        <v>0</v>
      </c>
      <c r="AL610" s="595">
        <v>0</v>
      </c>
      <c r="AM610" s="596"/>
      <c r="AN610" s="386">
        <v>0</v>
      </c>
      <c r="AO610" s="348">
        <v>0</v>
      </c>
      <c r="AP610" s="26">
        <f>P610+Q610+R610+S610+T610+U610+V610+W610+X610+Y610+Z610+AA610+AB610+AC610+AD610+AE610+AF610+AG610+AH610+AI610+AJ610+AK610+AL610+AM610+AN610+AO610</f>
        <v>0</v>
      </c>
    </row>
    <row r="611" spans="1:42" s="196" customFormat="1" ht="15" x14ac:dyDescent="0.25">
      <c r="A611" s="19"/>
      <c r="B611" s="20"/>
      <c r="C611" s="150"/>
      <c r="D611" s="190"/>
      <c r="E611" s="708"/>
      <c r="F611" s="708"/>
      <c r="G611" s="361"/>
      <c r="H611" s="380"/>
      <c r="I611" s="191"/>
      <c r="J611" s="380"/>
      <c r="K611" s="192"/>
      <c r="L611" s="192"/>
      <c r="M611" s="194"/>
      <c r="N611" s="191"/>
      <c r="O611" s="192"/>
      <c r="P611" s="195">
        <f>SUM(P609:P610)</f>
        <v>0</v>
      </c>
      <c r="Q611" s="195">
        <f>SUM(Q609:Q610)</f>
        <v>0</v>
      </c>
      <c r="R611" s="195">
        <f>SUM(R609:R610)</f>
        <v>0</v>
      </c>
      <c r="S611" s="195">
        <f>SUM(S609:S610)</f>
        <v>0</v>
      </c>
      <c r="T611" s="195">
        <f>SUM(T609:T610)</f>
        <v>0</v>
      </c>
      <c r="U611" s="195">
        <f>SUM(U609:U610)</f>
        <v>0</v>
      </c>
      <c r="V611" s="195">
        <f>SUM(V609:V610)</f>
        <v>0</v>
      </c>
      <c r="W611" s="195">
        <f>SUM(W609:W610)</f>
        <v>1396230606.9999998</v>
      </c>
      <c r="X611" s="195"/>
      <c r="Y611" s="195"/>
      <c r="Z611" s="195">
        <f>SUM(Z609:Z610)</f>
        <v>0</v>
      </c>
      <c r="AA611" s="195"/>
      <c r="AB611" s="195">
        <f>SUM(AB609:AB610)</f>
        <v>0</v>
      </c>
      <c r="AC611" s="195">
        <f t="shared" ref="AC611" si="207">SUM(AC609:AC610)</f>
        <v>0</v>
      </c>
      <c r="AD611" s="195">
        <f>SUM(AD609:AD610)</f>
        <v>0</v>
      </c>
      <c r="AE611" s="195">
        <f>SUM(AE609:AE610)</f>
        <v>0</v>
      </c>
      <c r="AF611" s="195"/>
      <c r="AG611" s="195">
        <f>SUM(AG609:AG610)</f>
        <v>0</v>
      </c>
      <c r="AH611" s="195">
        <f>SUM(AH609:AH610)</f>
        <v>0</v>
      </c>
      <c r="AI611" s="195">
        <f>SUM(AI609:AI610)</f>
        <v>0</v>
      </c>
      <c r="AJ611" s="195">
        <f>SUM(AJ609:AJ610)</f>
        <v>0</v>
      </c>
      <c r="AK611" s="195">
        <f>SUM(AK609:AK610)</f>
        <v>0</v>
      </c>
      <c r="AL611" s="295">
        <f>SUM(AL609:AL610)</f>
        <v>0</v>
      </c>
      <c r="AM611" s="296"/>
      <c r="AN611" s="195">
        <f>SUM(AN609:AN610)</f>
        <v>0</v>
      </c>
      <c r="AO611" s="195">
        <f>SUM(AO609:AO610)</f>
        <v>0</v>
      </c>
      <c r="AP611" s="195">
        <f>SUM(AP609:AP610)</f>
        <v>1396230606.9999998</v>
      </c>
    </row>
    <row r="612" spans="1:42" s="196" customFormat="1" ht="15" x14ac:dyDescent="0.25">
      <c r="A612" s="19"/>
      <c r="B612" s="20"/>
      <c r="C612" s="454"/>
      <c r="D612" s="214"/>
      <c r="E612" s="454"/>
      <c r="F612" s="454"/>
      <c r="G612" s="214"/>
      <c r="H612" s="454"/>
      <c r="I612" s="214"/>
      <c r="J612" s="454"/>
      <c r="K612" s="454"/>
      <c r="L612" s="153"/>
      <c r="M612" s="279"/>
      <c r="N612" s="265"/>
      <c r="O612" s="454"/>
      <c r="P612" s="217"/>
      <c r="Q612" s="217"/>
      <c r="R612" s="217"/>
      <c r="S612" s="217"/>
      <c r="T612" s="217"/>
      <c r="U612" s="217"/>
      <c r="V612" s="217"/>
      <c r="W612" s="217"/>
      <c r="X612" s="217"/>
      <c r="Y612" s="217"/>
      <c r="Z612" s="217"/>
      <c r="AA612" s="217"/>
      <c r="AB612" s="217"/>
      <c r="AC612" s="217"/>
      <c r="AD612" s="217"/>
      <c r="AE612" s="217"/>
      <c r="AF612" s="217"/>
      <c r="AG612" s="217"/>
      <c r="AH612" s="217"/>
      <c r="AI612" s="217"/>
      <c r="AJ612" s="217"/>
      <c r="AK612" s="217"/>
      <c r="AL612" s="219"/>
      <c r="AM612" s="220"/>
      <c r="AN612" s="217"/>
      <c r="AO612" s="217"/>
      <c r="AP612" s="238"/>
    </row>
    <row r="613" spans="1:42" s="196" customFormat="1" ht="15" x14ac:dyDescent="0.25">
      <c r="A613" s="19"/>
      <c r="B613" s="20"/>
      <c r="C613" s="454"/>
      <c r="D613" s="190"/>
      <c r="E613" s="708"/>
      <c r="F613" s="708"/>
      <c r="G613" s="410">
        <v>46</v>
      </c>
      <c r="H613" s="904" t="s">
        <v>774</v>
      </c>
      <c r="I613" s="904"/>
      <c r="J613" s="904"/>
      <c r="K613" s="904"/>
      <c r="L613" s="904"/>
      <c r="M613" s="904"/>
      <c r="N613" s="904"/>
      <c r="O613" s="904"/>
      <c r="P613" s="904"/>
      <c r="Q613" s="227"/>
      <c r="R613" s="227"/>
      <c r="S613" s="227"/>
      <c r="T613" s="227"/>
      <c r="U613" s="227"/>
      <c r="V613" s="227"/>
      <c r="W613" s="227"/>
      <c r="X613" s="227"/>
      <c r="Y613" s="227"/>
      <c r="Z613" s="227"/>
      <c r="AA613" s="227"/>
      <c r="AB613" s="227"/>
      <c r="AC613" s="227"/>
      <c r="AD613" s="227"/>
      <c r="AE613" s="227"/>
      <c r="AF613" s="227"/>
      <c r="AG613" s="227"/>
      <c r="AH613" s="227"/>
      <c r="AI613" s="227"/>
      <c r="AJ613" s="227"/>
      <c r="AK613" s="227"/>
      <c r="AL613" s="229"/>
      <c r="AM613" s="227"/>
      <c r="AN613" s="227"/>
      <c r="AO613" s="227"/>
      <c r="AP613" s="230"/>
    </row>
    <row r="614" spans="1:42" s="196" customFormat="1" ht="76.5" customHeight="1" x14ac:dyDescent="0.25">
      <c r="A614" s="19"/>
      <c r="B614" s="20"/>
      <c r="C614" s="150">
        <v>26</v>
      </c>
      <c r="D614" s="138" t="s">
        <v>775</v>
      </c>
      <c r="E614" s="135" t="s">
        <v>715</v>
      </c>
      <c r="F614" s="135" t="s">
        <v>776</v>
      </c>
      <c r="G614" s="23"/>
      <c r="H614" s="152">
        <v>160</v>
      </c>
      <c r="I614" s="71" t="s">
        <v>777</v>
      </c>
      <c r="J614" s="152">
        <v>250</v>
      </c>
      <c r="K614" s="815">
        <v>300</v>
      </c>
      <c r="L614" s="152" t="s">
        <v>676</v>
      </c>
      <c r="M614" s="38" t="s">
        <v>778</v>
      </c>
      <c r="N614" s="151" t="s">
        <v>779</v>
      </c>
      <c r="O614" s="152" t="s">
        <v>44</v>
      </c>
      <c r="P614" s="26">
        <v>0</v>
      </c>
      <c r="Q614" s="26">
        <v>0</v>
      </c>
      <c r="R614" s="26">
        <v>0</v>
      </c>
      <c r="S614" s="26">
        <v>0</v>
      </c>
      <c r="T614" s="26">
        <v>0</v>
      </c>
      <c r="U614" s="26">
        <v>0</v>
      </c>
      <c r="V614" s="26">
        <v>0</v>
      </c>
      <c r="W614" s="304">
        <v>1021461289</v>
      </c>
      <c r="X614" s="14"/>
      <c r="Y614" s="14"/>
      <c r="Z614" s="26">
        <v>0</v>
      </c>
      <c r="AA614" s="26"/>
      <c r="AB614" s="386">
        <v>0</v>
      </c>
      <c r="AC614" s="386">
        <v>0</v>
      </c>
      <c r="AD614" s="304"/>
      <c r="AE614" s="304"/>
      <c r="AF614" s="304"/>
      <c r="AG614" s="304"/>
      <c r="AH614" s="304"/>
      <c r="AI614" s="304"/>
      <c r="AJ614" s="386">
        <v>0</v>
      </c>
      <c r="AK614" s="386">
        <v>0</v>
      </c>
      <c r="AL614" s="595">
        <v>0</v>
      </c>
      <c r="AM614" s="596"/>
      <c r="AN614" s="386">
        <v>0</v>
      </c>
      <c r="AO614" s="348">
        <v>0</v>
      </c>
      <c r="AP614" s="26">
        <f>P614+Q614+R614+S614+T614+U614+V614+W614+X614+Y614+Z614+AA614+AB614+AC614+AD614+AE614+AF614+AG614+AH614+AI614+AJ614+AK614+AL614+AM614+AN614+AO614</f>
        <v>1021461289</v>
      </c>
    </row>
    <row r="615" spans="1:42" s="196" customFormat="1" ht="71.25" x14ac:dyDescent="0.25">
      <c r="A615" s="19"/>
      <c r="B615" s="20"/>
      <c r="C615" s="876" t="s">
        <v>780</v>
      </c>
      <c r="D615" s="893" t="s">
        <v>781</v>
      </c>
      <c r="E615" s="876" t="s">
        <v>782</v>
      </c>
      <c r="F615" s="876" t="s">
        <v>783</v>
      </c>
      <c r="G615" s="29"/>
      <c r="H615" s="152">
        <v>161</v>
      </c>
      <c r="I615" s="151" t="s">
        <v>784</v>
      </c>
      <c r="J615" s="152">
        <v>90</v>
      </c>
      <c r="K615" s="815">
        <v>100</v>
      </c>
      <c r="L615" s="876" t="s">
        <v>676</v>
      </c>
      <c r="M615" s="907" t="s">
        <v>785</v>
      </c>
      <c r="N615" s="893" t="s">
        <v>786</v>
      </c>
      <c r="O615" s="152" t="s">
        <v>44</v>
      </c>
      <c r="P615" s="26">
        <v>0</v>
      </c>
      <c r="Q615" s="26">
        <v>0</v>
      </c>
      <c r="R615" s="26">
        <v>0</v>
      </c>
      <c r="S615" s="26">
        <v>0</v>
      </c>
      <c r="T615" s="26">
        <v>0</v>
      </c>
      <c r="U615" s="26">
        <v>0</v>
      </c>
      <c r="V615" s="26">
        <v>0</v>
      </c>
      <c r="W615" s="304">
        <v>87500000</v>
      </c>
      <c r="X615" s="14"/>
      <c r="Y615" s="14"/>
      <c r="Z615" s="26">
        <v>0</v>
      </c>
      <c r="AA615" s="26"/>
      <c r="AB615" s="386">
        <v>0</v>
      </c>
      <c r="AC615" s="386">
        <v>0</v>
      </c>
      <c r="AD615" s="304"/>
      <c r="AE615" s="304"/>
      <c r="AF615" s="304"/>
      <c r="AG615" s="304"/>
      <c r="AH615" s="304"/>
      <c r="AI615" s="304"/>
      <c r="AJ615" s="386">
        <v>0</v>
      </c>
      <c r="AK615" s="386">
        <v>0</v>
      </c>
      <c r="AL615" s="595">
        <v>0</v>
      </c>
      <c r="AM615" s="596"/>
      <c r="AN615" s="386">
        <v>0</v>
      </c>
      <c r="AO615" s="348">
        <v>0</v>
      </c>
      <c r="AP615" s="26">
        <f>P615+Q615+R615+S615+T615+U615+V615+W615+X615+Y615+Z615+AA615+AB615+AC615+AD615+AE615+AF615+AG615+AH615+AI615+AJ615+AK615+AL615+AM615+AN615+AO615</f>
        <v>87500000</v>
      </c>
    </row>
    <row r="616" spans="1:42" s="196" customFormat="1" ht="192" customHeight="1" x14ac:dyDescent="0.25">
      <c r="A616" s="19"/>
      <c r="B616" s="20"/>
      <c r="C616" s="887"/>
      <c r="D616" s="895"/>
      <c r="E616" s="887"/>
      <c r="F616" s="887"/>
      <c r="G616" s="31"/>
      <c r="H616" s="152">
        <v>162</v>
      </c>
      <c r="I616" s="151" t="s">
        <v>787</v>
      </c>
      <c r="J616" s="152">
        <v>83</v>
      </c>
      <c r="K616" s="815">
        <v>83</v>
      </c>
      <c r="L616" s="887"/>
      <c r="M616" s="909"/>
      <c r="N616" s="895"/>
      <c r="O616" s="152" t="s">
        <v>44</v>
      </c>
      <c r="P616" s="26">
        <v>0</v>
      </c>
      <c r="Q616" s="26">
        <v>0</v>
      </c>
      <c r="R616" s="26">
        <v>0</v>
      </c>
      <c r="S616" s="26">
        <v>0</v>
      </c>
      <c r="T616" s="26">
        <v>0</v>
      </c>
      <c r="U616" s="26">
        <v>0</v>
      </c>
      <c r="V616" s="26">
        <v>0</v>
      </c>
      <c r="W616" s="304">
        <v>279309844</v>
      </c>
      <c r="X616" s="14"/>
      <c r="Y616" s="14"/>
      <c r="Z616" s="26">
        <v>0</v>
      </c>
      <c r="AA616" s="26"/>
      <c r="AB616" s="386">
        <v>0</v>
      </c>
      <c r="AC616" s="386">
        <v>0</v>
      </c>
      <c r="AD616" s="304"/>
      <c r="AE616" s="304"/>
      <c r="AF616" s="304"/>
      <c r="AG616" s="304"/>
      <c r="AH616" s="304"/>
      <c r="AI616" s="304"/>
      <c r="AJ616" s="386">
        <v>0</v>
      </c>
      <c r="AK616" s="386">
        <v>0</v>
      </c>
      <c r="AL616" s="595">
        <v>0</v>
      </c>
      <c r="AM616" s="596"/>
      <c r="AN616" s="386">
        <v>0</v>
      </c>
      <c r="AO616" s="348">
        <v>0</v>
      </c>
      <c r="AP616" s="26">
        <f>P616+Q616+R616+S616+T616+U616+V616+W616+X616+Y616+Z616+AA616+AB616+AC616+AD616+AE616+AF616+AG616+AH616+AI616+AJ616+AK616+AL616+AM616+AN616+AO616</f>
        <v>279309844</v>
      </c>
    </row>
    <row r="617" spans="1:42" s="196" customFormat="1" ht="15" x14ac:dyDescent="0.25">
      <c r="A617" s="20"/>
      <c r="B617" s="189"/>
      <c r="C617" s="150"/>
      <c r="D617" s="190"/>
      <c r="E617" s="708"/>
      <c r="F617" s="708"/>
      <c r="G617" s="191"/>
      <c r="H617" s="192"/>
      <c r="I617" s="191"/>
      <c r="J617" s="192"/>
      <c r="K617" s="192"/>
      <c r="L617" s="192"/>
      <c r="M617" s="194"/>
      <c r="N617" s="191"/>
      <c r="O617" s="192"/>
      <c r="P617" s="195">
        <f>SUM(P614:P616)</f>
        <v>0</v>
      </c>
      <c r="Q617" s="195">
        <f>SUM(Q614:Q616)</f>
        <v>0</v>
      </c>
      <c r="R617" s="195">
        <f>SUM(R614:R616)</f>
        <v>0</v>
      </c>
      <c r="S617" s="195">
        <f>SUM(S614:S616)</f>
        <v>0</v>
      </c>
      <c r="T617" s="195">
        <f>SUM(T614:T616)</f>
        <v>0</v>
      </c>
      <c r="U617" s="195">
        <f>SUM(U614:U616)</f>
        <v>0</v>
      </c>
      <c r="V617" s="195">
        <f>SUM(V614:V616)</f>
        <v>0</v>
      </c>
      <c r="W617" s="195">
        <f>SUM(W614:W616)</f>
        <v>1388271133</v>
      </c>
      <c r="X617" s="195"/>
      <c r="Y617" s="195"/>
      <c r="Z617" s="195">
        <f>SUM(Z614:Z616)</f>
        <v>0</v>
      </c>
      <c r="AA617" s="195"/>
      <c r="AB617" s="195">
        <f>SUM(AB614:AB616)</f>
        <v>0</v>
      </c>
      <c r="AC617" s="195">
        <f t="shared" ref="AC617" si="208">SUM(AC614:AC616)</f>
        <v>0</v>
      </c>
      <c r="AD617" s="195">
        <f>SUM(AD614:AD616)</f>
        <v>0</v>
      </c>
      <c r="AE617" s="195">
        <f>SUM(AE614:AE616)</f>
        <v>0</v>
      </c>
      <c r="AF617" s="195"/>
      <c r="AG617" s="195">
        <f>SUM(AG614:AG616)</f>
        <v>0</v>
      </c>
      <c r="AH617" s="195">
        <f>SUM(AH614:AH616)</f>
        <v>0</v>
      </c>
      <c r="AI617" s="195">
        <f>SUM(AI614:AI616)</f>
        <v>0</v>
      </c>
      <c r="AJ617" s="195">
        <f>SUM(AJ614:AJ616)</f>
        <v>0</v>
      </c>
      <c r="AK617" s="195">
        <f>SUM(AK614:AK616)</f>
        <v>0</v>
      </c>
      <c r="AL617" s="295">
        <f>SUM(AL614:AL616)</f>
        <v>0</v>
      </c>
      <c r="AM617" s="296"/>
      <c r="AN617" s="195">
        <f>SUM(AN614:AN616)</f>
        <v>0</v>
      </c>
      <c r="AO617" s="195">
        <f t="shared" ref="AO617:AP617" si="209">SUM(AO614:AO616)</f>
        <v>0</v>
      </c>
      <c r="AP617" s="195">
        <f t="shared" si="209"/>
        <v>1388271133</v>
      </c>
    </row>
    <row r="618" spans="1:42" s="196" customFormat="1" ht="15" x14ac:dyDescent="0.25">
      <c r="A618" s="20"/>
      <c r="B618" s="260"/>
      <c r="C618" s="199"/>
      <c r="D618" s="198"/>
      <c r="E618" s="199"/>
      <c r="F618" s="199"/>
      <c r="G618" s="198"/>
      <c r="H618" s="199"/>
      <c r="I618" s="198"/>
      <c r="J618" s="199"/>
      <c r="K618" s="199"/>
      <c r="L618" s="199"/>
      <c r="M618" s="201"/>
      <c r="N618" s="198"/>
      <c r="O618" s="199"/>
      <c r="P618" s="202">
        <f>P617+P611+P606+P599+P593+P588+P583+P575+P569+P563+P556</f>
        <v>0</v>
      </c>
      <c r="Q618" s="202">
        <f>Q617+Q611+Q606+Q599+Q593+Q588+Q583+Q575+Q569+Q563+Q556</f>
        <v>0</v>
      </c>
      <c r="R618" s="202">
        <f>R617+R611+R606+R599+R593+R588+R583+R575+R569+R563+R556</f>
        <v>0</v>
      </c>
      <c r="S618" s="202">
        <f>S617+S611+S606+S599+S593+S588+S583+S575+S569+S563+S556</f>
        <v>0</v>
      </c>
      <c r="T618" s="202">
        <f>T617+T611+T606+T599+T593+T588+T583+T575+T569+T563+T556</f>
        <v>0</v>
      </c>
      <c r="U618" s="202">
        <f>U617+U611+U606+U599+U593+U588+U583+U575+U569+U563+U556</f>
        <v>0</v>
      </c>
      <c r="V618" s="202">
        <f>V617+V611+V606+V599+V593+V588+V583+V575+V569+V563+V556</f>
        <v>0</v>
      </c>
      <c r="W618" s="202">
        <f>W617+W611+W606+W599+W593+W588+W583+W575+W569+W563+W556</f>
        <v>4164701985.996911</v>
      </c>
      <c r="X618" s="202"/>
      <c r="Y618" s="202"/>
      <c r="Z618" s="202">
        <f>Z617+Z611+Z606+Z599+Z593+Z588+Z583+Z575+Z569+Z563+Z556</f>
        <v>100000000</v>
      </c>
      <c r="AA618" s="202"/>
      <c r="AB618" s="202">
        <f>AB617+AB611+AB606+AB599+AB593+AB588+AB583+AB575+AB569+AB563+AB556</f>
        <v>1378557211</v>
      </c>
      <c r="AC618" s="202">
        <f t="shared" ref="AC618" si="210">AC617+AC611+AC606+AC599+AC593+AC588+AC583+AC575+AC569+AC563+AC556</f>
        <v>61389691</v>
      </c>
      <c r="AD618" s="202">
        <f>AD617+AD611+AD606+AD599+AD593+AD588+AD583+AD575+AD569+AD563+AD556</f>
        <v>0</v>
      </c>
      <c r="AE618" s="202">
        <f>AE617+AE611+AE606+AE599+AE593+AE588+AE583+AE575+AE569+AE563+AE556</f>
        <v>0</v>
      </c>
      <c r="AF618" s="202"/>
      <c r="AG618" s="202">
        <f>AG617+AG611+AG606+AG599+AG593+AG588+AG583+AG575+AG569+AG563+AG556</f>
        <v>0</v>
      </c>
      <c r="AH618" s="202">
        <f>AH617+AH611+AH606+AH599+AH593+AH588+AH583+AH575+AH569+AH563+AH556</f>
        <v>0</v>
      </c>
      <c r="AI618" s="202">
        <f>AI617+AI611+AI606+AI599+AI593+AI588+AI583+AI575+AI569+AI563+AI556</f>
        <v>0</v>
      </c>
      <c r="AJ618" s="202">
        <f>AJ617+AJ611+AJ606+AJ599+AJ593+AJ588+AJ583+AJ575+AJ569+AJ563+AJ556</f>
        <v>0</v>
      </c>
      <c r="AK618" s="202">
        <f>AK617+AK611+AK606+AK599+AK593+AK588+AK583+AK575+AK569+AK563+AK556</f>
        <v>0</v>
      </c>
      <c r="AL618" s="297">
        <f>AL617+AL611+AL606+AL599+AL593+AL588+AL583+AL575+AL569+AL563+AL556</f>
        <v>230000000</v>
      </c>
      <c r="AM618" s="297">
        <f t="shared" ref="AM618:AN618" si="211">AM617+AM611+AM606+AM599+AM593+AM588+AM583+AM575+AM569+AM563+AM556</f>
        <v>0</v>
      </c>
      <c r="AN618" s="297">
        <f t="shared" si="211"/>
        <v>0</v>
      </c>
      <c r="AO618" s="202">
        <f t="shared" ref="AO618:AP618" si="212">AO617+AO611+AO606+AO599+AO593+AO588+AO583+AO575+AO569+AO563+AO556</f>
        <v>437939867</v>
      </c>
      <c r="AP618" s="202">
        <f t="shared" si="212"/>
        <v>6372588754.996911</v>
      </c>
    </row>
    <row r="619" spans="1:42" s="28" customFormat="1" ht="15" x14ac:dyDescent="0.25">
      <c r="A619" s="20"/>
      <c r="B619" s="214"/>
      <c r="C619" s="454"/>
      <c r="D619" s="214"/>
      <c r="E619" s="454"/>
      <c r="F619" s="454"/>
      <c r="G619" s="214"/>
      <c r="H619" s="454"/>
      <c r="I619" s="214"/>
      <c r="J619" s="454"/>
      <c r="K619" s="454"/>
      <c r="L619" s="153"/>
      <c r="M619" s="279"/>
      <c r="N619" s="265"/>
      <c r="O619" s="454"/>
      <c r="P619" s="217"/>
      <c r="Q619" s="217"/>
      <c r="R619" s="217"/>
      <c r="S619" s="217"/>
      <c r="T619" s="217"/>
      <c r="U619" s="217"/>
      <c r="V619" s="217"/>
      <c r="W619" s="217"/>
      <c r="X619" s="217"/>
      <c r="Y619" s="217"/>
      <c r="Z619" s="217"/>
      <c r="AA619" s="217"/>
      <c r="AB619" s="217"/>
      <c r="AC619" s="217"/>
      <c r="AD619" s="217"/>
      <c r="AE619" s="217"/>
      <c r="AF619" s="217"/>
      <c r="AG619" s="217"/>
      <c r="AH619" s="217"/>
      <c r="AI619" s="217"/>
      <c r="AJ619" s="217"/>
      <c r="AK619" s="217"/>
      <c r="AL619" s="219"/>
      <c r="AM619" s="217"/>
      <c r="AN619" s="217"/>
      <c r="AO619" s="217"/>
      <c r="AP619" s="238"/>
    </row>
    <row r="620" spans="1:42" s="28" customFormat="1" x14ac:dyDescent="0.25">
      <c r="A620" s="20"/>
      <c r="B620" s="600">
        <v>13</v>
      </c>
      <c r="C620" s="181" t="s">
        <v>788</v>
      </c>
      <c r="D620" s="182"/>
      <c r="E620" s="182"/>
      <c r="F620" s="182"/>
      <c r="G620" s="182"/>
      <c r="H620" s="183"/>
      <c r="I620" s="182"/>
      <c r="J620" s="182"/>
      <c r="K620" s="182"/>
      <c r="L620" s="182"/>
      <c r="M620" s="184"/>
      <c r="N620" s="182"/>
      <c r="O620" s="182"/>
      <c r="P620" s="182"/>
      <c r="Q620" s="182"/>
      <c r="R620" s="182"/>
      <c r="S620" s="182"/>
      <c r="T620" s="182"/>
      <c r="U620" s="182"/>
      <c r="V620" s="182"/>
      <c r="W620" s="182"/>
      <c r="X620" s="182"/>
      <c r="Y620" s="182"/>
      <c r="Z620" s="182"/>
      <c r="AA620" s="182"/>
      <c r="AB620" s="182"/>
      <c r="AC620" s="182"/>
      <c r="AD620" s="182"/>
      <c r="AE620" s="182"/>
      <c r="AF620" s="182"/>
      <c r="AG620" s="182"/>
      <c r="AH620" s="182"/>
      <c r="AI620" s="182"/>
      <c r="AJ620" s="182"/>
      <c r="AK620" s="182"/>
      <c r="AL620" s="185"/>
      <c r="AM620" s="182"/>
      <c r="AN620" s="182"/>
      <c r="AO620" s="182"/>
      <c r="AP620" s="186"/>
    </row>
    <row r="621" spans="1:42" s="28" customFormat="1" ht="15" x14ac:dyDescent="0.25">
      <c r="A621" s="19"/>
      <c r="B621" s="20"/>
      <c r="C621" s="454"/>
      <c r="D621" s="214"/>
      <c r="E621" s="454"/>
      <c r="F621" s="150"/>
      <c r="G621" s="444">
        <v>47</v>
      </c>
      <c r="H621" s="904" t="s">
        <v>789</v>
      </c>
      <c r="I621" s="904"/>
      <c r="J621" s="904"/>
      <c r="K621" s="904"/>
      <c r="L621" s="904"/>
      <c r="M621" s="904"/>
      <c r="N621" s="904"/>
      <c r="O621" s="904"/>
      <c r="P621" s="227"/>
      <c r="Q621" s="227"/>
      <c r="R621" s="227"/>
      <c r="S621" s="227"/>
      <c r="T621" s="227"/>
      <c r="U621" s="227"/>
      <c r="V621" s="227"/>
      <c r="W621" s="227"/>
      <c r="X621" s="227"/>
      <c r="Y621" s="227"/>
      <c r="Z621" s="227"/>
      <c r="AA621" s="227"/>
      <c r="AB621" s="227"/>
      <c r="AC621" s="227"/>
      <c r="AD621" s="227"/>
      <c r="AE621" s="227"/>
      <c r="AF621" s="227"/>
      <c r="AG621" s="227"/>
      <c r="AH621" s="227"/>
      <c r="AI621" s="227"/>
      <c r="AJ621" s="227"/>
      <c r="AK621" s="227"/>
      <c r="AL621" s="229"/>
      <c r="AM621" s="227"/>
      <c r="AN621" s="227"/>
      <c r="AO621" s="227"/>
      <c r="AP621" s="230"/>
    </row>
    <row r="622" spans="1:42" s="196" customFormat="1" ht="82.5" customHeight="1" x14ac:dyDescent="0.25">
      <c r="A622" s="19"/>
      <c r="B622" s="20"/>
      <c r="C622" s="563">
        <v>27</v>
      </c>
      <c r="D622" s="614" t="s">
        <v>790</v>
      </c>
      <c r="E622" s="572">
        <v>0.89949999999999997</v>
      </c>
      <c r="F622" s="619">
        <v>0.92</v>
      </c>
      <c r="G622" s="7"/>
      <c r="H622" s="6">
        <v>163</v>
      </c>
      <c r="I622" s="7" t="s">
        <v>791</v>
      </c>
      <c r="J622" s="6">
        <v>12</v>
      </c>
      <c r="K622" s="815">
        <v>12</v>
      </c>
      <c r="L622" s="6" t="s">
        <v>676</v>
      </c>
      <c r="M622" s="38" t="s">
        <v>792</v>
      </c>
      <c r="N622" s="7" t="s">
        <v>793</v>
      </c>
      <c r="O622" s="152" t="s">
        <v>44</v>
      </c>
      <c r="P622" s="26">
        <v>0</v>
      </c>
      <c r="Q622" s="26">
        <v>0</v>
      </c>
      <c r="R622" s="26">
        <v>0</v>
      </c>
      <c r="S622" s="26">
        <v>0</v>
      </c>
      <c r="T622" s="26">
        <v>0</v>
      </c>
      <c r="U622" s="26">
        <v>0</v>
      </c>
      <c r="V622" s="26">
        <v>0</v>
      </c>
      <c r="W622" s="26"/>
      <c r="X622" s="26"/>
      <c r="Y622" s="26"/>
      <c r="Z622" s="14">
        <v>29046000</v>
      </c>
      <c r="AA622" s="14"/>
      <c r="AB622" s="26">
        <v>0</v>
      </c>
      <c r="AC622" s="386">
        <v>0</v>
      </c>
      <c r="AD622" s="304"/>
      <c r="AE622" s="304"/>
      <c r="AF622" s="304"/>
      <c r="AG622" s="304"/>
      <c r="AH622" s="304"/>
      <c r="AI622" s="304"/>
      <c r="AJ622" s="386">
        <v>0</v>
      </c>
      <c r="AK622" s="386">
        <v>0</v>
      </c>
      <c r="AL622" s="595">
        <v>0</v>
      </c>
      <c r="AM622" s="596"/>
      <c r="AN622" s="386">
        <v>0</v>
      </c>
      <c r="AO622" s="348">
        <v>0</v>
      </c>
      <c r="AP622" s="26">
        <f>P622+Q622+R622+S622+T622+U622+V622+W622+X622+Y622+Z622+AA622+AB622+AC622+AD622+AE622+AF622+AG622+AH622+AI622+AJ622+AK622+AL622+AM622+AN622+AO622</f>
        <v>29046000</v>
      </c>
    </row>
    <row r="623" spans="1:42" s="196" customFormat="1" ht="15" x14ac:dyDescent="0.25">
      <c r="A623" s="19"/>
      <c r="B623" s="20"/>
      <c r="C623" s="144"/>
      <c r="D623" s="534"/>
      <c r="E623" s="401"/>
      <c r="F623" s="401"/>
      <c r="G623" s="191"/>
      <c r="H623" s="192"/>
      <c r="I623" s="191"/>
      <c r="J623" s="192"/>
      <c r="K623" s="192"/>
      <c r="L623" s="192"/>
      <c r="M623" s="194"/>
      <c r="N623" s="192"/>
      <c r="O623" s="192"/>
      <c r="P623" s="195">
        <f>SUM(P622)</f>
        <v>0</v>
      </c>
      <c r="Q623" s="195">
        <f>SUM(Q622)</f>
        <v>0</v>
      </c>
      <c r="R623" s="195">
        <f>SUM(R622)</f>
        <v>0</v>
      </c>
      <c r="S623" s="195">
        <f>SUM(S622)</f>
        <v>0</v>
      </c>
      <c r="T623" s="195">
        <f>SUM(T622)</f>
        <v>0</v>
      </c>
      <c r="U623" s="195">
        <f>SUM(U622)</f>
        <v>0</v>
      </c>
      <c r="V623" s="195">
        <f>SUM(V622)</f>
        <v>0</v>
      </c>
      <c r="W623" s="195">
        <f>SUM(W622)</f>
        <v>0</v>
      </c>
      <c r="X623" s="195"/>
      <c r="Y623" s="195"/>
      <c r="Z623" s="195">
        <f>SUM(Z622)</f>
        <v>29046000</v>
      </c>
      <c r="AA623" s="195"/>
      <c r="AB623" s="195">
        <f>SUM(AB622)</f>
        <v>0</v>
      </c>
      <c r="AC623" s="195">
        <f>SUM(AC622)</f>
        <v>0</v>
      </c>
      <c r="AD623" s="195">
        <f>SUM(AD622)</f>
        <v>0</v>
      </c>
      <c r="AE623" s="195">
        <f>SUM(AE622)</f>
        <v>0</v>
      </c>
      <c r="AF623" s="195"/>
      <c r="AG623" s="195">
        <f>SUM(AG622)</f>
        <v>0</v>
      </c>
      <c r="AH623" s="195">
        <f>SUM(AH622)</f>
        <v>0</v>
      </c>
      <c r="AI623" s="195">
        <f>SUM(AI622)</f>
        <v>0</v>
      </c>
      <c r="AJ623" s="195">
        <f>SUM(AJ622)</f>
        <v>0</v>
      </c>
      <c r="AK623" s="195">
        <f>SUM(AK622)</f>
        <v>0</v>
      </c>
      <c r="AL623" s="295">
        <f>SUM(AL622)</f>
        <v>0</v>
      </c>
      <c r="AM623" s="195"/>
      <c r="AN623" s="195">
        <f>SUM(AN622)</f>
        <v>0</v>
      </c>
      <c r="AO623" s="195">
        <f>SUM(AO622)</f>
        <v>0</v>
      </c>
      <c r="AP623" s="195">
        <f>SUM(AP622)</f>
        <v>29046000</v>
      </c>
    </row>
    <row r="624" spans="1:42" s="196" customFormat="1" ht="15" x14ac:dyDescent="0.25">
      <c r="A624" s="19"/>
      <c r="B624" s="20"/>
      <c r="C624" s="454"/>
      <c r="D624" s="214"/>
      <c r="E624" s="454"/>
      <c r="F624" s="454"/>
      <c r="G624" s="214"/>
      <c r="H624" s="454"/>
      <c r="I624" s="214"/>
      <c r="J624" s="454"/>
      <c r="K624" s="454"/>
      <c r="L624" s="153"/>
      <c r="M624" s="279"/>
      <c r="N624" s="153"/>
      <c r="O624" s="454"/>
      <c r="P624" s="217"/>
      <c r="Q624" s="217"/>
      <c r="R624" s="217"/>
      <c r="S624" s="217"/>
      <c r="T624" s="217"/>
      <c r="U624" s="217"/>
      <c r="V624" s="217"/>
      <c r="W624" s="217"/>
      <c r="X624" s="217"/>
      <c r="Y624" s="217"/>
      <c r="Z624" s="217"/>
      <c r="AA624" s="217"/>
      <c r="AB624" s="217"/>
      <c r="AC624" s="217"/>
      <c r="AD624" s="217"/>
      <c r="AE624" s="217"/>
      <c r="AF624" s="217"/>
      <c r="AG624" s="217"/>
      <c r="AH624" s="217"/>
      <c r="AI624" s="217"/>
      <c r="AJ624" s="217"/>
      <c r="AK624" s="217"/>
      <c r="AL624" s="219"/>
      <c r="AM624" s="220"/>
      <c r="AN624" s="217"/>
      <c r="AO624" s="217"/>
      <c r="AP624" s="238"/>
    </row>
    <row r="625" spans="1:42" s="196" customFormat="1" ht="15" x14ac:dyDescent="0.25">
      <c r="A625" s="19"/>
      <c r="B625" s="20"/>
      <c r="C625" s="454"/>
      <c r="D625" s="190"/>
      <c r="E625" s="708"/>
      <c r="F625" s="708"/>
      <c r="G625" s="410">
        <v>48</v>
      </c>
      <c r="H625" s="227" t="s">
        <v>794</v>
      </c>
      <c r="I625" s="227"/>
      <c r="J625" s="227"/>
      <c r="K625" s="227"/>
      <c r="L625" s="227"/>
      <c r="M625" s="227"/>
      <c r="N625" s="227"/>
      <c r="O625" s="227"/>
      <c r="P625" s="227"/>
      <c r="Q625" s="227"/>
      <c r="R625" s="227"/>
      <c r="S625" s="227"/>
      <c r="T625" s="227"/>
      <c r="U625" s="227"/>
      <c r="V625" s="227"/>
      <c r="W625" s="227"/>
      <c r="X625" s="227"/>
      <c r="Y625" s="227"/>
      <c r="Z625" s="227"/>
      <c r="AA625" s="227"/>
      <c r="AB625" s="227"/>
      <c r="AC625" s="227"/>
      <c r="AD625" s="227"/>
      <c r="AE625" s="227"/>
      <c r="AF625" s="227"/>
      <c r="AG625" s="227"/>
      <c r="AH625" s="227"/>
      <c r="AI625" s="227"/>
      <c r="AJ625" s="227"/>
      <c r="AK625" s="227"/>
      <c r="AL625" s="229"/>
      <c r="AM625" s="227"/>
      <c r="AN625" s="227"/>
      <c r="AO625" s="227"/>
      <c r="AP625" s="230"/>
    </row>
    <row r="626" spans="1:42" s="196" customFormat="1" ht="104.25" customHeight="1" x14ac:dyDescent="0.25">
      <c r="A626" s="19"/>
      <c r="B626" s="20"/>
      <c r="C626" s="563">
        <v>27</v>
      </c>
      <c r="D626" s="614" t="s">
        <v>790</v>
      </c>
      <c r="E626" s="572">
        <v>0.89949999999999997</v>
      </c>
      <c r="F626" s="619">
        <v>0.92</v>
      </c>
      <c r="G626" s="7"/>
      <c r="H626" s="6">
        <v>164</v>
      </c>
      <c r="I626" s="7" t="s">
        <v>795</v>
      </c>
      <c r="J626" s="6">
        <v>12</v>
      </c>
      <c r="K626" s="815">
        <v>12</v>
      </c>
      <c r="L626" s="6" t="s">
        <v>676</v>
      </c>
      <c r="M626" s="38" t="s">
        <v>792</v>
      </c>
      <c r="N626" s="7" t="s">
        <v>793</v>
      </c>
      <c r="O626" s="152" t="s">
        <v>44</v>
      </c>
      <c r="P626" s="26">
        <v>0</v>
      </c>
      <c r="Q626" s="26">
        <v>0</v>
      </c>
      <c r="R626" s="26">
        <v>0</v>
      </c>
      <c r="S626" s="26">
        <v>0</v>
      </c>
      <c r="T626" s="26">
        <v>0</v>
      </c>
      <c r="U626" s="26">
        <v>0</v>
      </c>
      <c r="V626" s="26">
        <v>0</v>
      </c>
      <c r="W626" s="26">
        <v>0</v>
      </c>
      <c r="X626" s="26">
        <v>0</v>
      </c>
      <c r="Y626" s="26">
        <v>0</v>
      </c>
      <c r="Z626" s="26">
        <v>10699322722</v>
      </c>
      <c r="AA626" s="304">
        <v>0</v>
      </c>
      <c r="AB626" s="304">
        <v>0</v>
      </c>
      <c r="AC626" s="26">
        <v>5144759540</v>
      </c>
      <c r="AD626" s="304">
        <v>0</v>
      </c>
      <c r="AE626" s="304">
        <v>0</v>
      </c>
      <c r="AF626" s="304">
        <v>0</v>
      </c>
      <c r="AG626" s="304">
        <v>0</v>
      </c>
      <c r="AH626" s="304">
        <v>0</v>
      </c>
      <c r="AI626" s="304">
        <v>0</v>
      </c>
      <c r="AJ626" s="304">
        <v>0</v>
      </c>
      <c r="AK626" s="386">
        <v>0</v>
      </c>
      <c r="AL626" s="595">
        <v>0</v>
      </c>
      <c r="AM626" s="596">
        <v>0</v>
      </c>
      <c r="AN626" s="386">
        <v>0</v>
      </c>
      <c r="AO626" s="60">
        <v>0</v>
      </c>
      <c r="AP626" s="26">
        <f>P626+Q626+R626+S626+T626+U626+V626+W626+X626+Y626+Z626+AA626+AB626+AC626+AD626+AE626+AF626+AG626+AH626+AI626+AJ626+AK626+AL626+AM626+AN626+AO626</f>
        <v>15844082262</v>
      </c>
    </row>
    <row r="627" spans="1:42" s="196" customFormat="1" ht="15" x14ac:dyDescent="0.25">
      <c r="A627" s="19"/>
      <c r="B627" s="20"/>
      <c r="C627" s="150"/>
      <c r="D627" s="190"/>
      <c r="E627" s="708"/>
      <c r="F627" s="708"/>
      <c r="G627" s="191"/>
      <c r="H627" s="192"/>
      <c r="I627" s="191"/>
      <c r="J627" s="192"/>
      <c r="K627" s="192"/>
      <c r="L627" s="192"/>
      <c r="M627" s="194"/>
      <c r="N627" s="191"/>
      <c r="O627" s="192"/>
      <c r="P627" s="195">
        <f>SUM(P626)</f>
        <v>0</v>
      </c>
      <c r="Q627" s="195">
        <f>SUM(Q626)</f>
        <v>0</v>
      </c>
      <c r="R627" s="195">
        <f>SUM(R626)</f>
        <v>0</v>
      </c>
      <c r="S627" s="195">
        <f>SUM(S626)</f>
        <v>0</v>
      </c>
      <c r="T627" s="195">
        <f>SUM(T626)</f>
        <v>0</v>
      </c>
      <c r="U627" s="195">
        <f>SUM(U626)</f>
        <v>0</v>
      </c>
      <c r="V627" s="195">
        <f>SUM(V626)</f>
        <v>0</v>
      </c>
      <c r="W627" s="195">
        <f>SUM(W626)</f>
        <v>0</v>
      </c>
      <c r="X627" s="195"/>
      <c r="Y627" s="195"/>
      <c r="Z627" s="195">
        <f>SUM(Z626)</f>
        <v>10699322722</v>
      </c>
      <c r="AA627" s="195"/>
      <c r="AB627" s="195">
        <f>SUM(AB626)</f>
        <v>0</v>
      </c>
      <c r="AC627" s="195">
        <f>SUM(AC626)</f>
        <v>5144759540</v>
      </c>
      <c r="AD627" s="195">
        <f>SUM(AD626)</f>
        <v>0</v>
      </c>
      <c r="AE627" s="195">
        <f>SUM(AE626)</f>
        <v>0</v>
      </c>
      <c r="AF627" s="195"/>
      <c r="AG627" s="195">
        <f>SUM(AG626)</f>
        <v>0</v>
      </c>
      <c r="AH627" s="195">
        <f>SUM(AH626)</f>
        <v>0</v>
      </c>
      <c r="AI627" s="195">
        <f>SUM(AI626)</f>
        <v>0</v>
      </c>
      <c r="AJ627" s="195">
        <f>SUM(AJ626)</f>
        <v>0</v>
      </c>
      <c r="AK627" s="195">
        <f>SUM(AK626)</f>
        <v>0</v>
      </c>
      <c r="AL627" s="295">
        <f>SUM(AL626)</f>
        <v>0</v>
      </c>
      <c r="AM627" s="296"/>
      <c r="AN627" s="195">
        <f>SUM(AN626)</f>
        <v>0</v>
      </c>
      <c r="AO627" s="195">
        <f>SUM(AO626)</f>
        <v>0</v>
      </c>
      <c r="AP627" s="195">
        <f>SUM(AP626)</f>
        <v>15844082262</v>
      </c>
    </row>
    <row r="628" spans="1:42" s="196" customFormat="1" ht="15" x14ac:dyDescent="0.25">
      <c r="A628" s="19"/>
      <c r="B628" s="20"/>
      <c r="C628" s="454"/>
      <c r="D628" s="214"/>
      <c r="E628" s="454"/>
      <c r="F628" s="454"/>
      <c r="G628" s="214"/>
      <c r="H628" s="454"/>
      <c r="I628" s="214"/>
      <c r="J628" s="454"/>
      <c r="K628" s="454"/>
      <c r="L628" s="153"/>
      <c r="M628" s="279"/>
      <c r="N628" s="265"/>
      <c r="O628" s="454"/>
      <c r="P628" s="217"/>
      <c r="Q628" s="217"/>
      <c r="R628" s="217"/>
      <c r="S628" s="217"/>
      <c r="T628" s="217"/>
      <c r="U628" s="217"/>
      <c r="V628" s="217"/>
      <c r="W628" s="217"/>
      <c r="X628" s="217"/>
      <c r="Y628" s="217"/>
      <c r="Z628" s="217"/>
      <c r="AA628" s="217"/>
      <c r="AB628" s="217"/>
      <c r="AC628" s="217"/>
      <c r="AD628" s="217"/>
      <c r="AE628" s="217"/>
      <c r="AF628" s="217"/>
      <c r="AG628" s="217"/>
      <c r="AH628" s="217"/>
      <c r="AI628" s="217"/>
      <c r="AJ628" s="217"/>
      <c r="AK628" s="217"/>
      <c r="AL628" s="219"/>
      <c r="AM628" s="220"/>
      <c r="AN628" s="217"/>
      <c r="AO628" s="217"/>
      <c r="AP628" s="238"/>
    </row>
    <row r="629" spans="1:42" s="196" customFormat="1" ht="15" x14ac:dyDescent="0.25">
      <c r="A629" s="19"/>
      <c r="B629" s="20"/>
      <c r="C629" s="454"/>
      <c r="D629" s="190"/>
      <c r="E629" s="708"/>
      <c r="F629" s="708"/>
      <c r="G629" s="410">
        <v>49</v>
      </c>
      <c r="H629" s="917" t="s">
        <v>796</v>
      </c>
      <c r="I629" s="917"/>
      <c r="J629" s="917"/>
      <c r="K629" s="917"/>
      <c r="L629" s="917"/>
      <c r="M629" s="917"/>
      <c r="N629" s="917"/>
      <c r="O629" s="917"/>
      <c r="P629" s="227"/>
      <c r="Q629" s="227"/>
      <c r="R629" s="227"/>
      <c r="S629" s="227"/>
      <c r="T629" s="227"/>
      <c r="U629" s="227"/>
      <c r="V629" s="227"/>
      <c r="W629" s="227"/>
      <c r="X629" s="227"/>
      <c r="Y629" s="227"/>
      <c r="Z629" s="227"/>
      <c r="AA629" s="227"/>
      <c r="AB629" s="227"/>
      <c r="AC629" s="227"/>
      <c r="AD629" s="227"/>
      <c r="AE629" s="227"/>
      <c r="AF629" s="227"/>
      <c r="AG629" s="227"/>
      <c r="AH629" s="227"/>
      <c r="AI629" s="227"/>
      <c r="AJ629" s="227"/>
      <c r="AK629" s="227"/>
      <c r="AL629" s="229"/>
      <c r="AM629" s="227"/>
      <c r="AN629" s="227"/>
      <c r="AO629" s="227"/>
      <c r="AP629" s="230"/>
    </row>
    <row r="630" spans="1:42" s="196" customFormat="1" ht="98.25" customHeight="1" x14ac:dyDescent="0.25">
      <c r="A630" s="19"/>
      <c r="B630" s="20"/>
      <c r="C630" s="563">
        <v>27</v>
      </c>
      <c r="D630" s="614" t="s">
        <v>790</v>
      </c>
      <c r="E630" s="572">
        <v>0.89949999999999997</v>
      </c>
      <c r="F630" s="619">
        <v>0.92</v>
      </c>
      <c r="G630" s="7"/>
      <c r="H630" s="6">
        <v>165</v>
      </c>
      <c r="I630" s="7" t="s">
        <v>797</v>
      </c>
      <c r="J630" s="621">
        <v>12</v>
      </c>
      <c r="K630" s="615">
        <v>12</v>
      </c>
      <c r="L630" s="621" t="s">
        <v>676</v>
      </c>
      <c r="M630" s="38" t="s">
        <v>792</v>
      </c>
      <c r="N630" s="7" t="s">
        <v>793</v>
      </c>
      <c r="O630" s="152" t="s">
        <v>44</v>
      </c>
      <c r="P630" s="26">
        <v>0</v>
      </c>
      <c r="Q630" s="26">
        <v>0</v>
      </c>
      <c r="R630" s="26">
        <v>0</v>
      </c>
      <c r="S630" s="26">
        <v>0</v>
      </c>
      <c r="T630" s="26">
        <v>0</v>
      </c>
      <c r="U630" s="26">
        <v>0</v>
      </c>
      <c r="V630" s="26">
        <v>0</v>
      </c>
      <c r="W630" s="26"/>
      <c r="X630" s="26"/>
      <c r="Y630" s="26"/>
      <c r="Z630" s="14">
        <v>20913120</v>
      </c>
      <c r="AA630" s="14"/>
      <c r="AB630" s="26">
        <v>0</v>
      </c>
      <c r="AC630" s="386">
        <v>0</v>
      </c>
      <c r="AD630" s="304"/>
      <c r="AE630" s="304"/>
      <c r="AF630" s="304"/>
      <c r="AG630" s="304"/>
      <c r="AH630" s="304"/>
      <c r="AI630" s="304"/>
      <c r="AJ630" s="386">
        <v>0</v>
      </c>
      <c r="AK630" s="386">
        <v>0</v>
      </c>
      <c r="AL630" s="595">
        <v>0</v>
      </c>
      <c r="AM630" s="596"/>
      <c r="AN630" s="386">
        <v>0</v>
      </c>
      <c r="AO630" s="348">
        <v>0</v>
      </c>
      <c r="AP630" s="26">
        <f>P630+Q630+R630+S630+T630+U630+V630+W630+X630+Y630+Z630+AA630+AB630+AC630+AD630+AE630+AF630+AG630+AH630+AI630+AJ630+AK630+AL630+AM630+AN630+AO630</f>
        <v>20913120</v>
      </c>
    </row>
    <row r="631" spans="1:42" s="196" customFormat="1" ht="15" x14ac:dyDescent="0.25">
      <c r="A631" s="19"/>
      <c r="B631" s="20"/>
      <c r="C631" s="150"/>
      <c r="D631" s="190"/>
      <c r="E631" s="708"/>
      <c r="F631" s="708"/>
      <c r="G631" s="191"/>
      <c r="H631" s="192"/>
      <c r="I631" s="191"/>
      <c r="J631" s="622"/>
      <c r="K631" s="622"/>
      <c r="L631" s="622"/>
      <c r="M631" s="194"/>
      <c r="N631" s="191"/>
      <c r="O631" s="192"/>
      <c r="P631" s="195">
        <f>SUM(P630)</f>
        <v>0</v>
      </c>
      <c r="Q631" s="195">
        <f>SUM(Q630)</f>
        <v>0</v>
      </c>
      <c r="R631" s="195">
        <f>SUM(R630)</f>
        <v>0</v>
      </c>
      <c r="S631" s="195">
        <f>SUM(S630)</f>
        <v>0</v>
      </c>
      <c r="T631" s="195">
        <f>SUM(T630)</f>
        <v>0</v>
      </c>
      <c r="U631" s="195">
        <f>SUM(U630)</f>
        <v>0</v>
      </c>
      <c r="V631" s="195">
        <f>SUM(V630)</f>
        <v>0</v>
      </c>
      <c r="W631" s="195">
        <f>SUM(W630)</f>
        <v>0</v>
      </c>
      <c r="X631" s="195"/>
      <c r="Y631" s="195"/>
      <c r="Z631" s="195">
        <f>SUM(Z630)</f>
        <v>20913120</v>
      </c>
      <c r="AA631" s="195"/>
      <c r="AB631" s="195">
        <f>SUM(AB630)</f>
        <v>0</v>
      </c>
      <c r="AC631" s="195">
        <f t="shared" ref="AC631" si="213">SUM(AC630)</f>
        <v>0</v>
      </c>
      <c r="AD631" s="195">
        <f>SUM(AD630)</f>
        <v>0</v>
      </c>
      <c r="AE631" s="195">
        <f>SUM(AE630)</f>
        <v>0</v>
      </c>
      <c r="AF631" s="195"/>
      <c r="AG631" s="195">
        <f>SUM(AG630)</f>
        <v>0</v>
      </c>
      <c r="AH631" s="195">
        <f>SUM(AH630)</f>
        <v>0</v>
      </c>
      <c r="AI631" s="195">
        <f>SUM(AI630)</f>
        <v>0</v>
      </c>
      <c r="AJ631" s="195">
        <f>SUM(AJ630)</f>
        <v>0</v>
      </c>
      <c r="AK631" s="195">
        <f>SUM(AK630)</f>
        <v>0</v>
      </c>
      <c r="AL631" s="295">
        <f>SUM(AL630)</f>
        <v>0</v>
      </c>
      <c r="AM631" s="195"/>
      <c r="AN631" s="195">
        <f>SUM(AN630)</f>
        <v>0</v>
      </c>
      <c r="AO631" s="195">
        <f>SUM(AO630)</f>
        <v>0</v>
      </c>
      <c r="AP631" s="195">
        <f>SUM(AP630)</f>
        <v>20913120</v>
      </c>
    </row>
    <row r="632" spans="1:42" s="196" customFormat="1" ht="15" x14ac:dyDescent="0.25">
      <c r="A632" s="20"/>
      <c r="B632" s="513"/>
      <c r="C632" s="199"/>
      <c r="D632" s="198"/>
      <c r="E632" s="199"/>
      <c r="F632" s="199"/>
      <c r="G632" s="198"/>
      <c r="H632" s="199"/>
      <c r="I632" s="198"/>
      <c r="J632" s="623"/>
      <c r="K632" s="623"/>
      <c r="L632" s="623"/>
      <c r="M632" s="201"/>
      <c r="N632" s="198"/>
      <c r="O632" s="199"/>
      <c r="P632" s="202">
        <f>P631+P627+P623</f>
        <v>0</v>
      </c>
      <c r="Q632" s="202">
        <f>Q631+Q627+Q623</f>
        <v>0</v>
      </c>
      <c r="R632" s="202">
        <f>R631+R627+R623</f>
        <v>0</v>
      </c>
      <c r="S632" s="202">
        <f>S631+S627+S623</f>
        <v>0</v>
      </c>
      <c r="T632" s="202">
        <f>T631+T627+T623</f>
        <v>0</v>
      </c>
      <c r="U632" s="202">
        <f>U631+U627+U623</f>
        <v>0</v>
      </c>
      <c r="V632" s="202">
        <f>V631+V627+V623</f>
        <v>0</v>
      </c>
      <c r="W632" s="202">
        <f>W631+W627+W623</f>
        <v>0</v>
      </c>
      <c r="X632" s="202"/>
      <c r="Y632" s="202"/>
      <c r="Z632" s="202">
        <f>Z631+Z627+Z623</f>
        <v>10749281842</v>
      </c>
      <c r="AA632" s="202"/>
      <c r="AB632" s="202">
        <f>AB631+AB627+AB623</f>
        <v>0</v>
      </c>
      <c r="AC632" s="202">
        <f t="shared" ref="AC632" si="214">AC631+AC627+AC623</f>
        <v>5144759540</v>
      </c>
      <c r="AD632" s="202">
        <f t="shared" ref="AD632:AP632" si="215">AD631+AD627+AD623</f>
        <v>0</v>
      </c>
      <c r="AE632" s="202">
        <f t="shared" si="215"/>
        <v>0</v>
      </c>
      <c r="AF632" s="202">
        <f t="shared" si="215"/>
        <v>0</v>
      </c>
      <c r="AG632" s="202">
        <f t="shared" si="215"/>
        <v>0</v>
      </c>
      <c r="AH632" s="202">
        <f t="shared" si="215"/>
        <v>0</v>
      </c>
      <c r="AI632" s="202">
        <f t="shared" si="215"/>
        <v>0</v>
      </c>
      <c r="AJ632" s="202">
        <f t="shared" si="215"/>
        <v>0</v>
      </c>
      <c r="AK632" s="202">
        <f t="shared" si="215"/>
        <v>0</v>
      </c>
      <c r="AL632" s="202">
        <f t="shared" si="215"/>
        <v>0</v>
      </c>
      <c r="AM632" s="202">
        <f t="shared" si="215"/>
        <v>0</v>
      </c>
      <c r="AN632" s="202">
        <f t="shared" si="215"/>
        <v>0</v>
      </c>
      <c r="AO632" s="202">
        <f t="shared" si="215"/>
        <v>0</v>
      </c>
      <c r="AP632" s="202">
        <f t="shared" si="215"/>
        <v>15894041382</v>
      </c>
    </row>
    <row r="633" spans="1:42" s="28" customFormat="1" ht="15" x14ac:dyDescent="0.25">
      <c r="A633" s="20"/>
      <c r="B633" s="214"/>
      <c r="C633" s="454"/>
      <c r="D633" s="214"/>
      <c r="E633" s="454"/>
      <c r="F633" s="454"/>
      <c r="G633" s="214"/>
      <c r="H633" s="454"/>
      <c r="I633" s="214"/>
      <c r="J633" s="454"/>
      <c r="K633" s="454"/>
      <c r="L633" s="153"/>
      <c r="M633" s="279"/>
      <c r="N633" s="265"/>
      <c r="O633" s="454"/>
      <c r="P633" s="217"/>
      <c r="Q633" s="217"/>
      <c r="R633" s="217"/>
      <c r="S633" s="217"/>
      <c r="T633" s="217"/>
      <c r="U633" s="217"/>
      <c r="V633" s="217"/>
      <c r="W633" s="217"/>
      <c r="X633" s="217"/>
      <c r="Y633" s="217"/>
      <c r="Z633" s="217"/>
      <c r="AA633" s="217"/>
      <c r="AB633" s="217"/>
      <c r="AC633" s="217"/>
      <c r="AD633" s="217"/>
      <c r="AE633" s="217"/>
      <c r="AF633" s="217"/>
      <c r="AG633" s="217"/>
      <c r="AH633" s="217"/>
      <c r="AI633" s="217"/>
      <c r="AJ633" s="217"/>
      <c r="AK633" s="217"/>
      <c r="AL633" s="219"/>
      <c r="AM633" s="217"/>
      <c r="AN633" s="217"/>
      <c r="AO633" s="217"/>
      <c r="AP633" s="238"/>
    </row>
    <row r="634" spans="1:42" s="28" customFormat="1" x14ac:dyDescent="0.25">
      <c r="A634" s="20"/>
      <c r="B634" s="624">
        <v>14</v>
      </c>
      <c r="C634" s="181" t="s">
        <v>798</v>
      </c>
      <c r="D634" s="182"/>
      <c r="E634" s="182"/>
      <c r="F634" s="182"/>
      <c r="G634" s="182"/>
      <c r="H634" s="183"/>
      <c r="I634" s="182"/>
      <c r="J634" s="182"/>
      <c r="K634" s="182"/>
      <c r="L634" s="182"/>
      <c r="M634" s="184"/>
      <c r="N634" s="182"/>
      <c r="O634" s="182"/>
      <c r="P634" s="182"/>
      <c r="Q634" s="182"/>
      <c r="R634" s="182"/>
      <c r="S634" s="182"/>
      <c r="T634" s="182"/>
      <c r="U634" s="182"/>
      <c r="V634" s="182"/>
      <c r="W634" s="182"/>
      <c r="X634" s="182"/>
      <c r="Y634" s="182"/>
      <c r="Z634" s="182"/>
      <c r="AA634" s="182"/>
      <c r="AB634" s="182"/>
      <c r="AC634" s="182"/>
      <c r="AD634" s="182"/>
      <c r="AE634" s="182"/>
      <c r="AF634" s="182"/>
      <c r="AG634" s="182"/>
      <c r="AH634" s="182"/>
      <c r="AI634" s="182"/>
      <c r="AJ634" s="182"/>
      <c r="AK634" s="182"/>
      <c r="AL634" s="185"/>
      <c r="AM634" s="182"/>
      <c r="AN634" s="182"/>
      <c r="AO634" s="182"/>
      <c r="AP634" s="186"/>
    </row>
    <row r="635" spans="1:42" s="28" customFormat="1" ht="15" x14ac:dyDescent="0.25">
      <c r="A635" s="19"/>
      <c r="B635" s="20"/>
      <c r="C635" s="454"/>
      <c r="D635" s="214"/>
      <c r="E635" s="454"/>
      <c r="F635" s="150"/>
      <c r="G635" s="410">
        <v>50</v>
      </c>
      <c r="H635" s="917" t="s">
        <v>799</v>
      </c>
      <c r="I635" s="917"/>
      <c r="J635" s="917"/>
      <c r="K635" s="917"/>
      <c r="L635" s="917"/>
      <c r="M635" s="917"/>
      <c r="N635" s="917"/>
      <c r="O635" s="917"/>
      <c r="P635" s="227"/>
      <c r="Q635" s="227"/>
      <c r="R635" s="227"/>
      <c r="S635" s="227"/>
      <c r="T635" s="227"/>
      <c r="U635" s="227"/>
      <c r="V635" s="227"/>
      <c r="W635" s="227"/>
      <c r="X635" s="227"/>
      <c r="Y635" s="227"/>
      <c r="Z635" s="227"/>
      <c r="AA635" s="227"/>
      <c r="AB635" s="227"/>
      <c r="AC635" s="227"/>
      <c r="AD635" s="227"/>
      <c r="AE635" s="227"/>
      <c r="AF635" s="227"/>
      <c r="AG635" s="227"/>
      <c r="AH635" s="227"/>
      <c r="AI635" s="227"/>
      <c r="AJ635" s="227"/>
      <c r="AK635" s="227"/>
      <c r="AL635" s="229"/>
      <c r="AM635" s="227"/>
      <c r="AN635" s="227"/>
      <c r="AO635" s="227"/>
      <c r="AP635" s="230"/>
    </row>
    <row r="636" spans="1:42" s="196" customFormat="1" ht="85.5" x14ac:dyDescent="0.25">
      <c r="A636" s="19"/>
      <c r="B636" s="137"/>
      <c r="C636" s="920">
        <v>27</v>
      </c>
      <c r="D636" s="923" t="s">
        <v>790</v>
      </c>
      <c r="E636" s="926">
        <v>0.89949999999999997</v>
      </c>
      <c r="F636" s="929">
        <v>0.92</v>
      </c>
      <c r="G636" s="876"/>
      <c r="H636" s="6">
        <v>166</v>
      </c>
      <c r="I636" s="7" t="s">
        <v>800</v>
      </c>
      <c r="J636" s="621">
        <v>1</v>
      </c>
      <c r="K636" s="615">
        <v>0.8</v>
      </c>
      <c r="L636" s="932" t="s">
        <v>676</v>
      </c>
      <c r="M636" s="907" t="s">
        <v>801</v>
      </c>
      <c r="N636" s="893" t="s">
        <v>802</v>
      </c>
      <c r="O636" s="152" t="s">
        <v>44</v>
      </c>
      <c r="P636" s="26">
        <v>0</v>
      </c>
      <c r="Q636" s="26">
        <v>0</v>
      </c>
      <c r="R636" s="26">
        <v>0</v>
      </c>
      <c r="S636" s="26">
        <v>0</v>
      </c>
      <c r="T636" s="26">
        <v>0</v>
      </c>
      <c r="U636" s="304">
        <v>0</v>
      </c>
      <c r="V636" s="304">
        <v>0</v>
      </c>
      <c r="W636" s="304"/>
      <c r="X636" s="304"/>
      <c r="Y636" s="304"/>
      <c r="Z636" s="304">
        <v>0</v>
      </c>
      <c r="AA636" s="304"/>
      <c r="AB636" s="304">
        <v>0</v>
      </c>
      <c r="AC636" s="26">
        <v>0</v>
      </c>
      <c r="AD636" s="304"/>
      <c r="AE636" s="304"/>
      <c r="AF636" s="304"/>
      <c r="AG636" s="304"/>
      <c r="AH636" s="304"/>
      <c r="AI636" s="304"/>
      <c r="AJ636" s="26">
        <v>0</v>
      </c>
      <c r="AK636" s="386">
        <v>0</v>
      </c>
      <c r="AL636" s="595">
        <v>0</v>
      </c>
      <c r="AM636" s="596"/>
      <c r="AN636" s="386">
        <v>0</v>
      </c>
      <c r="AO636" s="564">
        <v>0</v>
      </c>
      <c r="AP636" s="26">
        <f>P636+Q636+R636+S636+T636+U636+V636+W636+X636+Y636+Z636+AA636+AB636+AC636+AD636+AE636+AF636+AG636+AH636+AI636+AJ636+AK636+AL636+AM636+AN636+AO636</f>
        <v>0</v>
      </c>
    </row>
    <row r="637" spans="1:42" s="28" customFormat="1" ht="57" x14ac:dyDescent="0.25">
      <c r="A637" s="19"/>
      <c r="B637" s="137"/>
      <c r="C637" s="921"/>
      <c r="D637" s="924"/>
      <c r="E637" s="927"/>
      <c r="F637" s="930"/>
      <c r="G637" s="877"/>
      <c r="H637" s="152">
        <v>167</v>
      </c>
      <c r="I637" s="151" t="s">
        <v>803</v>
      </c>
      <c r="J637" s="615">
        <v>15</v>
      </c>
      <c r="K637" s="615">
        <v>15</v>
      </c>
      <c r="L637" s="933"/>
      <c r="M637" s="908"/>
      <c r="N637" s="894"/>
      <c r="O637" s="152" t="s">
        <v>44</v>
      </c>
      <c r="P637" s="26">
        <v>0</v>
      </c>
      <c r="Q637" s="26">
        <v>0</v>
      </c>
      <c r="R637" s="26">
        <v>0</v>
      </c>
      <c r="S637" s="26">
        <v>0</v>
      </c>
      <c r="T637" s="26">
        <v>0</v>
      </c>
      <c r="U637" s="26">
        <v>0</v>
      </c>
      <c r="V637" s="26">
        <v>1839000000</v>
      </c>
      <c r="W637" s="26">
        <v>300000000</v>
      </c>
      <c r="X637" s="26">
        <v>4499205411</v>
      </c>
      <c r="Y637" s="26">
        <v>3001376249</v>
      </c>
      <c r="Z637" s="26">
        <v>6448331330</v>
      </c>
      <c r="AA637" s="26"/>
      <c r="AB637" s="26"/>
      <c r="AC637" s="26">
        <v>2846900107</v>
      </c>
      <c r="AD637" s="26"/>
      <c r="AE637" s="26"/>
      <c r="AF637" s="26"/>
      <c r="AG637" s="26"/>
      <c r="AH637" s="26"/>
      <c r="AI637" s="26"/>
      <c r="AJ637" s="26">
        <v>0</v>
      </c>
      <c r="AK637" s="26">
        <v>0</v>
      </c>
      <c r="AL637" s="113">
        <v>0</v>
      </c>
      <c r="AM637" s="39"/>
      <c r="AN637" s="26">
        <v>0</v>
      </c>
      <c r="AO637" s="27">
        <v>1039377146</v>
      </c>
      <c r="AP637" s="26">
        <f>P637+Q637+R637+S637+T637+U637+V637+W637+X637+Y637+Z637+AA637+AB637+AC637+AD637+AE637+AF637+AG637+AH637+AI637+AJ637+AK637+AL637+AM637+AN637+AO637</f>
        <v>19974190243</v>
      </c>
    </row>
    <row r="638" spans="1:42" s="196" customFormat="1" ht="81.75" customHeight="1" x14ac:dyDescent="0.25">
      <c r="A638" s="19"/>
      <c r="B638" s="137"/>
      <c r="C638" s="922"/>
      <c r="D638" s="925"/>
      <c r="E638" s="928"/>
      <c r="F638" s="931"/>
      <c r="G638" s="887"/>
      <c r="H638" s="6">
        <v>168</v>
      </c>
      <c r="I638" s="7" t="s">
        <v>804</v>
      </c>
      <c r="J638" s="621">
        <v>7</v>
      </c>
      <c r="K638" s="615">
        <v>14</v>
      </c>
      <c r="L638" s="934"/>
      <c r="M638" s="909"/>
      <c r="N638" s="895"/>
      <c r="O638" s="152" t="s">
        <v>44</v>
      </c>
      <c r="P638" s="26">
        <v>0</v>
      </c>
      <c r="Q638" s="26">
        <v>0</v>
      </c>
      <c r="R638" s="26">
        <v>0</v>
      </c>
      <c r="S638" s="26">
        <v>0</v>
      </c>
      <c r="T638" s="26">
        <v>0</v>
      </c>
      <c r="U638" s="304">
        <v>0</v>
      </c>
      <c r="V638" s="304">
        <v>0</v>
      </c>
      <c r="W638" s="304"/>
      <c r="X638" s="304"/>
      <c r="Y638" s="304"/>
      <c r="Z638" s="304"/>
      <c r="AA638" s="304"/>
      <c r="AB638" s="304">
        <v>0</v>
      </c>
      <c r="AC638" s="26">
        <v>0</v>
      </c>
      <c r="AD638" s="304"/>
      <c r="AE638" s="304"/>
      <c r="AF638" s="304"/>
      <c r="AG638" s="304"/>
      <c r="AH638" s="304"/>
      <c r="AI638" s="304"/>
      <c r="AJ638" s="26">
        <v>0</v>
      </c>
      <c r="AK638" s="386">
        <v>0</v>
      </c>
      <c r="AL638" s="595">
        <v>0</v>
      </c>
      <c r="AM638" s="596"/>
      <c r="AN638" s="386">
        <v>0</v>
      </c>
      <c r="AO638" s="348">
        <v>0</v>
      </c>
      <c r="AP638" s="26">
        <f>P638+Q638+R638+S638+T638+U638+V638+W638+X638+Y638+Z638+AA638+AB638+AC638+AD638+AE638+AF638+AG638+AH638+AI638+AJ638+AK638+AL638+AM638+AN638+AO638</f>
        <v>0</v>
      </c>
    </row>
    <row r="639" spans="1:42" s="196" customFormat="1" ht="15" x14ac:dyDescent="0.25">
      <c r="A639" s="19"/>
      <c r="B639" s="137"/>
      <c r="C639" s="150"/>
      <c r="D639" s="190"/>
      <c r="E639" s="708"/>
      <c r="F639" s="708"/>
      <c r="G639" s="191"/>
      <c r="H639" s="192"/>
      <c r="I639" s="191"/>
      <c r="J639" s="622"/>
      <c r="K639" s="622"/>
      <c r="L639" s="622"/>
      <c r="M639" s="194"/>
      <c r="N639" s="191"/>
      <c r="O639" s="192"/>
      <c r="P639" s="195">
        <f>SUM(P636:P638)</f>
        <v>0</v>
      </c>
      <c r="Q639" s="195">
        <f>SUM(Q636:Q638)</f>
        <v>0</v>
      </c>
      <c r="R639" s="195">
        <f>SUM(R636:R638)</f>
        <v>0</v>
      </c>
      <c r="S639" s="195">
        <f>SUM(S636:S638)</f>
        <v>0</v>
      </c>
      <c r="T639" s="195">
        <f>SUM(T636:T638)</f>
        <v>0</v>
      </c>
      <c r="U639" s="195">
        <f>SUM(U636:U638)</f>
        <v>0</v>
      </c>
      <c r="V639" s="195">
        <f>SUM(V636:V638)</f>
        <v>1839000000</v>
      </c>
      <c r="W639" s="195">
        <f t="shared" ref="W639:AP639" si="216">SUM(W636:W638)</f>
        <v>300000000</v>
      </c>
      <c r="X639" s="195">
        <f t="shared" si="216"/>
        <v>4499205411</v>
      </c>
      <c r="Y639" s="195">
        <f t="shared" si="216"/>
        <v>3001376249</v>
      </c>
      <c r="Z639" s="195">
        <f t="shared" si="216"/>
        <v>6448331330</v>
      </c>
      <c r="AA639" s="195">
        <f t="shared" si="216"/>
        <v>0</v>
      </c>
      <c r="AB639" s="195">
        <f t="shared" si="216"/>
        <v>0</v>
      </c>
      <c r="AC639" s="195">
        <f t="shared" si="216"/>
        <v>2846900107</v>
      </c>
      <c r="AD639" s="195">
        <f t="shared" si="216"/>
        <v>0</v>
      </c>
      <c r="AE639" s="195">
        <f t="shared" si="216"/>
        <v>0</v>
      </c>
      <c r="AF639" s="195">
        <f t="shared" si="216"/>
        <v>0</v>
      </c>
      <c r="AG639" s="195">
        <f t="shared" si="216"/>
        <v>0</v>
      </c>
      <c r="AH639" s="195">
        <f t="shared" si="216"/>
        <v>0</v>
      </c>
      <c r="AI639" s="195">
        <f t="shared" si="216"/>
        <v>0</v>
      </c>
      <c r="AJ639" s="195">
        <f t="shared" si="216"/>
        <v>0</v>
      </c>
      <c r="AK639" s="195">
        <f t="shared" si="216"/>
        <v>0</v>
      </c>
      <c r="AL639" s="195">
        <f t="shared" si="216"/>
        <v>0</v>
      </c>
      <c r="AM639" s="195">
        <f t="shared" si="216"/>
        <v>0</v>
      </c>
      <c r="AN639" s="195">
        <f t="shared" si="216"/>
        <v>0</v>
      </c>
      <c r="AO639" s="195">
        <f t="shared" si="216"/>
        <v>1039377146</v>
      </c>
      <c r="AP639" s="195">
        <f t="shared" si="216"/>
        <v>19974190243</v>
      </c>
    </row>
    <row r="640" spans="1:42" s="196" customFormat="1" ht="15" x14ac:dyDescent="0.25">
      <c r="A640" s="19"/>
      <c r="B640" s="137"/>
      <c r="C640" s="454"/>
      <c r="D640" s="214"/>
      <c r="E640" s="454"/>
      <c r="F640" s="454"/>
      <c r="G640" s="214"/>
      <c r="H640" s="454"/>
      <c r="I640" s="214"/>
      <c r="J640" s="454"/>
      <c r="K640" s="454"/>
      <c r="L640" s="153"/>
      <c r="M640" s="279"/>
      <c r="N640" s="265"/>
      <c r="O640" s="454"/>
      <c r="P640" s="217"/>
      <c r="Q640" s="217"/>
      <c r="R640" s="217"/>
      <c r="S640" s="217"/>
      <c r="T640" s="217"/>
      <c r="U640" s="217"/>
      <c r="V640" s="217"/>
      <c r="W640" s="217"/>
      <c r="X640" s="217"/>
      <c r="Y640" s="217"/>
      <c r="Z640" s="217"/>
      <c r="AA640" s="217"/>
      <c r="AB640" s="217"/>
      <c r="AC640" s="217"/>
      <c r="AD640" s="217"/>
      <c r="AE640" s="217"/>
      <c r="AF640" s="217"/>
      <c r="AG640" s="217"/>
      <c r="AH640" s="217"/>
      <c r="AI640" s="217"/>
      <c r="AJ640" s="217"/>
      <c r="AK640" s="217"/>
      <c r="AL640" s="219"/>
      <c r="AM640" s="220"/>
      <c r="AN640" s="217"/>
      <c r="AO640" s="217"/>
      <c r="AP640" s="628"/>
    </row>
    <row r="641" spans="1:42" s="196" customFormat="1" ht="15" x14ac:dyDescent="0.25">
      <c r="A641" s="19"/>
      <c r="B641" s="137"/>
      <c r="C641" s="454"/>
      <c r="D641" s="190"/>
      <c r="E641" s="708"/>
      <c r="F641" s="708"/>
      <c r="G641" s="410">
        <v>51</v>
      </c>
      <c r="H641" s="904" t="s">
        <v>805</v>
      </c>
      <c r="I641" s="904"/>
      <c r="J641" s="904"/>
      <c r="K641" s="904"/>
      <c r="L641" s="904"/>
      <c r="M641" s="904"/>
      <c r="N641" s="904"/>
      <c r="O641" s="904"/>
      <c r="P641" s="227"/>
      <c r="Q641" s="227"/>
      <c r="R641" s="227"/>
      <c r="S641" s="227"/>
      <c r="T641" s="227"/>
      <c r="U641" s="227"/>
      <c r="V641" s="227"/>
      <c r="W641" s="227"/>
      <c r="X641" s="227"/>
      <c r="Y641" s="227"/>
      <c r="Z641" s="227"/>
      <c r="AA641" s="227"/>
      <c r="AB641" s="227"/>
      <c r="AC641" s="227"/>
      <c r="AD641" s="227"/>
      <c r="AE641" s="227"/>
      <c r="AF641" s="227"/>
      <c r="AG641" s="227"/>
      <c r="AH641" s="227"/>
      <c r="AI641" s="227"/>
      <c r="AJ641" s="227"/>
      <c r="AK641" s="227"/>
      <c r="AL641" s="229"/>
      <c r="AM641" s="227"/>
      <c r="AN641" s="227"/>
      <c r="AO641" s="227"/>
      <c r="AP641" s="629"/>
    </row>
    <row r="642" spans="1:42" s="196" customFormat="1" ht="59.25" customHeight="1" x14ac:dyDescent="0.25">
      <c r="A642" s="19"/>
      <c r="B642" s="137"/>
      <c r="C642" s="150" t="s">
        <v>709</v>
      </c>
      <c r="D642" s="599" t="s">
        <v>806</v>
      </c>
      <c r="E642" s="630">
        <v>0.6</v>
      </c>
      <c r="F642" s="630">
        <v>1</v>
      </c>
      <c r="G642" s="151"/>
      <c r="H642" s="152">
        <v>169</v>
      </c>
      <c r="I642" s="151" t="s">
        <v>807</v>
      </c>
      <c r="J642" s="615">
        <v>8</v>
      </c>
      <c r="K642" s="615">
        <v>12</v>
      </c>
      <c r="L642" s="615" t="s">
        <v>676</v>
      </c>
      <c r="M642" s="38" t="s">
        <v>808</v>
      </c>
      <c r="N642" s="151" t="s">
        <v>809</v>
      </c>
      <c r="O642" s="152" t="s">
        <v>44</v>
      </c>
      <c r="P642" s="386">
        <v>0</v>
      </c>
      <c r="Q642" s="386">
        <v>0</v>
      </c>
      <c r="R642" s="386">
        <v>0</v>
      </c>
      <c r="S642" s="386">
        <v>0</v>
      </c>
      <c r="T642" s="386">
        <v>0</v>
      </c>
      <c r="U642" s="386">
        <v>0</v>
      </c>
      <c r="V642" s="386">
        <v>0</v>
      </c>
      <c r="W642" s="386"/>
      <c r="X642" s="386"/>
      <c r="Y642" s="304"/>
      <c r="Z642" s="5">
        <v>44149920</v>
      </c>
      <c r="AA642" s="5"/>
      <c r="AB642" s="304">
        <v>0</v>
      </c>
      <c r="AC642" s="386">
        <v>0</v>
      </c>
      <c r="AD642" s="304"/>
      <c r="AE642" s="304"/>
      <c r="AF642" s="304"/>
      <c r="AG642" s="304"/>
      <c r="AH642" s="304"/>
      <c r="AI642" s="304"/>
      <c r="AJ642" s="386">
        <v>0</v>
      </c>
      <c r="AK642" s="386">
        <v>0</v>
      </c>
      <c r="AL642" s="595">
        <v>0</v>
      </c>
      <c r="AM642" s="596"/>
      <c r="AN642" s="386">
        <v>0</v>
      </c>
      <c r="AO642" s="348">
        <v>0</v>
      </c>
      <c r="AP642" s="26">
        <f>P642+Q642+R642+S642+T642+U642+V642+W642+X642+Y642+Z642+AA642+AB642+AC642+AD642+AE642+AF642+AG642+AH642+AI642+AJ642+AK642+AL642+AM642+AN642+AO642</f>
        <v>44149920</v>
      </c>
    </row>
    <row r="643" spans="1:42" s="196" customFormat="1" ht="15" x14ac:dyDescent="0.25">
      <c r="A643" s="19"/>
      <c r="B643" s="137"/>
      <c r="C643" s="150"/>
      <c r="D643" s="190"/>
      <c r="E643" s="708"/>
      <c r="F643" s="708"/>
      <c r="G643" s="191"/>
      <c r="H643" s="192"/>
      <c r="I643" s="191"/>
      <c r="J643" s="622"/>
      <c r="K643" s="622"/>
      <c r="L643" s="622"/>
      <c r="M643" s="194"/>
      <c r="N643" s="191"/>
      <c r="O643" s="192"/>
      <c r="P643" s="195">
        <f>P642</f>
        <v>0</v>
      </c>
      <c r="Q643" s="195">
        <f>Q642</f>
        <v>0</v>
      </c>
      <c r="R643" s="195">
        <f>R642</f>
        <v>0</v>
      </c>
      <c r="S643" s="195">
        <f>S642</f>
        <v>0</v>
      </c>
      <c r="T643" s="195">
        <f>T642</f>
        <v>0</v>
      </c>
      <c r="U643" s="195">
        <f>U642</f>
        <v>0</v>
      </c>
      <c r="V643" s="195">
        <f>V642</f>
        <v>0</v>
      </c>
      <c r="W643" s="195">
        <f>W642</f>
        <v>0</v>
      </c>
      <c r="X643" s="195"/>
      <c r="Y643" s="195"/>
      <c r="Z643" s="195">
        <f>Z642</f>
        <v>44149920</v>
      </c>
      <c r="AA643" s="195"/>
      <c r="AB643" s="195">
        <f>AB642</f>
        <v>0</v>
      </c>
      <c r="AC643" s="195">
        <f>AC642</f>
        <v>0</v>
      </c>
      <c r="AD643" s="195">
        <f>AD642</f>
        <v>0</v>
      </c>
      <c r="AE643" s="195">
        <f>AE642</f>
        <v>0</v>
      </c>
      <c r="AF643" s="195"/>
      <c r="AG643" s="195">
        <f>AG642</f>
        <v>0</v>
      </c>
      <c r="AH643" s="195">
        <f>AH642</f>
        <v>0</v>
      </c>
      <c r="AI643" s="195">
        <f>AI642</f>
        <v>0</v>
      </c>
      <c r="AJ643" s="195">
        <f>AJ642</f>
        <v>0</v>
      </c>
      <c r="AK643" s="195">
        <f>AK642</f>
        <v>0</v>
      </c>
      <c r="AL643" s="295">
        <f>AL642</f>
        <v>0</v>
      </c>
      <c r="AM643" s="195"/>
      <c r="AN643" s="195">
        <f>AN642</f>
        <v>0</v>
      </c>
      <c r="AO643" s="627">
        <f>AO642</f>
        <v>0</v>
      </c>
      <c r="AP643" s="627">
        <f t="shared" ref="AP643" si="217">AP642</f>
        <v>44149920</v>
      </c>
    </row>
    <row r="644" spans="1:42" s="196" customFormat="1" ht="15" x14ac:dyDescent="0.25">
      <c r="A644" s="19"/>
      <c r="B644" s="137"/>
      <c r="C644" s="454"/>
      <c r="D644" s="214"/>
      <c r="E644" s="454"/>
      <c r="F644" s="454"/>
      <c r="G644" s="214"/>
      <c r="H644" s="454"/>
      <c r="I644" s="214"/>
      <c r="J644" s="454"/>
      <c r="K644" s="454"/>
      <c r="L644" s="153"/>
      <c r="M644" s="279"/>
      <c r="N644" s="265"/>
      <c r="O644" s="454"/>
      <c r="P644" s="217"/>
      <c r="Q644" s="217"/>
      <c r="R644" s="217"/>
      <c r="S644" s="217"/>
      <c r="T644" s="217"/>
      <c r="U644" s="217"/>
      <c r="V644" s="217"/>
      <c r="W644" s="217"/>
      <c r="X644" s="217"/>
      <c r="Y644" s="217"/>
      <c r="Z644" s="217"/>
      <c r="AA644" s="217"/>
      <c r="AB644" s="217"/>
      <c r="AC644" s="217"/>
      <c r="AD644" s="217"/>
      <c r="AE644" s="217"/>
      <c r="AF644" s="217"/>
      <c r="AG644" s="217"/>
      <c r="AH644" s="217"/>
      <c r="AI644" s="217"/>
      <c r="AJ644" s="217"/>
      <c r="AK644" s="217"/>
      <c r="AL644" s="219"/>
      <c r="AM644" s="220"/>
      <c r="AN644" s="217"/>
      <c r="AO644" s="217"/>
      <c r="AP644" s="26"/>
    </row>
    <row r="645" spans="1:42" s="196" customFormat="1" ht="15" x14ac:dyDescent="0.25">
      <c r="A645" s="19"/>
      <c r="B645" s="137"/>
      <c r="C645" s="454"/>
      <c r="D645" s="190"/>
      <c r="E645" s="708"/>
      <c r="F645" s="708"/>
      <c r="G645" s="410">
        <v>52</v>
      </c>
      <c r="H645" s="904" t="s">
        <v>810</v>
      </c>
      <c r="I645" s="904"/>
      <c r="J645" s="904"/>
      <c r="K645" s="904"/>
      <c r="L645" s="904"/>
      <c r="M645" s="904"/>
      <c r="N645" s="904"/>
      <c r="O645" s="904"/>
      <c r="P645" s="227"/>
      <c r="Q645" s="227"/>
      <c r="R645" s="227"/>
      <c r="S645" s="227"/>
      <c r="T645" s="227"/>
      <c r="U645" s="227"/>
      <c r="V645" s="227"/>
      <c r="W645" s="227"/>
      <c r="X645" s="227"/>
      <c r="Y645" s="227"/>
      <c r="Z645" s="227"/>
      <c r="AA645" s="227"/>
      <c r="AB645" s="227"/>
      <c r="AC645" s="227"/>
      <c r="AD645" s="227"/>
      <c r="AE645" s="227"/>
      <c r="AF645" s="227"/>
      <c r="AG645" s="227"/>
      <c r="AH645" s="227"/>
      <c r="AI645" s="227"/>
      <c r="AJ645" s="227"/>
      <c r="AK645" s="227"/>
      <c r="AL645" s="229"/>
      <c r="AM645" s="227"/>
      <c r="AN645" s="227"/>
      <c r="AO645" s="227"/>
      <c r="AP645" s="629"/>
    </row>
    <row r="646" spans="1:42" s="196" customFormat="1" ht="98.25" customHeight="1" x14ac:dyDescent="0.25">
      <c r="A646" s="19"/>
      <c r="B646" s="137"/>
      <c r="C646" s="864">
        <v>28</v>
      </c>
      <c r="D646" s="913" t="s">
        <v>811</v>
      </c>
      <c r="E646" s="915">
        <v>0.5</v>
      </c>
      <c r="F646" s="915">
        <v>1</v>
      </c>
      <c r="G646" s="23"/>
      <c r="H646" s="152">
        <v>170</v>
      </c>
      <c r="I646" s="151" t="s">
        <v>812</v>
      </c>
      <c r="J646" s="609">
        <v>14</v>
      </c>
      <c r="K646" s="609">
        <v>14</v>
      </c>
      <c r="L646" s="918" t="s">
        <v>676</v>
      </c>
      <c r="M646" s="907" t="s">
        <v>813</v>
      </c>
      <c r="N646" s="893" t="s">
        <v>814</v>
      </c>
      <c r="O646" s="152" t="s">
        <v>44</v>
      </c>
      <c r="P646" s="26">
        <v>0</v>
      </c>
      <c r="Q646" s="26">
        <v>0</v>
      </c>
      <c r="R646" s="26">
        <v>0</v>
      </c>
      <c r="S646" s="26">
        <v>0</v>
      </c>
      <c r="T646" s="26">
        <v>0</v>
      </c>
      <c r="U646" s="26">
        <v>0</v>
      </c>
      <c r="V646" s="26">
        <v>0</v>
      </c>
      <c r="W646" s="26"/>
      <c r="X646" s="26"/>
      <c r="Y646" s="26"/>
      <c r="Z646" s="631">
        <v>39484444</v>
      </c>
      <c r="AA646" s="631"/>
      <c r="AB646" s="304">
        <v>0</v>
      </c>
      <c r="AC646" s="26">
        <v>0</v>
      </c>
      <c r="AD646" s="26">
        <v>0</v>
      </c>
      <c r="AE646" s="26">
        <v>0</v>
      </c>
      <c r="AF646" s="26"/>
      <c r="AG646" s="26">
        <v>0</v>
      </c>
      <c r="AH646" s="26">
        <v>0</v>
      </c>
      <c r="AI646" s="26">
        <v>0</v>
      </c>
      <c r="AJ646" s="26">
        <v>0</v>
      </c>
      <c r="AK646" s="26">
        <v>0</v>
      </c>
      <c r="AL646" s="113">
        <v>0</v>
      </c>
      <c r="AM646" s="39"/>
      <c r="AN646" s="386">
        <v>0</v>
      </c>
      <c r="AO646" s="348">
        <v>0</v>
      </c>
      <c r="AP646" s="26">
        <f>P646+Q646+R646+S646+T646+U646+V646+W646+X646+Y646+Z646+AA646+AB646+AC646+AD646+AE646+AF646+AG646+AH646+AI646+AJ646+AK646+AL646+AM646+AN646+AO646</f>
        <v>39484444</v>
      </c>
    </row>
    <row r="647" spans="1:42" s="196" customFormat="1" ht="66" customHeight="1" x14ac:dyDescent="0.25">
      <c r="A647" s="19"/>
      <c r="B647" s="137"/>
      <c r="C647" s="866"/>
      <c r="D647" s="914"/>
      <c r="E647" s="916"/>
      <c r="F647" s="916"/>
      <c r="G647" s="29"/>
      <c r="H647" s="152">
        <v>171</v>
      </c>
      <c r="I647" s="151" t="s">
        <v>815</v>
      </c>
      <c r="J647" s="609">
        <v>1</v>
      </c>
      <c r="K647" s="609">
        <v>1</v>
      </c>
      <c r="L647" s="919"/>
      <c r="M647" s="909"/>
      <c r="N647" s="895"/>
      <c r="O647" s="152" t="s">
        <v>44</v>
      </c>
      <c r="P647" s="26">
        <v>0</v>
      </c>
      <c r="Q647" s="26">
        <v>0</v>
      </c>
      <c r="R647" s="26">
        <v>0</v>
      </c>
      <c r="S647" s="26">
        <v>0</v>
      </c>
      <c r="T647" s="26">
        <v>0</v>
      </c>
      <c r="U647" s="26">
        <v>0</v>
      </c>
      <c r="V647" s="26">
        <v>0</v>
      </c>
      <c r="W647" s="26"/>
      <c r="X647" s="26"/>
      <c r="Y647" s="26"/>
      <c r="Z647" s="631">
        <v>98711111.109999999</v>
      </c>
      <c r="AA647" s="631"/>
      <c r="AB647" s="304">
        <v>0</v>
      </c>
      <c r="AC647" s="26">
        <v>0</v>
      </c>
      <c r="AD647" s="26">
        <v>0</v>
      </c>
      <c r="AE647" s="26">
        <v>0</v>
      </c>
      <c r="AF647" s="26"/>
      <c r="AG647" s="26">
        <v>0</v>
      </c>
      <c r="AH647" s="26">
        <v>0</v>
      </c>
      <c r="AI647" s="26">
        <v>0</v>
      </c>
      <c r="AJ647" s="26">
        <v>0</v>
      </c>
      <c r="AK647" s="26">
        <v>0</v>
      </c>
      <c r="AL647" s="113">
        <v>0</v>
      </c>
      <c r="AM647" s="39"/>
      <c r="AN647" s="386">
        <v>0</v>
      </c>
      <c r="AO647" s="348">
        <v>0</v>
      </c>
      <c r="AP647" s="26">
        <f>P647+Q647+R647+S647+T647+U647+V647+W647+X647+Y647+Z647+AA647+AB647+AC647+AD647+AE647+AF647+AG647+AH647+AI647+AJ647+AK647+AL647+AM647+AN647+AO647</f>
        <v>98711111.109999999</v>
      </c>
    </row>
    <row r="648" spans="1:42" s="28" customFormat="1" ht="86.25" customHeight="1" x14ac:dyDescent="0.25">
      <c r="A648" s="19"/>
      <c r="B648" s="137"/>
      <c r="C648" s="150">
        <v>28</v>
      </c>
      <c r="D648" s="151" t="s">
        <v>811</v>
      </c>
      <c r="E648" s="81">
        <v>0.5</v>
      </c>
      <c r="F648" s="81">
        <v>1</v>
      </c>
      <c r="G648" s="31"/>
      <c r="H648" s="152">
        <v>172</v>
      </c>
      <c r="I648" s="758" t="s">
        <v>920</v>
      </c>
      <c r="J648" s="615">
        <v>12</v>
      </c>
      <c r="K648" s="615">
        <v>12</v>
      </c>
      <c r="L648" s="615" t="s">
        <v>676</v>
      </c>
      <c r="M648" s="38" t="s">
        <v>816</v>
      </c>
      <c r="N648" s="151" t="s">
        <v>817</v>
      </c>
      <c r="O648" s="152" t="s">
        <v>44</v>
      </c>
      <c r="P648" s="26">
        <v>0</v>
      </c>
      <c r="Q648" s="26">
        <v>0</v>
      </c>
      <c r="R648" s="26">
        <v>0</v>
      </c>
      <c r="S648" s="26">
        <v>0</v>
      </c>
      <c r="T648" s="26">
        <v>0</v>
      </c>
      <c r="U648" s="26">
        <v>0</v>
      </c>
      <c r="V648" s="26">
        <v>0</v>
      </c>
      <c r="W648" s="26"/>
      <c r="X648" s="26"/>
      <c r="Y648" s="26"/>
      <c r="Z648" s="632">
        <v>6004444.4400000004</v>
      </c>
      <c r="AA648" s="632"/>
      <c r="AB648" s="26">
        <v>0</v>
      </c>
      <c r="AC648" s="26">
        <v>0</v>
      </c>
      <c r="AD648" s="26">
        <v>0</v>
      </c>
      <c r="AE648" s="26">
        <v>0</v>
      </c>
      <c r="AF648" s="26"/>
      <c r="AG648" s="26">
        <v>0</v>
      </c>
      <c r="AH648" s="26">
        <v>0</v>
      </c>
      <c r="AI648" s="26">
        <v>0</v>
      </c>
      <c r="AJ648" s="26">
        <v>0</v>
      </c>
      <c r="AK648" s="26">
        <v>0</v>
      </c>
      <c r="AL648" s="113">
        <f>300000000+400000000</f>
        <v>700000000</v>
      </c>
      <c r="AM648" s="39"/>
      <c r="AN648" s="26">
        <v>0</v>
      </c>
      <c r="AO648" s="27">
        <v>0</v>
      </c>
      <c r="AP648" s="26">
        <f>P648+Q648+R648+S648+T648+U648+V648+W648+X648+Y648+Z648+AA648+AB648+AC648+AD648+AE648+AF648+AG648+AH648+AI648+AJ648+AK648+AL648+AM648+AN648+AO648</f>
        <v>706004444.44000006</v>
      </c>
    </row>
    <row r="649" spans="1:42" s="196" customFormat="1" ht="15" x14ac:dyDescent="0.25">
      <c r="A649" s="19"/>
      <c r="B649" s="137"/>
      <c r="C649" s="150"/>
      <c r="D649" s="190"/>
      <c r="E649" s="708"/>
      <c r="F649" s="708"/>
      <c r="G649" s="191"/>
      <c r="H649" s="192"/>
      <c r="I649" s="191"/>
      <c r="J649" s="622"/>
      <c r="K649" s="622"/>
      <c r="L649" s="622"/>
      <c r="M649" s="194"/>
      <c r="N649" s="191"/>
      <c r="O649" s="192"/>
      <c r="P649" s="195">
        <f>SUM(P646:P648)</f>
        <v>0</v>
      </c>
      <c r="Q649" s="195">
        <f>SUM(Q646:Q648)</f>
        <v>0</v>
      </c>
      <c r="R649" s="195">
        <f>SUM(R646:R648)</f>
        <v>0</v>
      </c>
      <c r="S649" s="195">
        <f>SUM(S646:S648)</f>
        <v>0</v>
      </c>
      <c r="T649" s="195">
        <f>SUM(T646:T648)</f>
        <v>0</v>
      </c>
      <c r="U649" s="195">
        <f>SUM(U646:U648)</f>
        <v>0</v>
      </c>
      <c r="V649" s="195">
        <f>SUM(V646:V648)</f>
        <v>0</v>
      </c>
      <c r="W649" s="195">
        <f>SUM(W646:W648)</f>
        <v>0</v>
      </c>
      <c r="X649" s="195"/>
      <c r="Y649" s="195"/>
      <c r="Z649" s="195">
        <f>SUM(Z646:Z648)</f>
        <v>144199999.55000001</v>
      </c>
      <c r="AA649" s="195">
        <f t="shared" ref="AA649" si="218">SUM(AA646:AA648)</f>
        <v>0</v>
      </c>
      <c r="AB649" s="195">
        <f>SUM(AB646:AB648)</f>
        <v>0</v>
      </c>
      <c r="AC649" s="195">
        <f>SUM(AC646:AC648)</f>
        <v>0</v>
      </c>
      <c r="AD649" s="195">
        <f>SUM(AD646:AD648)</f>
        <v>0</v>
      </c>
      <c r="AE649" s="195">
        <f>SUM(AE646:AE648)</f>
        <v>0</v>
      </c>
      <c r="AF649" s="195"/>
      <c r="AG649" s="195">
        <f>SUM(AG646:AG648)</f>
        <v>0</v>
      </c>
      <c r="AH649" s="195">
        <f>SUM(AH646:AH648)</f>
        <v>0</v>
      </c>
      <c r="AI649" s="195">
        <f>SUM(AI646:AI648)</f>
        <v>0</v>
      </c>
      <c r="AJ649" s="195">
        <f>SUM(AJ646:AJ648)</f>
        <v>0</v>
      </c>
      <c r="AK649" s="195">
        <f>SUM(AK646:AK648)</f>
        <v>0</v>
      </c>
      <c r="AL649" s="295">
        <f>SUM(AL646:AL648)</f>
        <v>700000000</v>
      </c>
      <c r="AM649" s="195"/>
      <c r="AN649" s="195">
        <f>SUM(AN646:AN648)</f>
        <v>0</v>
      </c>
      <c r="AO649" s="195">
        <f>SUM(AO646:AO648)</f>
        <v>0</v>
      </c>
      <c r="AP649" s="195">
        <f>SUM(AP646:AP648)</f>
        <v>844199999.55000007</v>
      </c>
    </row>
    <row r="650" spans="1:42" s="196" customFormat="1" ht="15" x14ac:dyDescent="0.25">
      <c r="A650" s="19"/>
      <c r="B650" s="137"/>
      <c r="C650" s="454"/>
      <c r="D650" s="214"/>
      <c r="E650" s="454"/>
      <c r="F650" s="454"/>
      <c r="G650" s="214"/>
      <c r="H650" s="454"/>
      <c r="I650" s="214"/>
      <c r="J650" s="454"/>
      <c r="K650" s="454"/>
      <c r="L650" s="153"/>
      <c r="M650" s="279"/>
      <c r="N650" s="265"/>
      <c r="O650" s="454"/>
      <c r="P650" s="217"/>
      <c r="Q650" s="217"/>
      <c r="R650" s="217"/>
      <c r="S650" s="217"/>
      <c r="T650" s="217"/>
      <c r="U650" s="217"/>
      <c r="V650" s="217"/>
      <c r="W650" s="217"/>
      <c r="X650" s="217"/>
      <c r="Y650" s="217"/>
      <c r="Z650" s="217"/>
      <c r="AA650" s="217"/>
      <c r="AB650" s="217"/>
      <c r="AC650" s="217"/>
      <c r="AD650" s="217"/>
      <c r="AE650" s="217"/>
      <c r="AF650" s="217"/>
      <c r="AG650" s="217"/>
      <c r="AH650" s="217"/>
      <c r="AI650" s="217"/>
      <c r="AJ650" s="217"/>
      <c r="AK650" s="217"/>
      <c r="AL650" s="219"/>
      <c r="AM650" s="220"/>
      <c r="AN650" s="217"/>
      <c r="AO650" s="217"/>
      <c r="AP650" s="238"/>
    </row>
    <row r="651" spans="1:42" s="196" customFormat="1" ht="15" x14ac:dyDescent="0.25">
      <c r="A651" s="19"/>
      <c r="B651" s="137"/>
      <c r="C651" s="454"/>
      <c r="D651" s="190"/>
      <c r="E651" s="708"/>
      <c r="F651" s="708"/>
      <c r="G651" s="410">
        <v>53</v>
      </c>
      <c r="H651" s="917" t="s">
        <v>818</v>
      </c>
      <c r="I651" s="917"/>
      <c r="J651" s="917"/>
      <c r="K651" s="917"/>
      <c r="L651" s="917"/>
      <c r="M651" s="917"/>
      <c r="N651" s="917"/>
      <c r="O651" s="917"/>
      <c r="P651" s="227"/>
      <c r="Q651" s="227"/>
      <c r="R651" s="227"/>
      <c r="S651" s="227"/>
      <c r="T651" s="227"/>
      <c r="U651" s="227"/>
      <c r="V651" s="227"/>
      <c r="W651" s="227"/>
      <c r="X651" s="227"/>
      <c r="Y651" s="227"/>
      <c r="Z651" s="227"/>
      <c r="AA651" s="227"/>
      <c r="AB651" s="227"/>
      <c r="AC651" s="227"/>
      <c r="AD651" s="227"/>
      <c r="AE651" s="227"/>
      <c r="AF651" s="227"/>
      <c r="AG651" s="227"/>
      <c r="AH651" s="227"/>
      <c r="AI651" s="227"/>
      <c r="AJ651" s="227"/>
      <c r="AK651" s="227"/>
      <c r="AL651" s="229"/>
      <c r="AM651" s="227"/>
      <c r="AN651" s="227"/>
      <c r="AO651" s="227"/>
      <c r="AP651" s="230"/>
    </row>
    <row r="652" spans="1:42" s="196" customFormat="1" ht="127.5" customHeight="1" x14ac:dyDescent="0.25">
      <c r="A652" s="19"/>
      <c r="B652" s="137"/>
      <c r="C652" s="864">
        <v>28</v>
      </c>
      <c r="D652" s="913" t="s">
        <v>811</v>
      </c>
      <c r="E652" s="915">
        <v>0.5</v>
      </c>
      <c r="F652" s="915">
        <v>1</v>
      </c>
      <c r="G652" s="876"/>
      <c r="H652" s="152">
        <v>173</v>
      </c>
      <c r="I652" s="151" t="s">
        <v>819</v>
      </c>
      <c r="J652" s="609" t="s">
        <v>36</v>
      </c>
      <c r="K652" s="609">
        <v>7</v>
      </c>
      <c r="L652" s="918" t="s">
        <v>676</v>
      </c>
      <c r="M652" s="907" t="s">
        <v>820</v>
      </c>
      <c r="N652" s="893" t="s">
        <v>821</v>
      </c>
      <c r="O652" s="152" t="s">
        <v>44</v>
      </c>
      <c r="P652" s="26">
        <v>0</v>
      </c>
      <c r="Q652" s="26">
        <v>0</v>
      </c>
      <c r="R652" s="26">
        <v>0</v>
      </c>
      <c r="S652" s="26">
        <v>0</v>
      </c>
      <c r="T652" s="26">
        <v>0</v>
      </c>
      <c r="U652" s="26">
        <v>0</v>
      </c>
      <c r="V652" s="26">
        <v>0</v>
      </c>
      <c r="W652" s="26"/>
      <c r="X652" s="26"/>
      <c r="Y652" s="26"/>
      <c r="Z652" s="5">
        <v>35436120</v>
      </c>
      <c r="AA652" s="5"/>
      <c r="AB652" s="304">
        <v>0</v>
      </c>
      <c r="AC652" s="26">
        <v>0</v>
      </c>
      <c r="AD652" s="304"/>
      <c r="AE652" s="304"/>
      <c r="AF652" s="304"/>
      <c r="AG652" s="304"/>
      <c r="AH652" s="304"/>
      <c r="AI652" s="304"/>
      <c r="AJ652" s="386">
        <v>0</v>
      </c>
      <c r="AK652" s="386">
        <v>0</v>
      </c>
      <c r="AL652" s="595">
        <v>0</v>
      </c>
      <c r="AM652" s="596"/>
      <c r="AN652" s="386">
        <v>0</v>
      </c>
      <c r="AO652" s="348">
        <v>0</v>
      </c>
      <c r="AP652" s="26">
        <f>P652+Q652+R652+S652+T652+U652+V652+W652+X652+Y652+Z652+AA652+AB652+AC652+AD652+AE652+AF652+AG652+AH652+AI652+AJ652+AK652+AL652+AM652+AN652+AO652</f>
        <v>35436120</v>
      </c>
    </row>
    <row r="653" spans="1:42" s="196" customFormat="1" ht="76.5" customHeight="1" x14ac:dyDescent="0.25">
      <c r="A653" s="19"/>
      <c r="B653" s="137"/>
      <c r="C653" s="866"/>
      <c r="D653" s="914"/>
      <c r="E653" s="916"/>
      <c r="F653" s="916"/>
      <c r="G653" s="887"/>
      <c r="H653" s="152">
        <v>174</v>
      </c>
      <c r="I653" s="151" t="s">
        <v>822</v>
      </c>
      <c r="J653" s="152">
        <v>100</v>
      </c>
      <c r="K653" s="815">
        <v>150</v>
      </c>
      <c r="L653" s="919"/>
      <c r="M653" s="909"/>
      <c r="N653" s="895"/>
      <c r="O653" s="152" t="s">
        <v>44</v>
      </c>
      <c r="P653" s="26">
        <v>0</v>
      </c>
      <c r="Q653" s="26">
        <v>0</v>
      </c>
      <c r="R653" s="26">
        <v>0</v>
      </c>
      <c r="S653" s="26">
        <v>0</v>
      </c>
      <c r="T653" s="26">
        <v>0</v>
      </c>
      <c r="U653" s="26">
        <v>0</v>
      </c>
      <c r="V653" s="26">
        <v>0</v>
      </c>
      <c r="W653" s="26"/>
      <c r="X653" s="26"/>
      <c r="Y653" s="26"/>
      <c r="Z653" s="304">
        <v>0</v>
      </c>
      <c r="AA653" s="304"/>
      <c r="AB653" s="304">
        <v>0</v>
      </c>
      <c r="AC653" s="26">
        <v>0</v>
      </c>
      <c r="AD653" s="304"/>
      <c r="AE653" s="304"/>
      <c r="AF653" s="304"/>
      <c r="AG653" s="304"/>
      <c r="AH653" s="304"/>
      <c r="AI653" s="304"/>
      <c r="AJ653" s="386">
        <v>0</v>
      </c>
      <c r="AK653" s="386">
        <v>0</v>
      </c>
      <c r="AL653" s="595">
        <v>0</v>
      </c>
      <c r="AM653" s="596"/>
      <c r="AN653" s="386">
        <v>0</v>
      </c>
      <c r="AO653" s="348">
        <v>0</v>
      </c>
      <c r="AP653" s="26">
        <f>P653+Q653+R653+S653+T653+U653+V653+W653+X653+Y653+Z653+AA653+AB653+AC653+AD653+AE653+AF653+AG653+AH653+AI653+AJ653+AK653+AL653+AM653+AN653+AO653</f>
        <v>0</v>
      </c>
    </row>
    <row r="654" spans="1:42" s="196" customFormat="1" ht="15" x14ac:dyDescent="0.25">
      <c r="A654" s="19"/>
      <c r="B654" s="137"/>
      <c r="C654" s="150"/>
      <c r="D654" s="190"/>
      <c r="E654" s="708"/>
      <c r="F654" s="708"/>
      <c r="G654" s="191"/>
      <c r="H654" s="192"/>
      <c r="I654" s="191"/>
      <c r="J654" s="192"/>
      <c r="K654" s="192"/>
      <c r="L654" s="192"/>
      <c r="M654" s="194"/>
      <c r="N654" s="191"/>
      <c r="O654" s="192"/>
      <c r="P654" s="195">
        <f>SUM(P652:P653)</f>
        <v>0</v>
      </c>
      <c r="Q654" s="195">
        <f>SUM(Q652:Q653)</f>
        <v>0</v>
      </c>
      <c r="R654" s="195">
        <f>SUM(R652:R653)</f>
        <v>0</v>
      </c>
      <c r="S654" s="195">
        <f>SUM(S652:S653)</f>
        <v>0</v>
      </c>
      <c r="T654" s="195">
        <f>SUM(T652:T653)</f>
        <v>0</v>
      </c>
      <c r="U654" s="195">
        <f>SUM(U652:U653)</f>
        <v>0</v>
      </c>
      <c r="V654" s="195">
        <f>SUM(V652:V653)</f>
        <v>0</v>
      </c>
      <c r="W654" s="195">
        <f>SUM(W652:W653)</f>
        <v>0</v>
      </c>
      <c r="X654" s="195"/>
      <c r="Y654" s="195"/>
      <c r="Z654" s="195">
        <f>SUM(Z652:Z653)</f>
        <v>35436120</v>
      </c>
      <c r="AA654" s="195"/>
      <c r="AB654" s="195">
        <f>SUM(AB652:AB653)</f>
        <v>0</v>
      </c>
      <c r="AC654" s="195">
        <f>SUM(AC652:AC653)</f>
        <v>0</v>
      </c>
      <c r="AD654" s="195">
        <f>SUM(AD652:AD653)</f>
        <v>0</v>
      </c>
      <c r="AE654" s="195">
        <f>SUM(AE652:AE653)</f>
        <v>0</v>
      </c>
      <c r="AF654" s="195"/>
      <c r="AG654" s="195">
        <f>SUM(AG652:AG653)</f>
        <v>0</v>
      </c>
      <c r="AH654" s="195">
        <f>SUM(AH652:AH653)</f>
        <v>0</v>
      </c>
      <c r="AI654" s="195">
        <f>SUM(AI652:AI653)</f>
        <v>0</v>
      </c>
      <c r="AJ654" s="195">
        <f>SUM(AJ652:AJ653)</f>
        <v>0</v>
      </c>
      <c r="AK654" s="195">
        <f>SUM(AK652:AK653)</f>
        <v>0</v>
      </c>
      <c r="AL654" s="295">
        <f>SUM(AL652:AL653)</f>
        <v>0</v>
      </c>
      <c r="AM654" s="195"/>
      <c r="AN654" s="195">
        <f>SUM(AN652:AN653)</f>
        <v>0</v>
      </c>
      <c r="AO654" s="195">
        <f>SUM(AO652:AO653)</f>
        <v>0</v>
      </c>
      <c r="AP654" s="195">
        <f>SUM(AP652:AP653)</f>
        <v>35436120</v>
      </c>
    </row>
    <row r="655" spans="1:42" s="196" customFormat="1" ht="15" x14ac:dyDescent="0.25">
      <c r="A655" s="19"/>
      <c r="B655" s="137"/>
      <c r="C655" s="454"/>
      <c r="D655" s="214"/>
      <c r="E655" s="454"/>
      <c r="F655" s="454"/>
      <c r="G655" s="214"/>
      <c r="H655" s="454"/>
      <c r="I655" s="214"/>
      <c r="J655" s="454"/>
      <c r="K655" s="454"/>
      <c r="L655" s="153"/>
      <c r="M655" s="279"/>
      <c r="N655" s="265"/>
      <c r="O655" s="454"/>
      <c r="P655" s="217"/>
      <c r="Q655" s="217"/>
      <c r="R655" s="217"/>
      <c r="S655" s="217"/>
      <c r="T655" s="217"/>
      <c r="U655" s="217"/>
      <c r="V655" s="217"/>
      <c r="W655" s="217"/>
      <c r="X655" s="217"/>
      <c r="Y655" s="217"/>
      <c r="Z655" s="217"/>
      <c r="AA655" s="217"/>
      <c r="AB655" s="217"/>
      <c r="AC655" s="217"/>
      <c r="AD655" s="217"/>
      <c r="AE655" s="217"/>
      <c r="AF655" s="217"/>
      <c r="AG655" s="217"/>
      <c r="AH655" s="217"/>
      <c r="AI655" s="217"/>
      <c r="AJ655" s="217"/>
      <c r="AK655" s="217"/>
      <c r="AL655" s="219"/>
      <c r="AM655" s="220"/>
      <c r="AN655" s="217"/>
      <c r="AO655" s="217"/>
      <c r="AP655" s="238"/>
    </row>
    <row r="656" spans="1:42" s="196" customFormat="1" ht="15" x14ac:dyDescent="0.25">
      <c r="A656" s="19"/>
      <c r="B656" s="137"/>
      <c r="C656" s="454"/>
      <c r="D656" s="190"/>
      <c r="E656" s="708"/>
      <c r="F656" s="708"/>
      <c r="G656" s="410">
        <v>54</v>
      </c>
      <c r="H656" s="904" t="s">
        <v>823</v>
      </c>
      <c r="I656" s="904"/>
      <c r="J656" s="904"/>
      <c r="K656" s="904"/>
      <c r="L656" s="904"/>
      <c r="M656" s="904"/>
      <c r="N656" s="904"/>
      <c r="O656" s="904"/>
      <c r="P656" s="227"/>
      <c r="Q656" s="227"/>
      <c r="R656" s="227"/>
      <c r="S656" s="227"/>
      <c r="T656" s="227"/>
      <c r="U656" s="227"/>
      <c r="V656" s="227"/>
      <c r="W656" s="227"/>
      <c r="X656" s="227"/>
      <c r="Y656" s="227"/>
      <c r="Z656" s="227"/>
      <c r="AA656" s="227"/>
      <c r="AB656" s="227"/>
      <c r="AC656" s="227"/>
      <c r="AD656" s="227"/>
      <c r="AE656" s="227"/>
      <c r="AF656" s="227"/>
      <c r="AG656" s="227"/>
      <c r="AH656" s="227"/>
      <c r="AI656" s="227"/>
      <c r="AJ656" s="227"/>
      <c r="AK656" s="227"/>
      <c r="AL656" s="229"/>
      <c r="AM656" s="227"/>
      <c r="AN656" s="227"/>
      <c r="AO656" s="227"/>
      <c r="AP656" s="230"/>
    </row>
    <row r="657" spans="1:42" s="196" customFormat="1" ht="89.25" customHeight="1" x14ac:dyDescent="0.25">
      <c r="A657" s="19"/>
      <c r="B657" s="137"/>
      <c r="C657" s="864">
        <v>28</v>
      </c>
      <c r="D657" s="913" t="s">
        <v>811</v>
      </c>
      <c r="E657" s="915">
        <v>0.5</v>
      </c>
      <c r="F657" s="915">
        <v>1</v>
      </c>
      <c r="G657" s="876"/>
      <c r="H657" s="152">
        <v>175</v>
      </c>
      <c r="I657" s="151" t="s">
        <v>824</v>
      </c>
      <c r="J657" s="152">
        <v>10</v>
      </c>
      <c r="K657" s="815">
        <v>14</v>
      </c>
      <c r="L657" s="876" t="s">
        <v>676</v>
      </c>
      <c r="M657" s="907" t="s">
        <v>825</v>
      </c>
      <c r="N657" s="893" t="s">
        <v>826</v>
      </c>
      <c r="O657" s="152" t="s">
        <v>44</v>
      </c>
      <c r="P657" s="26">
        <v>0</v>
      </c>
      <c r="Q657" s="26">
        <v>0</v>
      </c>
      <c r="R657" s="26">
        <v>0</v>
      </c>
      <c r="S657" s="26">
        <v>0</v>
      </c>
      <c r="T657" s="26">
        <v>0</v>
      </c>
      <c r="U657" s="26">
        <v>0</v>
      </c>
      <c r="V657" s="26">
        <v>0</v>
      </c>
      <c r="W657" s="26"/>
      <c r="X657" s="26"/>
      <c r="Y657" s="26"/>
      <c r="Z657" s="5">
        <v>23817720</v>
      </c>
      <c r="AA657" s="5"/>
      <c r="AB657" s="26">
        <v>0</v>
      </c>
      <c r="AC657" s="26">
        <v>0</v>
      </c>
      <c r="AD657" s="386">
        <v>0</v>
      </c>
      <c r="AE657" s="386">
        <v>0</v>
      </c>
      <c r="AF657" s="386"/>
      <c r="AG657" s="386">
        <v>0</v>
      </c>
      <c r="AH657" s="386">
        <v>0</v>
      </c>
      <c r="AI657" s="386">
        <v>0</v>
      </c>
      <c r="AJ657" s="386">
        <v>0</v>
      </c>
      <c r="AK657" s="386">
        <v>0</v>
      </c>
      <c r="AL657" s="595">
        <v>0</v>
      </c>
      <c r="AM657" s="596"/>
      <c r="AN657" s="386">
        <v>0</v>
      </c>
      <c r="AO657" s="348">
        <v>0</v>
      </c>
      <c r="AP657" s="26">
        <f>P657+Q657+R657+S657+T657+U657+V657+W657+X657+Y657+Z657+AA657+AB657+AC657+AD657+AE657+AF657+AG657+AH657+AI657+AJ657+AK657+AL657+AM657+AN657+AO657</f>
        <v>23817720</v>
      </c>
    </row>
    <row r="658" spans="1:42" s="196" customFormat="1" ht="68.25" customHeight="1" x14ac:dyDescent="0.25">
      <c r="A658" s="19"/>
      <c r="B658" s="137"/>
      <c r="C658" s="866"/>
      <c r="D658" s="914"/>
      <c r="E658" s="916"/>
      <c r="F658" s="916"/>
      <c r="G658" s="887"/>
      <c r="H658" s="152">
        <v>176</v>
      </c>
      <c r="I658" s="151" t="s">
        <v>827</v>
      </c>
      <c r="J658" s="152">
        <v>2</v>
      </c>
      <c r="K658" s="815">
        <v>2</v>
      </c>
      <c r="L658" s="887"/>
      <c r="M658" s="909"/>
      <c r="N658" s="895"/>
      <c r="O658" s="152" t="s">
        <v>44</v>
      </c>
      <c r="P658" s="26">
        <v>0</v>
      </c>
      <c r="Q658" s="26">
        <v>0</v>
      </c>
      <c r="R658" s="26">
        <v>0</v>
      </c>
      <c r="S658" s="26">
        <v>0</v>
      </c>
      <c r="T658" s="26">
        <v>0</v>
      </c>
      <c r="U658" s="26">
        <v>0</v>
      </c>
      <c r="V658" s="26">
        <v>0</v>
      </c>
      <c r="W658" s="26"/>
      <c r="X658" s="26"/>
      <c r="Y658" s="26"/>
      <c r="Z658" s="304">
        <v>0</v>
      </c>
      <c r="AA658" s="304"/>
      <c r="AB658" s="26">
        <v>0</v>
      </c>
      <c r="AC658" s="26">
        <v>0</v>
      </c>
      <c r="AD658" s="386">
        <v>0</v>
      </c>
      <c r="AE658" s="386">
        <v>0</v>
      </c>
      <c r="AF658" s="386"/>
      <c r="AG658" s="386">
        <v>0</v>
      </c>
      <c r="AH658" s="386">
        <v>0</v>
      </c>
      <c r="AI658" s="386">
        <v>0</v>
      </c>
      <c r="AJ658" s="386">
        <v>0</v>
      </c>
      <c r="AK658" s="386">
        <v>0</v>
      </c>
      <c r="AL658" s="113"/>
      <c r="AM658" s="39"/>
      <c r="AN658" s="386">
        <v>0</v>
      </c>
      <c r="AO658" s="348">
        <v>0</v>
      </c>
      <c r="AP658" s="26">
        <f>P658+Q658+R658+S658+T658+U658+V658+W658+X658+Y658+Z658+AA658+AB658+AC658+AD658+AE658+AF658+AG658+AH658+AI658+AJ658+AK658+AL658+AM658+AN658+AO658</f>
        <v>0</v>
      </c>
    </row>
    <row r="659" spans="1:42" s="196" customFormat="1" ht="15" x14ac:dyDescent="0.25">
      <c r="A659" s="19"/>
      <c r="B659" s="137"/>
      <c r="C659" s="150"/>
      <c r="D659" s="190"/>
      <c r="E659" s="708"/>
      <c r="F659" s="708"/>
      <c r="G659" s="191"/>
      <c r="H659" s="192"/>
      <c r="I659" s="191"/>
      <c r="J659" s="192"/>
      <c r="K659" s="192"/>
      <c r="L659" s="192"/>
      <c r="M659" s="194"/>
      <c r="N659" s="191"/>
      <c r="O659" s="192"/>
      <c r="P659" s="195">
        <f t="shared" ref="P659:AK659" si="219">SUM(P657:P658)</f>
        <v>0</v>
      </c>
      <c r="Q659" s="195">
        <f t="shared" si="219"/>
        <v>0</v>
      </c>
      <c r="R659" s="195">
        <f t="shared" si="219"/>
        <v>0</v>
      </c>
      <c r="S659" s="195">
        <f t="shared" si="219"/>
        <v>0</v>
      </c>
      <c r="T659" s="195">
        <f t="shared" si="219"/>
        <v>0</v>
      </c>
      <c r="U659" s="195">
        <f t="shared" si="219"/>
        <v>0</v>
      </c>
      <c r="V659" s="195">
        <f t="shared" si="219"/>
        <v>0</v>
      </c>
      <c r="W659" s="195">
        <f t="shared" si="219"/>
        <v>0</v>
      </c>
      <c r="X659" s="195">
        <f t="shared" si="219"/>
        <v>0</v>
      </c>
      <c r="Y659" s="195">
        <f t="shared" si="219"/>
        <v>0</v>
      </c>
      <c r="Z659" s="195">
        <f t="shared" si="219"/>
        <v>23817720</v>
      </c>
      <c r="AA659" s="195">
        <f t="shared" si="219"/>
        <v>0</v>
      </c>
      <c r="AB659" s="195">
        <f t="shared" si="219"/>
        <v>0</v>
      </c>
      <c r="AC659" s="195">
        <f t="shared" si="219"/>
        <v>0</v>
      </c>
      <c r="AD659" s="195">
        <f t="shared" si="219"/>
        <v>0</v>
      </c>
      <c r="AE659" s="195">
        <f t="shared" si="219"/>
        <v>0</v>
      </c>
      <c r="AF659" s="195">
        <f t="shared" si="219"/>
        <v>0</v>
      </c>
      <c r="AG659" s="195">
        <f t="shared" si="219"/>
        <v>0</v>
      </c>
      <c r="AH659" s="195">
        <f t="shared" si="219"/>
        <v>0</v>
      </c>
      <c r="AI659" s="195">
        <f t="shared" si="219"/>
        <v>0</v>
      </c>
      <c r="AJ659" s="195">
        <f t="shared" si="219"/>
        <v>0</v>
      </c>
      <c r="AK659" s="195">
        <f t="shared" si="219"/>
        <v>0</v>
      </c>
      <c r="AL659" s="195">
        <f t="shared" ref="AL659:AP659" si="220">SUM(AL657:AL658)</f>
        <v>0</v>
      </c>
      <c r="AM659" s="195">
        <f t="shared" si="220"/>
        <v>0</v>
      </c>
      <c r="AN659" s="195">
        <f t="shared" si="220"/>
        <v>0</v>
      </c>
      <c r="AO659" s="195">
        <f t="shared" si="220"/>
        <v>0</v>
      </c>
      <c r="AP659" s="195">
        <f t="shared" si="220"/>
        <v>23817720</v>
      </c>
    </row>
    <row r="660" spans="1:42" s="28" customFormat="1" ht="15" x14ac:dyDescent="0.25">
      <c r="A660" s="20"/>
      <c r="B660" s="513"/>
      <c r="C660" s="199"/>
      <c r="D660" s="198"/>
      <c r="E660" s="199"/>
      <c r="F660" s="199"/>
      <c r="G660" s="198"/>
      <c r="H660" s="199"/>
      <c r="I660" s="198"/>
      <c r="J660" s="199"/>
      <c r="K660" s="199"/>
      <c r="L660" s="199"/>
      <c r="M660" s="201"/>
      <c r="N660" s="198"/>
      <c r="O660" s="199"/>
      <c r="P660" s="202">
        <f t="shared" ref="P660:AK660" si="221">P659+P654+P649+P643+P639</f>
        <v>0</v>
      </c>
      <c r="Q660" s="202">
        <f t="shared" si="221"/>
        <v>0</v>
      </c>
      <c r="R660" s="202">
        <f t="shared" si="221"/>
        <v>0</v>
      </c>
      <c r="S660" s="202">
        <f t="shared" si="221"/>
        <v>0</v>
      </c>
      <c r="T660" s="202">
        <f t="shared" si="221"/>
        <v>0</v>
      </c>
      <c r="U660" s="202">
        <f t="shared" si="221"/>
        <v>0</v>
      </c>
      <c r="V660" s="202">
        <f t="shared" si="221"/>
        <v>1839000000</v>
      </c>
      <c r="W660" s="202">
        <f t="shared" si="221"/>
        <v>300000000</v>
      </c>
      <c r="X660" s="202">
        <f t="shared" si="221"/>
        <v>4499205411</v>
      </c>
      <c r="Y660" s="202">
        <f t="shared" si="221"/>
        <v>3001376249</v>
      </c>
      <c r="Z660" s="202">
        <f t="shared" si="221"/>
        <v>6695935089.5500002</v>
      </c>
      <c r="AA660" s="202">
        <f t="shared" si="221"/>
        <v>0</v>
      </c>
      <c r="AB660" s="202">
        <f t="shared" si="221"/>
        <v>0</v>
      </c>
      <c r="AC660" s="202">
        <f t="shared" si="221"/>
        <v>2846900107</v>
      </c>
      <c r="AD660" s="202">
        <f t="shared" si="221"/>
        <v>0</v>
      </c>
      <c r="AE660" s="202">
        <f t="shared" si="221"/>
        <v>0</v>
      </c>
      <c r="AF660" s="202">
        <f t="shared" si="221"/>
        <v>0</v>
      </c>
      <c r="AG660" s="202">
        <f t="shared" si="221"/>
        <v>0</v>
      </c>
      <c r="AH660" s="202">
        <f t="shared" si="221"/>
        <v>0</v>
      </c>
      <c r="AI660" s="202">
        <f t="shared" si="221"/>
        <v>0</v>
      </c>
      <c r="AJ660" s="202">
        <f t="shared" si="221"/>
        <v>0</v>
      </c>
      <c r="AK660" s="202">
        <f t="shared" si="221"/>
        <v>0</v>
      </c>
      <c r="AL660" s="202">
        <f t="shared" ref="AL660:AP660" si="222">AL659+AL654+AL649+AL643+AL639</f>
        <v>700000000</v>
      </c>
      <c r="AM660" s="202">
        <f t="shared" si="222"/>
        <v>0</v>
      </c>
      <c r="AN660" s="202">
        <f t="shared" si="222"/>
        <v>0</v>
      </c>
      <c r="AO660" s="202">
        <f t="shared" si="222"/>
        <v>1039377146</v>
      </c>
      <c r="AP660" s="202">
        <f t="shared" si="222"/>
        <v>20921794002.549999</v>
      </c>
    </row>
    <row r="661" spans="1:42" s="28" customFormat="1" ht="15" x14ac:dyDescent="0.25">
      <c r="A661" s="20"/>
      <c r="B661" s="214"/>
      <c r="C661" s="454"/>
      <c r="D661" s="214"/>
      <c r="E661" s="454"/>
      <c r="F661" s="454"/>
      <c r="G661" s="214"/>
      <c r="H661" s="454"/>
      <c r="I661" s="214"/>
      <c r="J661" s="454"/>
      <c r="K661" s="454"/>
      <c r="L661" s="153"/>
      <c r="M661" s="279"/>
      <c r="N661" s="265"/>
      <c r="O661" s="454"/>
      <c r="P661" s="217"/>
      <c r="Q661" s="217"/>
      <c r="R661" s="217"/>
      <c r="S661" s="217"/>
      <c r="T661" s="217"/>
      <c r="U661" s="217"/>
      <c r="V661" s="217"/>
      <c r="W661" s="217"/>
      <c r="X661" s="217"/>
      <c r="Y661" s="217"/>
      <c r="Z661" s="217"/>
      <c r="AA661" s="217"/>
      <c r="AB661" s="217"/>
      <c r="AC661" s="217"/>
      <c r="AD661" s="217"/>
      <c r="AE661" s="217"/>
      <c r="AF661" s="217"/>
      <c r="AG661" s="217"/>
      <c r="AH661" s="217"/>
      <c r="AI661" s="217"/>
      <c r="AJ661" s="217"/>
      <c r="AK661" s="217"/>
      <c r="AL661" s="219"/>
      <c r="AM661" s="217"/>
      <c r="AN661" s="217"/>
      <c r="AO661" s="217"/>
      <c r="AP661" s="26"/>
    </row>
    <row r="662" spans="1:42" s="28" customFormat="1" x14ac:dyDescent="0.25">
      <c r="A662" s="20"/>
      <c r="B662" s="624">
        <v>15</v>
      </c>
      <c r="C662" s="181" t="s">
        <v>828</v>
      </c>
      <c r="D662" s="182"/>
      <c r="E662" s="182"/>
      <c r="F662" s="182"/>
      <c r="G662" s="182"/>
      <c r="H662" s="183"/>
      <c r="I662" s="182"/>
      <c r="J662" s="182"/>
      <c r="K662" s="182"/>
      <c r="L662" s="182"/>
      <c r="M662" s="184"/>
      <c r="N662" s="182"/>
      <c r="O662" s="182"/>
      <c r="P662" s="182"/>
      <c r="Q662" s="182"/>
      <c r="R662" s="182"/>
      <c r="S662" s="182"/>
      <c r="T662" s="182"/>
      <c r="U662" s="182"/>
      <c r="V662" s="182"/>
      <c r="W662" s="182"/>
      <c r="X662" s="182"/>
      <c r="Y662" s="182"/>
      <c r="Z662" s="182"/>
      <c r="AA662" s="182"/>
      <c r="AB662" s="182"/>
      <c r="AC662" s="182"/>
      <c r="AD662" s="182"/>
      <c r="AE662" s="182"/>
      <c r="AF662" s="182"/>
      <c r="AG662" s="182"/>
      <c r="AH662" s="182"/>
      <c r="AI662" s="182"/>
      <c r="AJ662" s="182"/>
      <c r="AK662" s="182"/>
      <c r="AL662" s="185"/>
      <c r="AM662" s="182"/>
      <c r="AN662" s="182"/>
      <c r="AO662" s="182"/>
      <c r="AP662" s="633"/>
    </row>
    <row r="663" spans="1:42" s="28" customFormat="1" ht="15" x14ac:dyDescent="0.25">
      <c r="A663" s="19"/>
      <c r="B663" s="20"/>
      <c r="C663" s="454"/>
      <c r="D663" s="214"/>
      <c r="E663" s="454"/>
      <c r="F663" s="150"/>
      <c r="G663" s="410">
        <v>55</v>
      </c>
      <c r="H663" s="904" t="s">
        <v>829</v>
      </c>
      <c r="I663" s="904"/>
      <c r="J663" s="904"/>
      <c r="K663" s="904"/>
      <c r="L663" s="904"/>
      <c r="M663" s="904"/>
      <c r="N663" s="904"/>
      <c r="O663" s="904"/>
      <c r="P663" s="227"/>
      <c r="Q663" s="227"/>
      <c r="R663" s="227"/>
      <c r="S663" s="227"/>
      <c r="T663" s="227"/>
      <c r="U663" s="227"/>
      <c r="V663" s="227"/>
      <c r="W663" s="227"/>
      <c r="X663" s="227"/>
      <c r="Y663" s="227"/>
      <c r="Z663" s="227"/>
      <c r="AA663" s="227"/>
      <c r="AB663" s="227"/>
      <c r="AC663" s="227"/>
      <c r="AD663" s="227"/>
      <c r="AE663" s="227"/>
      <c r="AF663" s="227"/>
      <c r="AG663" s="227"/>
      <c r="AH663" s="227"/>
      <c r="AI663" s="227"/>
      <c r="AJ663" s="227"/>
      <c r="AK663" s="227"/>
      <c r="AL663" s="229"/>
      <c r="AM663" s="227"/>
      <c r="AN663" s="227"/>
      <c r="AO663" s="227"/>
      <c r="AP663" s="629"/>
    </row>
    <row r="664" spans="1:42" s="553" customFormat="1" ht="57.75" customHeight="1" x14ac:dyDescent="0.25">
      <c r="A664" s="19"/>
      <c r="B664" s="137"/>
      <c r="C664" s="150" t="s">
        <v>709</v>
      </c>
      <c r="D664" s="571" t="s">
        <v>830</v>
      </c>
      <c r="E664" s="634">
        <v>2</v>
      </c>
      <c r="F664" s="621">
        <v>2</v>
      </c>
      <c r="G664" s="876"/>
      <c r="H664" s="152">
        <v>177</v>
      </c>
      <c r="I664" s="151" t="s">
        <v>831</v>
      </c>
      <c r="J664" s="152">
        <v>2</v>
      </c>
      <c r="K664" s="815">
        <v>2</v>
      </c>
      <c r="L664" s="876" t="s">
        <v>676</v>
      </c>
      <c r="M664" s="907" t="s">
        <v>832</v>
      </c>
      <c r="N664" s="893" t="s">
        <v>833</v>
      </c>
      <c r="O664" s="58" t="s">
        <v>44</v>
      </c>
      <c r="P664" s="26">
        <v>0</v>
      </c>
      <c r="Q664" s="26">
        <v>0</v>
      </c>
      <c r="R664" s="26">
        <v>0</v>
      </c>
      <c r="S664" s="26">
        <v>0</v>
      </c>
      <c r="T664" s="26">
        <v>0</v>
      </c>
      <c r="U664" s="26">
        <v>0</v>
      </c>
      <c r="V664" s="26">
        <v>0</v>
      </c>
      <c r="W664" s="26"/>
      <c r="X664" s="26"/>
      <c r="Y664" s="26"/>
      <c r="Z664" s="304">
        <v>0</v>
      </c>
      <c r="AA664" s="304"/>
      <c r="AB664" s="304">
        <v>0</v>
      </c>
      <c r="AC664" s="386">
        <v>0</v>
      </c>
      <c r="AD664" s="304"/>
      <c r="AE664" s="304"/>
      <c r="AF664" s="304"/>
      <c r="AG664" s="304"/>
      <c r="AH664" s="304"/>
      <c r="AI664" s="304"/>
      <c r="AJ664" s="386">
        <v>0</v>
      </c>
      <c r="AK664" s="386">
        <v>0</v>
      </c>
      <c r="AL664" s="595">
        <v>0</v>
      </c>
      <c r="AM664" s="596"/>
      <c r="AN664" s="386">
        <v>0</v>
      </c>
      <c r="AO664" s="348">
        <v>0</v>
      </c>
      <c r="AP664" s="26">
        <f>P664+Q664+R664+S664+T664+U664+V664+W664+X664+Y664+Z664+AA664+AB664+AC664+AD664+AE664+AF664+AG664+AH664+AI664+AJ664+AK664+AL664+AM664+AN664+AO664</f>
        <v>0</v>
      </c>
    </row>
    <row r="665" spans="1:42" s="553" customFormat="1" ht="92.25" customHeight="1" x14ac:dyDescent="0.25">
      <c r="A665" s="19"/>
      <c r="B665" s="137"/>
      <c r="C665" s="150" t="s">
        <v>709</v>
      </c>
      <c r="D665" s="7" t="s">
        <v>834</v>
      </c>
      <c r="E665" s="635">
        <v>0</v>
      </c>
      <c r="F665" s="635">
        <v>0.8</v>
      </c>
      <c r="G665" s="877"/>
      <c r="H665" s="152">
        <v>178</v>
      </c>
      <c r="I665" s="151" t="s">
        <v>835</v>
      </c>
      <c r="J665" s="152">
        <v>0</v>
      </c>
      <c r="K665" s="815">
        <v>3</v>
      </c>
      <c r="L665" s="877"/>
      <c r="M665" s="908"/>
      <c r="N665" s="894"/>
      <c r="O665" s="58" t="s">
        <v>44</v>
      </c>
      <c r="P665" s="26">
        <v>0</v>
      </c>
      <c r="Q665" s="26">
        <v>0</v>
      </c>
      <c r="R665" s="26">
        <v>0</v>
      </c>
      <c r="S665" s="26">
        <v>0</v>
      </c>
      <c r="T665" s="26">
        <v>0</v>
      </c>
      <c r="U665" s="26">
        <v>0</v>
      </c>
      <c r="V665" s="26">
        <v>0</v>
      </c>
      <c r="W665" s="26"/>
      <c r="X665" s="26"/>
      <c r="Y665" s="26"/>
      <c r="Z665" s="5">
        <v>129545160</v>
      </c>
      <c r="AA665" s="5"/>
      <c r="AB665" s="304">
        <v>0</v>
      </c>
      <c r="AC665" s="386">
        <v>0</v>
      </c>
      <c r="AD665" s="304"/>
      <c r="AE665" s="304"/>
      <c r="AF665" s="304"/>
      <c r="AG665" s="304"/>
      <c r="AH665" s="304"/>
      <c r="AI665" s="304"/>
      <c r="AJ665" s="386">
        <v>0</v>
      </c>
      <c r="AK665" s="386">
        <v>0</v>
      </c>
      <c r="AL665" s="595">
        <v>0</v>
      </c>
      <c r="AM665" s="596"/>
      <c r="AN665" s="386">
        <v>0</v>
      </c>
      <c r="AO665" s="348">
        <v>8050000</v>
      </c>
      <c r="AP665" s="26">
        <f>P665+Q665+R665+S665+T665+U665+V665+W665+X665+Y665+Z665+AA665+AB665+AC665+AD665+AE665+AF665+AG665+AH665+AI665+AJ665+AK665+AL665+AM665+AN665+AO665</f>
        <v>137595160</v>
      </c>
    </row>
    <row r="666" spans="1:42" s="553" customFormat="1" ht="57.75" customHeight="1" x14ac:dyDescent="0.25">
      <c r="A666" s="19"/>
      <c r="B666" s="137"/>
      <c r="C666" s="852" t="s">
        <v>709</v>
      </c>
      <c r="D666" s="840" t="s">
        <v>836</v>
      </c>
      <c r="E666" s="1061" t="s">
        <v>36</v>
      </c>
      <c r="F666" s="1061">
        <v>0.9</v>
      </c>
      <c r="G666" s="877"/>
      <c r="H666" s="832">
        <v>179</v>
      </c>
      <c r="I666" s="834" t="s">
        <v>837</v>
      </c>
      <c r="J666" s="832">
        <v>4</v>
      </c>
      <c r="K666" s="832">
        <v>4</v>
      </c>
      <c r="L666" s="877"/>
      <c r="M666" s="908"/>
      <c r="N666" s="894"/>
      <c r="O666" s="61" t="s">
        <v>44</v>
      </c>
      <c r="P666" s="82">
        <v>0</v>
      </c>
      <c r="Q666" s="82">
        <v>0</v>
      </c>
      <c r="R666" s="82">
        <v>0</v>
      </c>
      <c r="S666" s="82">
        <v>0</v>
      </c>
      <c r="T666" s="82">
        <v>0</v>
      </c>
      <c r="U666" s="82">
        <v>0</v>
      </c>
      <c r="V666" s="82">
        <v>0</v>
      </c>
      <c r="W666" s="82"/>
      <c r="X666" s="82"/>
      <c r="Y666" s="82"/>
      <c r="Z666" s="668">
        <v>0</v>
      </c>
      <c r="AA666" s="668"/>
      <c r="AB666" s="668">
        <v>0</v>
      </c>
      <c r="AC666" s="1062">
        <v>0</v>
      </c>
      <c r="AD666" s="668"/>
      <c r="AE666" s="668"/>
      <c r="AF666" s="668"/>
      <c r="AG666" s="668"/>
      <c r="AH666" s="668"/>
      <c r="AI666" s="668"/>
      <c r="AJ666" s="1062">
        <v>0</v>
      </c>
      <c r="AK666" s="1062">
        <v>0</v>
      </c>
      <c r="AL666" s="1063">
        <v>0</v>
      </c>
      <c r="AM666" s="1064"/>
      <c r="AN666" s="1062">
        <v>0</v>
      </c>
      <c r="AO666" s="1065">
        <v>0</v>
      </c>
      <c r="AP666" s="82">
        <f>P666+Q666+R666+S666+T666+U666+V666+W666+X666+Y666+Z666+AA666+AB666+AC666+AD666+AE666+AF666+AG666+AH666+AI666+AJ666+AK666+AL666+AM666+AN666+AO666</f>
        <v>0</v>
      </c>
    </row>
    <row r="667" spans="1:42" s="553" customFormat="1" ht="22.5" customHeight="1" x14ac:dyDescent="0.25">
      <c r="A667" s="558"/>
      <c r="B667" s="837"/>
      <c r="C667" s="838"/>
      <c r="D667" s="190"/>
      <c r="E667" s="708"/>
      <c r="F667" s="708"/>
      <c r="G667" s="191"/>
      <c r="H667" s="192"/>
      <c r="I667" s="191"/>
      <c r="J667" s="192"/>
      <c r="K667" s="192"/>
      <c r="L667" s="192"/>
      <c r="M667" s="194"/>
      <c r="N667" s="191"/>
      <c r="O667" s="192"/>
      <c r="P667" s="195">
        <f>SUM(P664:P666)</f>
        <v>0</v>
      </c>
      <c r="Q667" s="195">
        <f t="shared" ref="Q667" si="223">SUM(Q664:Q666)</f>
        <v>0</v>
      </c>
      <c r="R667" s="195">
        <f>SUM(R664:R666)</f>
        <v>0</v>
      </c>
      <c r="S667" s="195">
        <f t="shared" ref="S667:T667" si="224">SUM(S664:S666)</f>
        <v>0</v>
      </c>
      <c r="T667" s="195">
        <f t="shared" si="224"/>
        <v>0</v>
      </c>
      <c r="U667" s="195">
        <f t="shared" ref="U667" si="225">SUM(U664:U666)</f>
        <v>0</v>
      </c>
      <c r="V667" s="195">
        <f>SUM(V664:V666)</f>
        <v>0</v>
      </c>
      <c r="W667" s="195">
        <f t="shared" ref="W667" si="226">SUM(W664:W666)</f>
        <v>0</v>
      </c>
      <c r="X667" s="195">
        <f>SUM(X664:X666)</f>
        <v>0</v>
      </c>
      <c r="Y667" s="195">
        <f>SUM(Y664:Y666)</f>
        <v>0</v>
      </c>
      <c r="Z667" s="195">
        <f>SUM(Z664:Z666)</f>
        <v>129545160</v>
      </c>
      <c r="AA667" s="195">
        <f t="shared" ref="AA667:AC667" si="227">SUM(AA664:AA666)</f>
        <v>0</v>
      </c>
      <c r="AB667" s="195">
        <f t="shared" si="227"/>
        <v>0</v>
      </c>
      <c r="AC667" s="195">
        <f t="shared" si="227"/>
        <v>0</v>
      </c>
      <c r="AD667" s="195">
        <f t="shared" ref="AD667" si="228">SUM(AD664:AD666)</f>
        <v>0</v>
      </c>
      <c r="AE667" s="195">
        <f t="shared" ref="AE667" si="229">SUM(AE664:AE666)</f>
        <v>0</v>
      </c>
      <c r="AF667" s="195">
        <f t="shared" ref="AF667" si="230">SUM(AF664:AF666)</f>
        <v>0</v>
      </c>
      <c r="AG667" s="195">
        <f t="shared" ref="AG667" si="231">SUM(AG664:AG666)</f>
        <v>0</v>
      </c>
      <c r="AH667" s="195">
        <f t="shared" ref="AH667" si="232">SUM(AH664:AH666)</f>
        <v>0</v>
      </c>
      <c r="AI667" s="195">
        <f t="shared" ref="AI667" si="233">SUM(AI664:AI666)</f>
        <v>0</v>
      </c>
      <c r="AJ667" s="195">
        <f t="shared" ref="AJ667" si="234">SUM(AJ664:AJ666)</f>
        <v>0</v>
      </c>
      <c r="AK667" s="195">
        <f t="shared" ref="AK667" si="235">SUM(AK664:AK666)</f>
        <v>0</v>
      </c>
      <c r="AL667" s="195">
        <f t="shared" ref="AL667" si="236">SUM(AL664:AL666)</f>
        <v>0</v>
      </c>
      <c r="AM667" s="195">
        <f t="shared" ref="AM667" si="237">SUM(AM664:AM666)</f>
        <v>0</v>
      </c>
      <c r="AN667" s="195">
        <f t="shared" ref="AN667" si="238">SUM(AN664:AN666)</f>
        <v>0</v>
      </c>
      <c r="AO667" s="195">
        <f t="shared" ref="AO667" si="239">SUM(AO664:AO666)</f>
        <v>8050000</v>
      </c>
      <c r="AP667" s="195">
        <f t="shared" ref="AP667" si="240">SUM(AP664:AP666)</f>
        <v>137595160</v>
      </c>
    </row>
    <row r="668" spans="1:42" s="553" customFormat="1" ht="22.5" customHeight="1" x14ac:dyDescent="0.25">
      <c r="A668" s="558"/>
      <c r="B668" s="198"/>
      <c r="C668" s="199"/>
      <c r="D668" s="198"/>
      <c r="E668" s="199"/>
      <c r="F668" s="199"/>
      <c r="G668" s="198"/>
      <c r="H668" s="199"/>
      <c r="I668" s="198"/>
      <c r="J668" s="199"/>
      <c r="K668" s="199"/>
      <c r="L668" s="199"/>
      <c r="M668" s="201"/>
      <c r="N668" s="198"/>
      <c r="O668" s="199"/>
      <c r="P668" s="202">
        <f>P667</f>
        <v>0</v>
      </c>
      <c r="Q668" s="202">
        <f t="shared" ref="Q668" si="241">Q667</f>
        <v>0</v>
      </c>
      <c r="R668" s="202">
        <f>R667</f>
        <v>0</v>
      </c>
      <c r="S668" s="202">
        <f t="shared" ref="S668:T668" si="242">S667</f>
        <v>0</v>
      </c>
      <c r="T668" s="202">
        <f t="shared" si="242"/>
        <v>0</v>
      </c>
      <c r="U668" s="202">
        <f t="shared" ref="U668" si="243">U667</f>
        <v>0</v>
      </c>
      <c r="V668" s="202">
        <f>V667</f>
        <v>0</v>
      </c>
      <c r="W668" s="202">
        <f t="shared" ref="W668" si="244">W667</f>
        <v>0</v>
      </c>
      <c r="X668" s="202">
        <f>X667</f>
        <v>0</v>
      </c>
      <c r="Y668" s="202">
        <f>Y667</f>
        <v>0</v>
      </c>
      <c r="Z668" s="202">
        <f>Z667</f>
        <v>129545160</v>
      </c>
      <c r="AA668" s="202">
        <f t="shared" ref="AA668:AC668" si="245">AA667</f>
        <v>0</v>
      </c>
      <c r="AB668" s="202">
        <f t="shared" si="245"/>
        <v>0</v>
      </c>
      <c r="AC668" s="202">
        <f t="shared" si="245"/>
        <v>0</v>
      </c>
      <c r="AD668" s="202">
        <f t="shared" ref="AD668" si="246">AD667</f>
        <v>0</v>
      </c>
      <c r="AE668" s="202">
        <f t="shared" ref="AE668" si="247">AE667</f>
        <v>0</v>
      </c>
      <c r="AF668" s="202">
        <f t="shared" ref="AF668" si="248">AF667</f>
        <v>0</v>
      </c>
      <c r="AG668" s="202">
        <f t="shared" ref="AG668" si="249">AG667</f>
        <v>0</v>
      </c>
      <c r="AH668" s="202">
        <f t="shared" ref="AH668" si="250">AH667</f>
        <v>0</v>
      </c>
      <c r="AI668" s="202">
        <f t="shared" ref="AI668" si="251">AI667</f>
        <v>0</v>
      </c>
      <c r="AJ668" s="202">
        <f t="shared" ref="AJ668" si="252">AJ667</f>
        <v>0</v>
      </c>
      <c r="AK668" s="202">
        <f t="shared" ref="AK668" si="253">AK667</f>
        <v>0</v>
      </c>
      <c r="AL668" s="202">
        <f t="shared" ref="AL668" si="254">AL667</f>
        <v>0</v>
      </c>
      <c r="AM668" s="202">
        <f t="shared" ref="AM668" si="255">AM667</f>
        <v>0</v>
      </c>
      <c r="AN668" s="202">
        <f t="shared" ref="AN668" si="256">AN667</f>
        <v>0</v>
      </c>
      <c r="AO668" s="202">
        <f t="shared" ref="AO668" si="257">AO667</f>
        <v>8050000</v>
      </c>
      <c r="AP668" s="202">
        <f t="shared" ref="AP668" si="258">AP667</f>
        <v>137595160</v>
      </c>
    </row>
    <row r="669" spans="1:42" s="553" customFormat="1" ht="22.5" customHeight="1" x14ac:dyDescent="0.25">
      <c r="A669" s="203"/>
      <c r="B669" s="203"/>
      <c r="C669" s="204"/>
      <c r="D669" s="203"/>
      <c r="E669" s="204"/>
      <c r="F669" s="204"/>
      <c r="G669" s="203"/>
      <c r="H669" s="204"/>
      <c r="I669" s="203"/>
      <c r="J669" s="204"/>
      <c r="K669" s="204"/>
      <c r="L669" s="204"/>
      <c r="M669" s="206"/>
      <c r="N669" s="203"/>
      <c r="O669" s="204"/>
      <c r="P669" s="207">
        <f>P668+P660+P632+P618+P550</f>
        <v>0</v>
      </c>
      <c r="Q669" s="207">
        <f t="shared" ref="Q669" si="259">Q668+Q660+Q632+Q618+Q550</f>
        <v>0</v>
      </c>
      <c r="R669" s="207">
        <f>R668+R660+R632+R618+R550</f>
        <v>0</v>
      </c>
      <c r="S669" s="207">
        <f t="shared" ref="S669:T669" si="260">S668+S660+S632+S618+S550</f>
        <v>0</v>
      </c>
      <c r="T669" s="207">
        <f t="shared" si="260"/>
        <v>0</v>
      </c>
      <c r="U669" s="207">
        <f t="shared" ref="U669" si="261">U668+U660+U632+U618+U550</f>
        <v>0</v>
      </c>
      <c r="V669" s="207">
        <f>V668+V660+V632+V618+V550</f>
        <v>1839000000</v>
      </c>
      <c r="W669" s="207">
        <f t="shared" ref="W669" si="262">W668+W660+W632+W618+W550</f>
        <v>4654101985.996911</v>
      </c>
      <c r="X669" s="207">
        <f>X668+X660+X632+X618+X550</f>
        <v>4499205411</v>
      </c>
      <c r="Y669" s="207">
        <f>Y668+Y660+Y632+Y618+Y550</f>
        <v>3001376249</v>
      </c>
      <c r="Z669" s="207">
        <f>Z668+Z660+Z632+Z618+Z550</f>
        <v>17674762091.549999</v>
      </c>
      <c r="AA669" s="207">
        <f t="shared" ref="AA669:AC669" si="263">AA668+AA660+AA632+AA618+AA550</f>
        <v>0</v>
      </c>
      <c r="AB669" s="207">
        <f>AB668+AB660+AB632+AB618+AB550</f>
        <v>1378557211</v>
      </c>
      <c r="AC669" s="207">
        <f t="shared" si="263"/>
        <v>8053049338</v>
      </c>
      <c r="AD669" s="207">
        <f t="shared" ref="AD669" si="264">AD668+AD660+AD632+AD618+AD550</f>
        <v>0</v>
      </c>
      <c r="AE669" s="207">
        <f t="shared" ref="AE669" si="265">AE668+AE660+AE632+AE618+AE550</f>
        <v>0</v>
      </c>
      <c r="AF669" s="207">
        <f t="shared" ref="AF669" si="266">AF668+AF660+AF632+AF618+AF550</f>
        <v>0</v>
      </c>
      <c r="AG669" s="207">
        <f t="shared" ref="AG669" si="267">AG668+AG660+AG632+AG618+AG550</f>
        <v>0</v>
      </c>
      <c r="AH669" s="207">
        <f t="shared" ref="AH669" si="268">AH668+AH660+AH632+AH618+AH550</f>
        <v>0</v>
      </c>
      <c r="AI669" s="207">
        <f t="shared" ref="AI669" si="269">AI668+AI660+AI632+AI618+AI550</f>
        <v>0</v>
      </c>
      <c r="AJ669" s="207">
        <f t="shared" ref="AJ669" si="270">AJ668+AJ660+AJ632+AJ618+AJ550</f>
        <v>0</v>
      </c>
      <c r="AK669" s="207">
        <f t="shared" ref="AK669" si="271">AK668+AK660+AK632+AK618+AK550</f>
        <v>0</v>
      </c>
      <c r="AL669" s="207">
        <f t="shared" ref="AL669" si="272">AL668+AL660+AL632+AL618+AL550</f>
        <v>930000000</v>
      </c>
      <c r="AM669" s="207">
        <f t="shared" ref="AM669" si="273">AM668+AM660+AM632+AM618+AM550</f>
        <v>0</v>
      </c>
      <c r="AN669" s="207">
        <f t="shared" ref="AN669" si="274">AN668+AN660+AN632+AN618+AN550</f>
        <v>0</v>
      </c>
      <c r="AO669" s="207">
        <f t="shared" ref="AO669" si="275">AO668+AO660+AO632+AO618+AO550</f>
        <v>1485367013</v>
      </c>
      <c r="AP669" s="207">
        <f t="shared" ref="AP669" si="276">AP668+AP660+AP632+AP618+AP550</f>
        <v>43515419299.546913</v>
      </c>
    </row>
    <row r="670" spans="1:42" s="553" customFormat="1" ht="22.5" customHeight="1" x14ac:dyDescent="0.25">
      <c r="A670" s="208"/>
      <c r="B670" s="208"/>
      <c r="C670" s="209"/>
      <c r="D670" s="208"/>
      <c r="E670" s="209"/>
      <c r="F670" s="209"/>
      <c r="G670" s="208"/>
      <c r="H670" s="209"/>
      <c r="I670" s="208"/>
      <c r="J670" s="209"/>
      <c r="K670" s="209"/>
      <c r="L670" s="209"/>
      <c r="M670" s="211"/>
      <c r="N670" s="208"/>
      <c r="O670" s="209"/>
      <c r="P670" s="212">
        <f>P669</f>
        <v>0</v>
      </c>
      <c r="Q670" s="212">
        <f t="shared" ref="Q670" si="277">Q669</f>
        <v>0</v>
      </c>
      <c r="R670" s="212">
        <f>R669</f>
        <v>0</v>
      </c>
      <c r="S670" s="212">
        <f t="shared" ref="S670:T670" si="278">S669</f>
        <v>0</v>
      </c>
      <c r="T670" s="212">
        <f t="shared" si="278"/>
        <v>0</v>
      </c>
      <c r="U670" s="212">
        <f t="shared" ref="U670" si="279">U669</f>
        <v>0</v>
      </c>
      <c r="V670" s="212">
        <f>V669</f>
        <v>1839000000</v>
      </c>
      <c r="W670" s="212">
        <f t="shared" ref="W670" si="280">W669</f>
        <v>4654101985.996911</v>
      </c>
      <c r="X670" s="212">
        <f>X669</f>
        <v>4499205411</v>
      </c>
      <c r="Y670" s="212">
        <f>Y669</f>
        <v>3001376249</v>
      </c>
      <c r="Z670" s="212">
        <f>Z669</f>
        <v>17674762091.549999</v>
      </c>
      <c r="AA670" s="212">
        <f t="shared" ref="AA670:AC670" si="281">AA669</f>
        <v>0</v>
      </c>
      <c r="AB670" s="212">
        <f t="shared" si="281"/>
        <v>1378557211</v>
      </c>
      <c r="AC670" s="212">
        <f t="shared" si="281"/>
        <v>8053049338</v>
      </c>
      <c r="AD670" s="212">
        <f t="shared" ref="AD670" si="282">AD669</f>
        <v>0</v>
      </c>
      <c r="AE670" s="212">
        <f t="shared" ref="AE670" si="283">AE669</f>
        <v>0</v>
      </c>
      <c r="AF670" s="212">
        <f t="shared" ref="AF670" si="284">AF669</f>
        <v>0</v>
      </c>
      <c r="AG670" s="212">
        <f t="shared" ref="AG670" si="285">AG669</f>
        <v>0</v>
      </c>
      <c r="AH670" s="212">
        <f t="shared" ref="AH670" si="286">AH669</f>
        <v>0</v>
      </c>
      <c r="AI670" s="212">
        <f t="shared" ref="AI670" si="287">AI669</f>
        <v>0</v>
      </c>
      <c r="AJ670" s="212">
        <f t="shared" ref="AJ670" si="288">AJ669</f>
        <v>0</v>
      </c>
      <c r="AK670" s="212">
        <f t="shared" ref="AK670" si="289">AK669</f>
        <v>0</v>
      </c>
      <c r="AL670" s="212">
        <f t="shared" ref="AL670" si="290">AL669</f>
        <v>930000000</v>
      </c>
      <c r="AM670" s="212">
        <f t="shared" ref="AM670" si="291">AM669</f>
        <v>0</v>
      </c>
      <c r="AN670" s="212">
        <f t="shared" ref="AN670" si="292">AN669</f>
        <v>0</v>
      </c>
      <c r="AO670" s="212">
        <f t="shared" ref="AO670" si="293">AO669</f>
        <v>1485367013</v>
      </c>
      <c r="AP670" s="212">
        <f t="shared" ref="AP670" si="294">AP669</f>
        <v>43515419299.546913</v>
      </c>
    </row>
    <row r="671" spans="1:42" s="28" customFormat="1" ht="15" x14ac:dyDescent="0.25">
      <c r="A671" s="1066"/>
      <c r="B671" s="498"/>
      <c r="C671" s="839"/>
      <c r="D671" s="498"/>
      <c r="E671" s="839"/>
      <c r="F671" s="839"/>
      <c r="G671" s="498"/>
      <c r="H671" s="839"/>
      <c r="I671" s="498"/>
      <c r="J671" s="839"/>
      <c r="K671" s="839"/>
      <c r="L671" s="839"/>
      <c r="M671" s="1067"/>
      <c r="N671" s="1068"/>
      <c r="O671" s="833"/>
      <c r="P671" s="45"/>
      <c r="Q671" s="45"/>
      <c r="R671" s="45"/>
      <c r="S671" s="45"/>
      <c r="T671" s="45"/>
      <c r="U671" s="45"/>
      <c r="V671" s="45"/>
      <c r="W671" s="45"/>
      <c r="X671" s="45"/>
      <c r="Y671" s="45"/>
      <c r="Z671" s="45"/>
      <c r="AA671" s="45"/>
      <c r="AB671" s="45"/>
      <c r="AC671" s="45"/>
      <c r="AD671" s="45"/>
      <c r="AE671" s="45"/>
      <c r="AF671" s="45"/>
      <c r="AG671" s="45"/>
      <c r="AH671" s="45"/>
      <c r="AI671" s="45"/>
      <c r="AJ671" s="45"/>
      <c r="AK671" s="45"/>
      <c r="AL671" s="368"/>
      <c r="AM671" s="45"/>
      <c r="AN671" s="45"/>
      <c r="AO671" s="45"/>
      <c r="AP671" s="45"/>
    </row>
    <row r="672" spans="1:42" s="553" customFormat="1" ht="15" x14ac:dyDescent="0.25">
      <c r="A672" s="910" t="s">
        <v>931</v>
      </c>
      <c r="B672" s="911"/>
      <c r="C672" s="911"/>
      <c r="D672" s="911"/>
      <c r="E672" s="911"/>
      <c r="F672" s="911"/>
      <c r="G672" s="911"/>
      <c r="H672" s="911"/>
      <c r="I672" s="911"/>
      <c r="J672" s="911"/>
      <c r="K672" s="911"/>
      <c r="L672" s="911"/>
      <c r="M672" s="911"/>
      <c r="N672" s="912"/>
      <c r="O672" s="636"/>
      <c r="P672" s="637">
        <f>+P670+P540+P530+P464+P358+P341+P267+P225+P193+P116+P80+P66+P23</f>
        <v>2803655885</v>
      </c>
      <c r="Q672" s="637">
        <f>+Q670+Q540+Q530+Q464+Q358+Q341+Q267+Q225+Q193+Q116+Q80+Q66+Q23</f>
        <v>4087273806</v>
      </c>
      <c r="R672" s="637">
        <f t="shared" ref="R672:AL672" si="295">+R670+R540+R530+R464+R358+R341+R267+R225+R193+R116+R80+R66+R23</f>
        <v>9909927185</v>
      </c>
      <c r="S672" s="637">
        <f t="shared" si="295"/>
        <v>9209631612</v>
      </c>
      <c r="T672" s="637">
        <f t="shared" si="295"/>
        <v>76532521</v>
      </c>
      <c r="U672" s="637">
        <f t="shared" si="295"/>
        <v>706404493</v>
      </c>
      <c r="V672" s="637">
        <f t="shared" si="295"/>
        <v>8142405435</v>
      </c>
      <c r="W672" s="637">
        <f t="shared" si="295"/>
        <v>4654101985.996911</v>
      </c>
      <c r="X672" s="637">
        <f t="shared" si="295"/>
        <v>4499205411</v>
      </c>
      <c r="Y672" s="637">
        <f t="shared" si="295"/>
        <v>3001376249</v>
      </c>
      <c r="Z672" s="637">
        <f t="shared" si="295"/>
        <v>17674762091.549999</v>
      </c>
      <c r="AA672" s="637">
        <f t="shared" si="295"/>
        <v>0</v>
      </c>
      <c r="AB672" s="637">
        <f t="shared" si="295"/>
        <v>1378557211</v>
      </c>
      <c r="AC672" s="637">
        <f t="shared" si="295"/>
        <v>8053049338</v>
      </c>
      <c r="AD672" s="637">
        <f t="shared" si="295"/>
        <v>104971640601</v>
      </c>
      <c r="AE672" s="637">
        <f t="shared" si="295"/>
        <v>19644857395</v>
      </c>
      <c r="AF672" s="637">
        <f t="shared" si="295"/>
        <v>250000000</v>
      </c>
      <c r="AG672" s="637">
        <f t="shared" si="295"/>
        <v>6091354</v>
      </c>
      <c r="AH672" s="637">
        <f t="shared" si="295"/>
        <v>1186000000</v>
      </c>
      <c r="AI672" s="637">
        <f t="shared" si="295"/>
        <v>1200000000</v>
      </c>
      <c r="AJ672" s="637">
        <f t="shared" si="295"/>
        <v>6739972766</v>
      </c>
      <c r="AK672" s="637">
        <f t="shared" si="295"/>
        <v>2317209025.7399998</v>
      </c>
      <c r="AL672" s="637">
        <f t="shared" si="295"/>
        <v>26128875649.176529</v>
      </c>
      <c r="AM672" s="637">
        <f t="shared" ref="AM672:AO672" si="296">+AM670+AM540+AM530+AM464+AM358+AM341+AM267+AM225+AM193+AM116+AM80+AM66+AM23</f>
        <v>0</v>
      </c>
      <c r="AN672" s="637">
        <f t="shared" si="296"/>
        <v>869672480</v>
      </c>
      <c r="AO672" s="637">
        <f t="shared" si="296"/>
        <v>1819100599</v>
      </c>
      <c r="AP672" s="637">
        <f>+AP670+AP540+AP530+AP464+AP358+AP341+AP267+AP225+AP193+AP116+AP80+AP66+AP23</f>
        <v>239330303093.46341</v>
      </c>
    </row>
    <row r="673" spans="1:42" s="553" customFormat="1" ht="36.75" customHeight="1" x14ac:dyDescent="0.25">
      <c r="A673" s="638"/>
      <c r="B673" s="638"/>
      <c r="C673" s="639"/>
      <c r="D673" s="638"/>
      <c r="E673" s="639"/>
      <c r="F673" s="639"/>
      <c r="G673" s="638"/>
      <c r="H673" s="639"/>
      <c r="I673" s="638"/>
      <c r="J673" s="639"/>
      <c r="K673" s="639"/>
      <c r="L673" s="639"/>
      <c r="M673" s="640"/>
      <c r="N673" s="638"/>
      <c r="O673" s="639"/>
      <c r="P673" s="641"/>
      <c r="Q673" s="641"/>
      <c r="R673" s="641"/>
      <c r="S673" s="641"/>
      <c r="T673" s="641"/>
      <c r="U673" s="641"/>
      <c r="V673" s="641"/>
      <c r="W673" s="641"/>
      <c r="X673" s="641"/>
      <c r="Y673" s="641"/>
      <c r="Z673" s="641"/>
      <c r="AA673" s="641"/>
      <c r="AB673" s="641"/>
      <c r="AC673" s="641"/>
      <c r="AD673" s="641"/>
      <c r="AE673" s="641"/>
      <c r="AF673" s="641"/>
      <c r="AG673" s="641"/>
      <c r="AH673" s="641"/>
      <c r="AI673" s="641"/>
      <c r="AJ673" s="641"/>
      <c r="AK673" s="641"/>
      <c r="AL673" s="642"/>
      <c r="AM673" s="641"/>
      <c r="AN673" s="641"/>
      <c r="AO673" s="641"/>
      <c r="AP673" s="759"/>
    </row>
    <row r="674" spans="1:42" s="196" customFormat="1" ht="25.5" customHeight="1" x14ac:dyDescent="0.25">
      <c r="A674" s="643" t="s">
        <v>838</v>
      </c>
      <c r="B674" s="644"/>
      <c r="C674" s="645"/>
      <c r="D674" s="644"/>
      <c r="E674" s="644"/>
      <c r="F674" s="644"/>
      <c r="G674" s="644"/>
      <c r="H674" s="645"/>
      <c r="I674" s="644"/>
      <c r="J674" s="644"/>
      <c r="K674" s="644"/>
      <c r="L674" s="644"/>
      <c r="M674" s="168"/>
      <c r="N674" s="644"/>
      <c r="O674" s="645"/>
      <c r="P674" s="644"/>
      <c r="Q674" s="644"/>
      <c r="R674" s="644"/>
      <c r="S674" s="644"/>
      <c r="T674" s="644"/>
      <c r="U674" s="644"/>
      <c r="V674" s="644"/>
      <c r="W674" s="644"/>
      <c r="X674" s="644"/>
      <c r="Y674" s="644"/>
      <c r="Z674" s="644"/>
      <c r="AA674" s="644"/>
      <c r="AB674" s="644"/>
      <c r="AC674" s="644"/>
      <c r="AD674" s="644"/>
      <c r="AE674" s="644"/>
      <c r="AF674" s="644"/>
      <c r="AG674" s="644"/>
      <c r="AH674" s="644"/>
      <c r="AI674" s="644"/>
      <c r="AJ674" s="644"/>
      <c r="AK674" s="644"/>
      <c r="AL674" s="646"/>
      <c r="AM674" s="647"/>
      <c r="AN674" s="644"/>
      <c r="AO674" s="644"/>
      <c r="AP674" s="821"/>
    </row>
    <row r="675" spans="1:42" s="196" customFormat="1" ht="25.5" customHeight="1" x14ac:dyDescent="0.25">
      <c r="A675" s="173">
        <v>3</v>
      </c>
      <c r="B675" s="174" t="s">
        <v>428</v>
      </c>
      <c r="C675" s="175"/>
      <c r="D675" s="174"/>
      <c r="E675" s="174"/>
      <c r="F675" s="174"/>
      <c r="G675" s="174"/>
      <c r="H675" s="175"/>
      <c r="I675" s="174"/>
      <c r="J675" s="174"/>
      <c r="K675" s="174"/>
      <c r="L675" s="174"/>
      <c r="M675" s="176"/>
      <c r="N675" s="174"/>
      <c r="O675" s="174"/>
      <c r="P675" s="174"/>
      <c r="Q675" s="174"/>
      <c r="R675" s="174"/>
      <c r="S675" s="174"/>
      <c r="T675" s="174"/>
      <c r="U675" s="174"/>
      <c r="V675" s="174"/>
      <c r="W675" s="174"/>
      <c r="X675" s="174"/>
      <c r="Y675" s="174"/>
      <c r="Z675" s="174"/>
      <c r="AA675" s="174"/>
      <c r="AB675" s="174"/>
      <c r="AC675" s="174"/>
      <c r="AD675" s="174"/>
      <c r="AE675" s="174"/>
      <c r="AF675" s="174"/>
      <c r="AG675" s="174"/>
      <c r="AH675" s="174"/>
      <c r="AI675" s="174"/>
      <c r="AJ675" s="174"/>
      <c r="AK675" s="174"/>
      <c r="AL675" s="177"/>
      <c r="AM675" s="174"/>
      <c r="AN675" s="174"/>
      <c r="AO675" s="174"/>
      <c r="AP675" s="648"/>
    </row>
    <row r="676" spans="1:42" s="196" customFormat="1" ht="25.5" customHeight="1" x14ac:dyDescent="0.25">
      <c r="A676" s="223"/>
      <c r="B676" s="291">
        <v>20</v>
      </c>
      <c r="C676" s="181" t="s">
        <v>839</v>
      </c>
      <c r="D676" s="182"/>
      <c r="E676" s="182"/>
      <c r="F676" s="182"/>
      <c r="G676" s="182"/>
      <c r="H676" s="183"/>
      <c r="I676" s="182"/>
      <c r="J676" s="182"/>
      <c r="K676" s="182"/>
      <c r="L676" s="182"/>
      <c r="M676" s="184"/>
      <c r="N676" s="182"/>
      <c r="O676" s="182"/>
      <c r="P676" s="182"/>
      <c r="Q676" s="182"/>
      <c r="R676" s="182"/>
      <c r="S676" s="182"/>
      <c r="T676" s="182"/>
      <c r="U676" s="182"/>
      <c r="V676" s="182"/>
      <c r="W676" s="182"/>
      <c r="X676" s="182"/>
      <c r="Y676" s="182"/>
      <c r="Z676" s="182"/>
      <c r="AA676" s="182"/>
      <c r="AB676" s="182"/>
      <c r="AC676" s="182"/>
      <c r="AD676" s="182"/>
      <c r="AE676" s="182"/>
      <c r="AF676" s="182"/>
      <c r="AG676" s="182"/>
      <c r="AH676" s="182"/>
      <c r="AI676" s="182"/>
      <c r="AJ676" s="182"/>
      <c r="AK676" s="182"/>
      <c r="AL676" s="185"/>
      <c r="AM676" s="182"/>
      <c r="AN676" s="182"/>
      <c r="AO676" s="182"/>
      <c r="AP676" s="633"/>
    </row>
    <row r="677" spans="1:42" s="196" customFormat="1" ht="25.5" customHeight="1" x14ac:dyDescent="0.25">
      <c r="A677" s="20"/>
      <c r="B677" s="223"/>
      <c r="C677" s="454"/>
      <c r="D677" s="214"/>
      <c r="E677" s="454"/>
      <c r="F677" s="150"/>
      <c r="G677" s="410">
        <v>68</v>
      </c>
      <c r="H677" s="904" t="s">
        <v>840</v>
      </c>
      <c r="I677" s="904"/>
      <c r="J677" s="904"/>
      <c r="K677" s="904"/>
      <c r="L677" s="904"/>
      <c r="M677" s="904"/>
      <c r="N677" s="904"/>
      <c r="O677" s="904"/>
      <c r="P677" s="227"/>
      <c r="Q677" s="227"/>
      <c r="R677" s="227"/>
      <c r="S677" s="227"/>
      <c r="T677" s="227"/>
      <c r="U677" s="227"/>
      <c r="V677" s="227"/>
      <c r="W677" s="227"/>
      <c r="X677" s="227"/>
      <c r="Y677" s="227"/>
      <c r="Z677" s="227"/>
      <c r="AA677" s="293">
        <f>+AA678-128000000</f>
        <v>158252550</v>
      </c>
      <c r="AB677" s="227"/>
      <c r="AC677" s="227"/>
      <c r="AD677" s="227"/>
      <c r="AE677" s="227"/>
      <c r="AF677" s="227"/>
      <c r="AG677" s="227"/>
      <c r="AH677" s="227"/>
      <c r="AI677" s="227"/>
      <c r="AJ677" s="227"/>
      <c r="AK677" s="227"/>
      <c r="AL677" s="229"/>
      <c r="AM677" s="227"/>
      <c r="AN677" s="227"/>
      <c r="AO677" s="227"/>
      <c r="AP677" s="629"/>
    </row>
    <row r="678" spans="1:42" s="28" customFormat="1" ht="51.75" customHeight="1" x14ac:dyDescent="0.25">
      <c r="A678" s="20"/>
      <c r="B678" s="20"/>
      <c r="C678" s="864">
        <v>36</v>
      </c>
      <c r="D678" s="867" t="s">
        <v>841</v>
      </c>
      <c r="E678" s="870">
        <v>0.4</v>
      </c>
      <c r="F678" s="873">
        <v>0.6</v>
      </c>
      <c r="G678" s="23"/>
      <c r="H678" s="737">
        <v>202</v>
      </c>
      <c r="I678" s="738" t="s">
        <v>842</v>
      </c>
      <c r="J678" s="32">
        <v>23</v>
      </c>
      <c r="K678" s="32">
        <v>23</v>
      </c>
      <c r="L678" s="32" t="s">
        <v>843</v>
      </c>
      <c r="M678" s="878" t="s">
        <v>844</v>
      </c>
      <c r="N678" s="905" t="s">
        <v>845</v>
      </c>
      <c r="O678" s="32" t="s">
        <v>44</v>
      </c>
      <c r="P678" s="26">
        <v>0</v>
      </c>
      <c r="Q678" s="26">
        <v>0</v>
      </c>
      <c r="R678" s="26">
        <v>0</v>
      </c>
      <c r="S678" s="26">
        <v>0</v>
      </c>
      <c r="T678" s="26">
        <v>0</v>
      </c>
      <c r="U678" s="26">
        <v>0</v>
      </c>
      <c r="V678" s="26">
        <v>0</v>
      </c>
      <c r="W678" s="26"/>
      <c r="X678" s="26"/>
      <c r="Y678" s="26"/>
      <c r="Z678" s="26">
        <v>0</v>
      </c>
      <c r="AA678" s="238">
        <f>288000000-160000000+158252550+112611784-112611784</f>
        <v>286252550</v>
      </c>
      <c r="AB678" s="26">
        <v>0</v>
      </c>
      <c r="AC678" s="26">
        <v>0</v>
      </c>
      <c r="AD678" s="26"/>
      <c r="AE678" s="26"/>
      <c r="AF678" s="26"/>
      <c r="AG678" s="26"/>
      <c r="AH678" s="26"/>
      <c r="AI678" s="26"/>
      <c r="AJ678" s="26">
        <v>0</v>
      </c>
      <c r="AK678" s="26">
        <v>0</v>
      </c>
      <c r="AL678" s="113">
        <v>310000000</v>
      </c>
      <c r="AM678" s="39"/>
      <c r="AN678" s="649"/>
      <c r="AO678" s="27">
        <v>0</v>
      </c>
      <c r="AP678" s="26">
        <f>P678+Q678+R678+S678+T678+U678+V678+W678+X678+Y678+Z678+AA678+AB678+AC678+AD678+AE678+AF678+AG678+AH678+AI678+AJ678+AK678+AL678+AM678+AN678+AO678</f>
        <v>596252550</v>
      </c>
    </row>
    <row r="679" spans="1:42" s="28" customFormat="1" ht="105" customHeight="1" x14ac:dyDescent="0.25">
      <c r="A679" s="20"/>
      <c r="B679" s="20"/>
      <c r="C679" s="866"/>
      <c r="D679" s="869"/>
      <c r="E679" s="872"/>
      <c r="F679" s="875"/>
      <c r="G679" s="29"/>
      <c r="H679" s="737">
        <v>203</v>
      </c>
      <c r="I679" s="738" t="s">
        <v>846</v>
      </c>
      <c r="J679" s="32">
        <v>20</v>
      </c>
      <c r="K679" s="32">
        <v>20</v>
      </c>
      <c r="L679" s="32" t="s">
        <v>843</v>
      </c>
      <c r="M679" s="880"/>
      <c r="N679" s="906"/>
      <c r="O679" s="32" t="s">
        <v>44</v>
      </c>
      <c r="P679" s="26">
        <v>0</v>
      </c>
      <c r="Q679" s="26">
        <v>0</v>
      </c>
      <c r="R679" s="26">
        <v>0</v>
      </c>
      <c r="S679" s="26">
        <v>0</v>
      </c>
      <c r="T679" s="26">
        <v>0</v>
      </c>
      <c r="U679" s="26">
        <v>0</v>
      </c>
      <c r="V679" s="26">
        <v>0</v>
      </c>
      <c r="W679" s="26"/>
      <c r="X679" s="26"/>
      <c r="Y679" s="26"/>
      <c r="Z679" s="26">
        <v>0</v>
      </c>
      <c r="AA679" s="26">
        <v>160000000</v>
      </c>
      <c r="AB679" s="26">
        <v>0</v>
      </c>
      <c r="AC679" s="26">
        <v>0</v>
      </c>
      <c r="AD679" s="26"/>
      <c r="AE679" s="26"/>
      <c r="AF679" s="26"/>
      <c r="AG679" s="26"/>
      <c r="AH679" s="26"/>
      <c r="AI679" s="26"/>
      <c r="AJ679" s="26">
        <v>0</v>
      </c>
      <c r="AK679" s="26">
        <v>0</v>
      </c>
      <c r="AL679" s="649">
        <f>310000000-310000000</f>
        <v>0</v>
      </c>
      <c r="AM679" s="649"/>
      <c r="AN679" s="650">
        <v>0</v>
      </c>
      <c r="AO679" s="27">
        <v>0</v>
      </c>
      <c r="AP679" s="26">
        <f>P679+Q679+R679+S679+T679+U679+V679+W679+X679+Y679+Z679+AA679+AB679+AC679+AD679+AE679+AF679+AG679+AH679+AI679+AJ679+AK679+AL679+AM679+AN679+AO679</f>
        <v>160000000</v>
      </c>
    </row>
    <row r="680" spans="1:42" s="196" customFormat="1" ht="15" x14ac:dyDescent="0.25">
      <c r="A680" s="20"/>
      <c r="B680" s="20"/>
      <c r="C680" s="257"/>
      <c r="D680" s="190"/>
      <c r="E680" s="708"/>
      <c r="F680" s="708"/>
      <c r="G680" s="191"/>
      <c r="H680" s="192"/>
      <c r="I680" s="191"/>
      <c r="J680" s="380"/>
      <c r="K680" s="380"/>
      <c r="L680" s="380"/>
      <c r="M680" s="455"/>
      <c r="N680" s="361"/>
      <c r="O680" s="494">
        <f>SUM(O678:O679)</f>
        <v>0</v>
      </c>
      <c r="P680" s="494">
        <f>SUM(P678:P679)</f>
        <v>0</v>
      </c>
      <c r="Q680" s="494">
        <f>SUM(Q678:Q679)</f>
        <v>0</v>
      </c>
      <c r="R680" s="494">
        <f>SUM(R678:R679)</f>
        <v>0</v>
      </c>
      <c r="S680" s="494">
        <f>SUM(S678:S679)</f>
        <v>0</v>
      </c>
      <c r="T680" s="494">
        <f>SUM(T678:T679)</f>
        <v>0</v>
      </c>
      <c r="U680" s="494">
        <f>SUM(U678:U679)</f>
        <v>0</v>
      </c>
      <c r="V680" s="494">
        <f>SUM(V678:V679)</f>
        <v>0</v>
      </c>
      <c r="W680" s="494"/>
      <c r="X680" s="494"/>
      <c r="Y680" s="494"/>
      <c r="Z680" s="494">
        <f>SUM(Z678:Z679)</f>
        <v>0</v>
      </c>
      <c r="AA680" s="494">
        <f>SUM(AA678:AA679)</f>
        <v>446252550</v>
      </c>
      <c r="AB680" s="494">
        <f>SUM(AB678:AB679)</f>
        <v>0</v>
      </c>
      <c r="AC680" s="494">
        <f>SUM(AC678:AC679)</f>
        <v>0</v>
      </c>
      <c r="AD680" s="651"/>
      <c r="AE680" s="651"/>
      <c r="AF680" s="651"/>
      <c r="AG680" s="651"/>
      <c r="AH680" s="651"/>
      <c r="AI680" s="651"/>
      <c r="AJ680" s="494">
        <f>SUM(AJ678:AJ679)</f>
        <v>0</v>
      </c>
      <c r="AK680" s="494">
        <f>SUM(AK678:AK679)</f>
        <v>0</v>
      </c>
      <c r="AL680" s="295">
        <f>SUM(AL678:AL679)</f>
        <v>310000000</v>
      </c>
      <c r="AM680" s="494"/>
      <c r="AN680" s="494">
        <f>SUM(AN678:AN679)</f>
        <v>0</v>
      </c>
      <c r="AO680" s="652">
        <f>SUM(AO678:AO679)</f>
        <v>0</v>
      </c>
      <c r="AP680" s="539">
        <f>SUM(AP678:AP679)</f>
        <v>756252550</v>
      </c>
    </row>
    <row r="681" spans="1:42" s="196" customFormat="1" ht="15" x14ac:dyDescent="0.25">
      <c r="A681" s="20"/>
      <c r="B681" s="20"/>
      <c r="C681" s="454"/>
      <c r="D681" s="214"/>
      <c r="E681" s="454"/>
      <c r="F681" s="454"/>
      <c r="G681" s="214"/>
      <c r="H681" s="454"/>
      <c r="I681" s="214"/>
      <c r="J681" s="454"/>
      <c r="K681" s="454"/>
      <c r="L681" s="153"/>
      <c r="M681" s="279"/>
      <c r="N681" s="265"/>
      <c r="O681" s="454"/>
      <c r="P681" s="217"/>
      <c r="Q681" s="217"/>
      <c r="R681" s="217"/>
      <c r="S681" s="217"/>
      <c r="T681" s="217"/>
      <c r="U681" s="217"/>
      <c r="V681" s="217"/>
      <c r="W681" s="217"/>
      <c r="X681" s="217"/>
      <c r="Y681" s="217"/>
      <c r="Z681" s="217"/>
      <c r="AA681" s="217"/>
      <c r="AB681" s="217"/>
      <c r="AC681" s="217"/>
      <c r="AD681" s="218"/>
      <c r="AE681" s="218"/>
      <c r="AF681" s="218"/>
      <c r="AG681" s="218"/>
      <c r="AH681" s="218"/>
      <c r="AI681" s="218"/>
      <c r="AJ681" s="217"/>
      <c r="AK681" s="217"/>
      <c r="AL681" s="219"/>
      <c r="AM681" s="220"/>
      <c r="AN681" s="217"/>
      <c r="AO681" s="217"/>
      <c r="AP681" s="26"/>
    </row>
    <row r="682" spans="1:42" s="196" customFormat="1" ht="15" x14ac:dyDescent="0.25">
      <c r="A682" s="20"/>
      <c r="B682" s="20"/>
      <c r="C682" s="454"/>
      <c r="D682" s="190"/>
      <c r="E682" s="708"/>
      <c r="F682" s="708"/>
      <c r="G682" s="410">
        <v>69</v>
      </c>
      <c r="H682" s="227" t="s">
        <v>847</v>
      </c>
      <c r="I682" s="227"/>
      <c r="J682" s="227"/>
      <c r="K682" s="227"/>
      <c r="L682" s="227"/>
      <c r="M682" s="227"/>
      <c r="N682" s="227"/>
      <c r="O682" s="227"/>
      <c r="P682" s="227"/>
      <c r="Q682" s="227"/>
      <c r="R682" s="227"/>
      <c r="S682" s="227"/>
      <c r="T682" s="227"/>
      <c r="U682" s="227"/>
      <c r="V682" s="227"/>
      <c r="W682" s="227"/>
      <c r="X682" s="227"/>
      <c r="Y682" s="227"/>
      <c r="Z682" s="227"/>
      <c r="AA682" s="227"/>
      <c r="AB682" s="227"/>
      <c r="AC682" s="227"/>
      <c r="AD682" s="227"/>
      <c r="AE682" s="227"/>
      <c r="AF682" s="227"/>
      <c r="AG682" s="227"/>
      <c r="AH682" s="227"/>
      <c r="AI682" s="227"/>
      <c r="AJ682" s="227"/>
      <c r="AK682" s="227"/>
      <c r="AL682" s="229"/>
      <c r="AM682" s="227"/>
      <c r="AN682" s="227"/>
      <c r="AO682" s="227"/>
      <c r="AP682" s="629"/>
    </row>
    <row r="683" spans="1:42" s="28" customFormat="1" ht="65.099999999999994" customHeight="1" x14ac:dyDescent="0.25">
      <c r="A683" s="20"/>
      <c r="B683" s="20"/>
      <c r="C683" s="737">
        <v>36</v>
      </c>
      <c r="D683" s="55" t="s">
        <v>841</v>
      </c>
      <c r="E683" s="578">
        <v>0.4</v>
      </c>
      <c r="F683" s="579">
        <v>0.6</v>
      </c>
      <c r="G683" s="738"/>
      <c r="H683" s="739">
        <v>204</v>
      </c>
      <c r="I683" s="738" t="s">
        <v>848</v>
      </c>
      <c r="J683" s="32">
        <v>13</v>
      </c>
      <c r="K683" s="32">
        <v>13</v>
      </c>
      <c r="L683" s="32" t="s">
        <v>843</v>
      </c>
      <c r="M683" s="740" t="s">
        <v>844</v>
      </c>
      <c r="N683" s="71" t="s">
        <v>845</v>
      </c>
      <c r="O683" s="32" t="s">
        <v>44</v>
      </c>
      <c r="P683" s="26">
        <v>0</v>
      </c>
      <c r="Q683" s="26">
        <v>0</v>
      </c>
      <c r="R683" s="26">
        <v>0</v>
      </c>
      <c r="S683" s="26">
        <v>0</v>
      </c>
      <c r="T683" s="26">
        <v>0</v>
      </c>
      <c r="U683" s="26">
        <v>0</v>
      </c>
      <c r="V683" s="26">
        <v>0</v>
      </c>
      <c r="W683" s="26"/>
      <c r="X683" s="26"/>
      <c r="Y683" s="26"/>
      <c r="Z683" s="26">
        <v>0</v>
      </c>
      <c r="AA683" s="26">
        <v>112611783.81</v>
      </c>
      <c r="AB683" s="26">
        <v>0</v>
      </c>
      <c r="AC683" s="26">
        <v>0</v>
      </c>
      <c r="AD683" s="26"/>
      <c r="AE683" s="26"/>
      <c r="AF683" s="26"/>
      <c r="AG683" s="26"/>
      <c r="AH683" s="26"/>
      <c r="AI683" s="26"/>
      <c r="AJ683" s="26">
        <v>0</v>
      </c>
      <c r="AK683" s="26">
        <v>0</v>
      </c>
      <c r="AL683" s="113">
        <v>113400000</v>
      </c>
      <c r="AM683" s="18"/>
      <c r="AN683" s="26">
        <v>5276896</v>
      </c>
      <c r="AO683" s="27">
        <v>0</v>
      </c>
      <c r="AP683" s="26">
        <f>P683+Q683+R683+S683+T683+U683+V683+W683+X683+Y683+Z683+AA683+AB683+AC683+AD683+AE683+AF683+AG683+AH683+AI683+AJ683+AK683+AL683+AM683+AN683+AO683</f>
        <v>231288679.81</v>
      </c>
    </row>
    <row r="684" spans="1:42" s="196" customFormat="1" ht="15" x14ac:dyDescent="0.25">
      <c r="A684" s="20"/>
      <c r="B684" s="20"/>
      <c r="C684" s="257"/>
      <c r="D684" s="190"/>
      <c r="E684" s="708"/>
      <c r="F684" s="708"/>
      <c r="G684" s="191"/>
      <c r="H684" s="192"/>
      <c r="I684" s="191"/>
      <c r="J684" s="380"/>
      <c r="K684" s="380"/>
      <c r="L684" s="380"/>
      <c r="M684" s="455"/>
      <c r="N684" s="361"/>
      <c r="O684" s="380"/>
      <c r="P684" s="195">
        <f>SUM(P683)</f>
        <v>0</v>
      </c>
      <c r="Q684" s="195">
        <f>SUM(Q683)</f>
        <v>0</v>
      </c>
      <c r="R684" s="195">
        <f>SUM(R683)</f>
        <v>0</v>
      </c>
      <c r="S684" s="195">
        <f>SUM(S683)</f>
        <v>0</v>
      </c>
      <c r="T684" s="195">
        <f>SUM(T683)</f>
        <v>0</v>
      </c>
      <c r="U684" s="195">
        <f>SUM(U683)</f>
        <v>0</v>
      </c>
      <c r="V684" s="195">
        <f>SUM(V683)</f>
        <v>0</v>
      </c>
      <c r="W684" s="195"/>
      <c r="X684" s="195"/>
      <c r="Y684" s="195"/>
      <c r="Z684" s="195">
        <f>SUM(Z683)</f>
        <v>0</v>
      </c>
      <c r="AA684" s="195">
        <f>SUM(AA683)</f>
        <v>112611783.81</v>
      </c>
      <c r="AB684" s="195">
        <f>SUM(AB683)</f>
        <v>0</v>
      </c>
      <c r="AC684" s="195">
        <f>SUM(AC683)</f>
        <v>0</v>
      </c>
      <c r="AD684" s="195">
        <f>SUM(AD683)</f>
        <v>0</v>
      </c>
      <c r="AE684" s="195">
        <f>SUM(AE683)</f>
        <v>0</v>
      </c>
      <c r="AF684" s="195"/>
      <c r="AG684" s="195">
        <f>SUM(AG683)</f>
        <v>0</v>
      </c>
      <c r="AH684" s="195">
        <f>SUM(AH683)</f>
        <v>0</v>
      </c>
      <c r="AI684" s="195">
        <f>SUM(AI683)</f>
        <v>0</v>
      </c>
      <c r="AJ684" s="195">
        <f>SUM(AJ683)</f>
        <v>0</v>
      </c>
      <c r="AK684" s="195">
        <f>SUM(AK683)</f>
        <v>0</v>
      </c>
      <c r="AL684" s="295">
        <f>SUM(AL683)</f>
        <v>113400000</v>
      </c>
      <c r="AM684" s="295">
        <f t="shared" ref="AM684:AN684" si="297">SUM(AM683)</f>
        <v>0</v>
      </c>
      <c r="AN684" s="295">
        <f t="shared" si="297"/>
        <v>5276896</v>
      </c>
      <c r="AO684" s="627">
        <f>SUM(AO683)</f>
        <v>0</v>
      </c>
      <c r="AP684" s="195">
        <f>SUM(AP683)</f>
        <v>231288679.81</v>
      </c>
    </row>
    <row r="685" spans="1:42" s="196" customFormat="1" ht="15" x14ac:dyDescent="0.25">
      <c r="A685" s="20"/>
      <c r="B685" s="20"/>
      <c r="C685" s="454"/>
      <c r="D685" s="214"/>
      <c r="E685" s="454"/>
      <c r="F685" s="454"/>
      <c r="G685" s="214"/>
      <c r="H685" s="454"/>
      <c r="I685" s="214"/>
      <c r="J685" s="454"/>
      <c r="K685" s="454"/>
      <c r="L685" s="153"/>
      <c r="M685" s="279"/>
      <c r="N685" s="265"/>
      <c r="O685" s="454"/>
      <c r="P685" s="217"/>
      <c r="Q685" s="217"/>
      <c r="R685" s="217"/>
      <c r="S685" s="217"/>
      <c r="T685" s="217"/>
      <c r="U685" s="217"/>
      <c r="V685" s="217"/>
      <c r="W685" s="217"/>
      <c r="X685" s="217"/>
      <c r="Y685" s="217"/>
      <c r="Z685" s="217"/>
      <c r="AA685" s="217"/>
      <c r="AB685" s="217"/>
      <c r="AC685" s="217"/>
      <c r="AD685" s="218"/>
      <c r="AE685" s="218"/>
      <c r="AF685" s="218"/>
      <c r="AG685" s="218"/>
      <c r="AH685" s="218"/>
      <c r="AI685" s="218"/>
      <c r="AJ685" s="217"/>
      <c r="AK685" s="217"/>
      <c r="AL685" s="219"/>
      <c r="AM685" s="220"/>
      <c r="AN685" s="217"/>
      <c r="AO685" s="217"/>
      <c r="AP685" s="26"/>
    </row>
    <row r="686" spans="1:42" s="196" customFormat="1" ht="15" x14ac:dyDescent="0.25">
      <c r="A686" s="20"/>
      <c r="B686" s="20"/>
      <c r="C686" s="454"/>
      <c r="D686" s="190"/>
      <c r="E686" s="708"/>
      <c r="F686" s="708"/>
      <c r="G686" s="410">
        <v>70</v>
      </c>
      <c r="H686" s="227" t="s">
        <v>849</v>
      </c>
      <c r="I686" s="227"/>
      <c r="J686" s="227"/>
      <c r="K686" s="227"/>
      <c r="L686" s="227"/>
      <c r="M686" s="227"/>
      <c r="N686" s="227"/>
      <c r="O686" s="227"/>
      <c r="P686" s="227"/>
      <c r="Q686" s="227"/>
      <c r="R686" s="227"/>
      <c r="S686" s="227"/>
      <c r="T686" s="227"/>
      <c r="U686" s="227"/>
      <c r="V686" s="227"/>
      <c r="W686" s="227"/>
      <c r="X686" s="227"/>
      <c r="Y686" s="227"/>
      <c r="Z686" s="227"/>
      <c r="AA686" s="227"/>
      <c r="AB686" s="227"/>
      <c r="AC686" s="227"/>
      <c r="AD686" s="227"/>
      <c r="AE686" s="227"/>
      <c r="AF686" s="227"/>
      <c r="AG686" s="227"/>
      <c r="AH686" s="227"/>
      <c r="AI686" s="227"/>
      <c r="AJ686" s="227"/>
      <c r="AK686" s="227"/>
      <c r="AL686" s="229"/>
      <c r="AM686" s="227"/>
      <c r="AN686" s="227"/>
      <c r="AO686" s="227"/>
      <c r="AP686" s="629"/>
    </row>
    <row r="687" spans="1:42" s="28" customFormat="1" ht="54.75" customHeight="1" x14ac:dyDescent="0.25">
      <c r="A687" s="20"/>
      <c r="B687" s="20"/>
      <c r="C687" s="737">
        <v>36</v>
      </c>
      <c r="D687" s="55" t="s">
        <v>841</v>
      </c>
      <c r="E687" s="578">
        <v>0.4</v>
      </c>
      <c r="F687" s="579">
        <v>0.6</v>
      </c>
      <c r="G687" s="738"/>
      <c r="H687" s="739">
        <v>205</v>
      </c>
      <c r="I687" s="738" t="s">
        <v>850</v>
      </c>
      <c r="J687" s="32">
        <v>4</v>
      </c>
      <c r="K687" s="32">
        <v>1</v>
      </c>
      <c r="L687" s="32" t="s">
        <v>843</v>
      </c>
      <c r="M687" s="740" t="s">
        <v>851</v>
      </c>
      <c r="N687" s="653" t="s">
        <v>852</v>
      </c>
      <c r="O687" s="32" t="s">
        <v>40</v>
      </c>
      <c r="P687" s="26">
        <v>0</v>
      </c>
      <c r="Q687" s="26">
        <v>0</v>
      </c>
      <c r="R687" s="26">
        <v>0</v>
      </c>
      <c r="S687" s="26">
        <v>0</v>
      </c>
      <c r="T687" s="26">
        <v>0</v>
      </c>
      <c r="U687" s="26">
        <v>0</v>
      </c>
      <c r="V687" s="26">
        <v>0</v>
      </c>
      <c r="W687" s="26"/>
      <c r="X687" s="26"/>
      <c r="Y687" s="26"/>
      <c r="Z687" s="26">
        <v>0</v>
      </c>
      <c r="AA687" s="26"/>
      <c r="AB687" s="26">
        <v>0</v>
      </c>
      <c r="AC687" s="26">
        <v>0</v>
      </c>
      <c r="AD687" s="26"/>
      <c r="AE687" s="26"/>
      <c r="AF687" s="26"/>
      <c r="AG687" s="26"/>
      <c r="AH687" s="26"/>
      <c r="AI687" s="26"/>
      <c r="AJ687" s="26">
        <v>0</v>
      </c>
      <c r="AK687" s="26">
        <v>0</v>
      </c>
      <c r="AL687" s="113">
        <f>80000000+200000000</f>
        <v>280000000</v>
      </c>
      <c r="AM687" s="18">
        <v>125652392</v>
      </c>
      <c r="AN687" s="26">
        <v>0</v>
      </c>
      <c r="AO687" s="27">
        <v>0</v>
      </c>
      <c r="AP687" s="26">
        <f>P687+Q687+R687+S687+T687+U687+V687+W687+X687+Y687+Z687+AA687+AB687+AC687+AD687+AE687+AF687+AG687+AH687+AI687+AJ687+AK687+AL687+AM687+AN687+AO687</f>
        <v>405652392</v>
      </c>
    </row>
    <row r="688" spans="1:42" s="196" customFormat="1" ht="15" x14ac:dyDescent="0.25">
      <c r="A688" s="20"/>
      <c r="B688" s="20"/>
      <c r="C688" s="257"/>
      <c r="D688" s="190"/>
      <c r="E688" s="708"/>
      <c r="F688" s="708"/>
      <c r="G688" s="191"/>
      <c r="H688" s="192"/>
      <c r="I688" s="191"/>
      <c r="J688" s="380"/>
      <c r="K688" s="380"/>
      <c r="L688" s="380"/>
      <c r="M688" s="455"/>
      <c r="N688" s="361"/>
      <c r="O688" s="380"/>
      <c r="P688" s="195">
        <f>SUM(P687)</f>
        <v>0</v>
      </c>
      <c r="Q688" s="195">
        <f>SUM(Q687)</f>
        <v>0</v>
      </c>
      <c r="R688" s="195">
        <f>SUM(R687)</f>
        <v>0</v>
      </c>
      <c r="S688" s="195">
        <f>SUM(S687)</f>
        <v>0</v>
      </c>
      <c r="T688" s="195">
        <f>SUM(T687)</f>
        <v>0</v>
      </c>
      <c r="U688" s="195">
        <f>SUM(U687)</f>
        <v>0</v>
      </c>
      <c r="V688" s="195">
        <f>SUM(V687)</f>
        <v>0</v>
      </c>
      <c r="W688" s="195"/>
      <c r="X688" s="195"/>
      <c r="Y688" s="195"/>
      <c r="Z688" s="195">
        <f>SUM(Z687)</f>
        <v>0</v>
      </c>
      <c r="AA688" s="195">
        <f>SUM(AA687)</f>
        <v>0</v>
      </c>
      <c r="AB688" s="195">
        <f>SUM(AB687)</f>
        <v>0</v>
      </c>
      <c r="AC688" s="195">
        <f>SUM(AC687)</f>
        <v>0</v>
      </c>
      <c r="AD688" s="195">
        <f>SUM(AD687)</f>
        <v>0</v>
      </c>
      <c r="AE688" s="195">
        <f>SUM(AE687)</f>
        <v>0</v>
      </c>
      <c r="AF688" s="195"/>
      <c r="AG688" s="195">
        <f>SUM(AG687)</f>
        <v>0</v>
      </c>
      <c r="AH688" s="195">
        <f>SUM(AH687)</f>
        <v>0</v>
      </c>
      <c r="AI688" s="195">
        <f>SUM(AI687)</f>
        <v>0</v>
      </c>
      <c r="AJ688" s="195">
        <f>SUM(AJ687)</f>
        <v>0</v>
      </c>
      <c r="AK688" s="195">
        <f>SUM(AK687)</f>
        <v>0</v>
      </c>
      <c r="AL688" s="295">
        <f>SUM(AL687)</f>
        <v>280000000</v>
      </c>
      <c r="AM688" s="295">
        <f t="shared" ref="AM688:AN688" si="298">SUM(AM687)</f>
        <v>125652392</v>
      </c>
      <c r="AN688" s="295">
        <f t="shared" si="298"/>
        <v>0</v>
      </c>
      <c r="AO688" s="296">
        <f>SUM(AO687)</f>
        <v>0</v>
      </c>
      <c r="AP688" s="296">
        <f>SUM(AP687)</f>
        <v>405652392</v>
      </c>
    </row>
    <row r="689" spans="1:47" s="28" customFormat="1" ht="15" x14ac:dyDescent="0.25">
      <c r="A689" s="20"/>
      <c r="B689" s="20"/>
      <c r="C689" s="454"/>
      <c r="D689" s="214"/>
      <c r="E689" s="454"/>
      <c r="F689" s="454"/>
      <c r="G689" s="214"/>
      <c r="H689" s="454"/>
      <c r="I689" s="214"/>
      <c r="J689" s="454"/>
      <c r="K689" s="454"/>
      <c r="L689" s="153"/>
      <c r="M689" s="279"/>
      <c r="N689" s="265"/>
      <c r="O689" s="454"/>
      <c r="P689" s="217"/>
      <c r="Q689" s="217"/>
      <c r="R689" s="217"/>
      <c r="S689" s="217"/>
      <c r="T689" s="217"/>
      <c r="U689" s="217"/>
      <c r="V689" s="217"/>
      <c r="W689" s="217"/>
      <c r="X689" s="217"/>
      <c r="Y689" s="217"/>
      <c r="Z689" s="217"/>
      <c r="AA689" s="217"/>
      <c r="AB689" s="217"/>
      <c r="AC689" s="217"/>
      <c r="AD689" s="218"/>
      <c r="AE689" s="218"/>
      <c r="AF689" s="218"/>
      <c r="AG689" s="218"/>
      <c r="AH689" s="218"/>
      <c r="AI689" s="218"/>
      <c r="AJ689" s="217"/>
      <c r="AK689" s="217"/>
      <c r="AL689" s="219"/>
      <c r="AM689" s="220"/>
      <c r="AN689" s="217"/>
      <c r="AO689" s="217"/>
      <c r="AP689" s="26"/>
    </row>
    <row r="690" spans="1:47" s="28" customFormat="1" ht="15" x14ac:dyDescent="0.25">
      <c r="A690" s="20"/>
      <c r="B690" s="20"/>
      <c r="C690" s="454"/>
      <c r="D690" s="190"/>
      <c r="E690" s="708"/>
      <c r="F690" s="708"/>
      <c r="G690" s="410">
        <v>71</v>
      </c>
      <c r="H690" s="227" t="s">
        <v>853</v>
      </c>
      <c r="I690" s="227"/>
      <c r="J690" s="227"/>
      <c r="K690" s="227"/>
      <c r="L690" s="227"/>
      <c r="M690" s="227"/>
      <c r="N690" s="227"/>
      <c r="O690" s="227"/>
      <c r="P690" s="227"/>
      <c r="Q690" s="227"/>
      <c r="R690" s="227"/>
      <c r="S690" s="227"/>
      <c r="T690" s="227"/>
      <c r="U690" s="227"/>
      <c r="V690" s="227"/>
      <c r="W690" s="227"/>
      <c r="X690" s="227"/>
      <c r="Y690" s="227"/>
      <c r="Z690" s="227"/>
      <c r="AA690" s="227"/>
      <c r="AB690" s="227"/>
      <c r="AC690" s="227"/>
      <c r="AD690" s="227"/>
      <c r="AE690" s="227"/>
      <c r="AF690" s="227"/>
      <c r="AG690" s="227"/>
      <c r="AH690" s="227"/>
      <c r="AI690" s="227"/>
      <c r="AJ690" s="227"/>
      <c r="AK690" s="227"/>
      <c r="AL690" s="229"/>
      <c r="AM690" s="227"/>
      <c r="AN690" s="227"/>
      <c r="AO690" s="227"/>
      <c r="AP690" s="629"/>
    </row>
    <row r="691" spans="1:47" s="28" customFormat="1" ht="103.5" customHeight="1" x14ac:dyDescent="0.25">
      <c r="A691" s="20"/>
      <c r="B691" s="20"/>
      <c r="C691" s="864">
        <v>36</v>
      </c>
      <c r="D691" s="884" t="s">
        <v>841</v>
      </c>
      <c r="E691" s="870">
        <v>0.4</v>
      </c>
      <c r="F691" s="873">
        <v>0.6</v>
      </c>
      <c r="G691" s="876"/>
      <c r="H691" s="152">
        <v>206</v>
      </c>
      <c r="I691" s="151" t="s">
        <v>854</v>
      </c>
      <c r="J691" s="32">
        <v>12</v>
      </c>
      <c r="K691" s="32">
        <v>12</v>
      </c>
      <c r="L691" s="32" t="s">
        <v>843</v>
      </c>
      <c r="M691" s="878" t="s">
        <v>855</v>
      </c>
      <c r="N691" s="881" t="s">
        <v>856</v>
      </c>
      <c r="O691" s="32" t="s">
        <v>44</v>
      </c>
      <c r="P691" s="26">
        <v>0</v>
      </c>
      <c r="Q691" s="26">
        <v>0</v>
      </c>
      <c r="R691" s="26">
        <v>0</v>
      </c>
      <c r="S691" s="26">
        <v>0</v>
      </c>
      <c r="T691" s="26">
        <v>0</v>
      </c>
      <c r="U691" s="26">
        <v>0</v>
      </c>
      <c r="V691" s="26">
        <v>0</v>
      </c>
      <c r="W691" s="26"/>
      <c r="X691" s="26"/>
      <c r="Y691" s="26"/>
      <c r="Z691" s="26">
        <v>0</v>
      </c>
      <c r="AA691" s="18">
        <v>106800000</v>
      </c>
      <c r="AB691" s="26">
        <v>0</v>
      </c>
      <c r="AC691" s="26">
        <v>0</v>
      </c>
      <c r="AD691" s="26"/>
      <c r="AE691" s="26"/>
      <c r="AF691" s="26"/>
      <c r="AG691" s="26"/>
      <c r="AH691" s="26"/>
      <c r="AI691" s="26"/>
      <c r="AJ691" s="26">
        <v>0</v>
      </c>
      <c r="AK691" s="26">
        <v>0</v>
      </c>
      <c r="AL691" s="113">
        <v>0</v>
      </c>
      <c r="AM691" s="14">
        <v>34991380</v>
      </c>
      <c r="AN691" s="26">
        <v>0</v>
      </c>
      <c r="AO691" s="27">
        <v>0</v>
      </c>
      <c r="AP691" s="26">
        <f>P691+Q691+R691+S691+T691+U691+V691+W691+X691+Y691+Z691+AA691+AB691+AC691+AD691+AE691+AF691+AG691+AH691+AI691+AJ691+AK691+AL691+AM691+AN691+AO691</f>
        <v>141791380</v>
      </c>
    </row>
    <row r="692" spans="1:47" s="28" customFormat="1" ht="50.25" customHeight="1" x14ac:dyDescent="0.25">
      <c r="A692" s="20"/>
      <c r="B692" s="20"/>
      <c r="C692" s="865"/>
      <c r="D692" s="885"/>
      <c r="E692" s="871"/>
      <c r="F692" s="874"/>
      <c r="G692" s="877"/>
      <c r="H692" s="152">
        <v>207</v>
      </c>
      <c r="I692" s="151" t="s">
        <v>857</v>
      </c>
      <c r="J692" s="32">
        <v>4</v>
      </c>
      <c r="K692" s="32">
        <v>1</v>
      </c>
      <c r="L692" s="32" t="s">
        <v>843</v>
      </c>
      <c r="M692" s="879"/>
      <c r="N692" s="882"/>
      <c r="O692" s="32" t="s">
        <v>40</v>
      </c>
      <c r="P692" s="26">
        <v>0</v>
      </c>
      <c r="Q692" s="26">
        <v>0</v>
      </c>
      <c r="R692" s="26">
        <v>0</v>
      </c>
      <c r="S692" s="26">
        <v>0</v>
      </c>
      <c r="T692" s="26">
        <v>0</v>
      </c>
      <c r="U692" s="26">
        <v>0</v>
      </c>
      <c r="V692" s="26">
        <v>0</v>
      </c>
      <c r="W692" s="26"/>
      <c r="X692" s="26"/>
      <c r="Y692" s="26"/>
      <c r="Z692" s="26">
        <v>0</v>
      </c>
      <c r="AA692" s="26"/>
      <c r="AB692" s="26">
        <v>0</v>
      </c>
      <c r="AC692" s="26">
        <v>0</v>
      </c>
      <c r="AD692" s="26"/>
      <c r="AE692" s="26"/>
      <c r="AF692" s="26"/>
      <c r="AG692" s="26"/>
      <c r="AH692" s="26"/>
      <c r="AI692" s="26"/>
      <c r="AJ692" s="26">
        <v>0</v>
      </c>
      <c r="AK692" s="26">
        <v>0</v>
      </c>
      <c r="AL692" s="113">
        <f>107173+333200274</f>
        <v>333307447</v>
      </c>
      <c r="AM692" s="18">
        <f>20000000+10000000</f>
        <v>30000000</v>
      </c>
      <c r="AN692" s="26">
        <v>0</v>
      </c>
      <c r="AO692" s="27">
        <v>0</v>
      </c>
      <c r="AP692" s="26">
        <f>P692+Q692+R692+S692+T692+U692+V692+W692+X692+Y692+Z692+AA692+AB692+AC692+AD692+AE692+AF692+AG692+AH692+AI692+AJ692+AK692+AL692+AM692+AN692+AO692</f>
        <v>363307447</v>
      </c>
    </row>
    <row r="693" spans="1:47" s="28" customFormat="1" ht="60" customHeight="1" x14ac:dyDescent="0.25">
      <c r="A693" s="20"/>
      <c r="B693" s="20"/>
      <c r="C693" s="866"/>
      <c r="D693" s="886"/>
      <c r="E693" s="872"/>
      <c r="F693" s="875"/>
      <c r="G693" s="887"/>
      <c r="H693" s="152">
        <v>208</v>
      </c>
      <c r="I693" s="151" t="s">
        <v>858</v>
      </c>
      <c r="J693" s="32">
        <v>1</v>
      </c>
      <c r="K693" s="32">
        <v>1</v>
      </c>
      <c r="L693" s="32" t="s">
        <v>843</v>
      </c>
      <c r="M693" s="880"/>
      <c r="N693" s="883"/>
      <c r="O693" s="32" t="s">
        <v>44</v>
      </c>
      <c r="P693" s="26">
        <v>0</v>
      </c>
      <c r="Q693" s="26">
        <v>0</v>
      </c>
      <c r="R693" s="26">
        <v>0</v>
      </c>
      <c r="S693" s="26">
        <v>0</v>
      </c>
      <c r="T693" s="26">
        <v>0</v>
      </c>
      <c r="U693" s="26">
        <v>0</v>
      </c>
      <c r="V693" s="26">
        <v>0</v>
      </c>
      <c r="W693" s="26"/>
      <c r="X693" s="26"/>
      <c r="Y693" s="26"/>
      <c r="Z693" s="26">
        <v>0</v>
      </c>
      <c r="AA693" s="26"/>
      <c r="AB693" s="26">
        <v>0</v>
      </c>
      <c r="AC693" s="26">
        <v>0</v>
      </c>
      <c r="AD693" s="26"/>
      <c r="AE693" s="26"/>
      <c r="AF693" s="26"/>
      <c r="AG693" s="26"/>
      <c r="AH693" s="26"/>
      <c r="AI693" s="26"/>
      <c r="AJ693" s="26">
        <v>0</v>
      </c>
      <c r="AK693" s="26">
        <v>0</v>
      </c>
      <c r="AL693" s="113">
        <f>10000000+10000000+30000000</f>
        <v>50000000</v>
      </c>
      <c r="AM693" s="18"/>
      <c r="AN693" s="26">
        <v>0</v>
      </c>
      <c r="AO693" s="27">
        <v>0</v>
      </c>
      <c r="AP693" s="26">
        <f>P693+Q693+R693+S693+T693+U693+V693+W693+X693+Y693+Z693+AA693+AB693+AC693+AD693+AE693+AF693+AG693+AH693+AI693+AJ693+AK693+AL693+AM693+AN693+AO693</f>
        <v>50000000</v>
      </c>
    </row>
    <row r="694" spans="1:47" s="196" customFormat="1" ht="15" x14ac:dyDescent="0.25">
      <c r="A694" s="20"/>
      <c r="B694" s="189"/>
      <c r="C694" s="656"/>
      <c r="D694" s="190"/>
      <c r="E694" s="708"/>
      <c r="F694" s="708"/>
      <c r="G694" s="191"/>
      <c r="H694" s="192"/>
      <c r="I694" s="191"/>
      <c r="J694" s="380"/>
      <c r="K694" s="380"/>
      <c r="L694" s="380"/>
      <c r="M694" s="455"/>
      <c r="N694" s="361"/>
      <c r="O694" s="380"/>
      <c r="P694" s="195">
        <f>SUM(P691:P693)</f>
        <v>0</v>
      </c>
      <c r="Q694" s="195">
        <f>SUM(Q691:Q693)</f>
        <v>0</v>
      </c>
      <c r="R694" s="195">
        <f>SUM(R691:R693)</f>
        <v>0</v>
      </c>
      <c r="S694" s="195">
        <f>SUM(S691:S693)</f>
        <v>0</v>
      </c>
      <c r="T694" s="195">
        <f>SUM(T691:T693)</f>
        <v>0</v>
      </c>
      <c r="U694" s="195">
        <f>SUM(U691:U693)</f>
        <v>0</v>
      </c>
      <c r="V694" s="195">
        <f>SUM(V691:V693)</f>
        <v>0</v>
      </c>
      <c r="W694" s="195"/>
      <c r="X694" s="195"/>
      <c r="Y694" s="195"/>
      <c r="Z694" s="195">
        <f>SUM(Z691:Z693)</f>
        <v>0</v>
      </c>
      <c r="AA694" s="195">
        <f>SUM(AA691:AA693)</f>
        <v>106800000</v>
      </c>
      <c r="AB694" s="195">
        <f>SUM(AB691:AB693)</f>
        <v>0</v>
      </c>
      <c r="AC694" s="195">
        <f>SUM(AC691:AC693)</f>
        <v>0</v>
      </c>
      <c r="AD694" s="195">
        <f>SUM(AD691:AD693)</f>
        <v>0</v>
      </c>
      <c r="AE694" s="195">
        <f>SUM(AE691:AE693)</f>
        <v>0</v>
      </c>
      <c r="AF694" s="195"/>
      <c r="AG694" s="195">
        <f>SUM(AG691:AG693)</f>
        <v>0</v>
      </c>
      <c r="AH694" s="195">
        <f>SUM(AH691:AH693)</f>
        <v>0</v>
      </c>
      <c r="AI694" s="195">
        <f>SUM(AI691:AI693)</f>
        <v>0</v>
      </c>
      <c r="AJ694" s="195">
        <f>SUM(AJ691:AJ693)</f>
        <v>0</v>
      </c>
      <c r="AK694" s="195">
        <f>SUM(AK691:AK693)</f>
        <v>0</v>
      </c>
      <c r="AL694" s="295">
        <f>SUM(AL691:AL693)</f>
        <v>383307447</v>
      </c>
      <c r="AM694" s="295">
        <f t="shared" ref="AM694" si="299">SUM(AM691:AM693)</f>
        <v>64991380</v>
      </c>
      <c r="AN694" s="195">
        <f t="shared" ref="AN694:AP694" si="300">SUM(AN691:AN693)</f>
        <v>0</v>
      </c>
      <c r="AO694" s="195">
        <f t="shared" si="300"/>
        <v>0</v>
      </c>
      <c r="AP694" s="195">
        <f t="shared" si="300"/>
        <v>555098827</v>
      </c>
    </row>
    <row r="695" spans="1:47" s="196" customFormat="1" ht="15" x14ac:dyDescent="0.25">
      <c r="A695" s="20"/>
      <c r="B695" s="464"/>
      <c r="C695" s="264"/>
      <c r="D695" s="198"/>
      <c r="E695" s="199"/>
      <c r="F695" s="199"/>
      <c r="G695" s="198"/>
      <c r="H695" s="199"/>
      <c r="I695" s="198"/>
      <c r="J695" s="390"/>
      <c r="K695" s="390"/>
      <c r="L695" s="390"/>
      <c r="M695" s="657"/>
      <c r="N695" s="658"/>
      <c r="O695" s="390"/>
      <c r="P695" s="202">
        <f>P694+P688+P684+P680</f>
        <v>0</v>
      </c>
      <c r="Q695" s="202">
        <f>Q694+Q688+Q684+Q680</f>
        <v>0</v>
      </c>
      <c r="R695" s="202">
        <f>R694+R688+R684+R680</f>
        <v>0</v>
      </c>
      <c r="S695" s="202">
        <f>S694+S688+S684+S680</f>
        <v>0</v>
      </c>
      <c r="T695" s="202">
        <f>T694+T688+T684+T680</f>
        <v>0</v>
      </c>
      <c r="U695" s="202">
        <f>U694+U688+U684+U680</f>
        <v>0</v>
      </c>
      <c r="V695" s="202">
        <f>V694+V688+V684+V680</f>
        <v>0</v>
      </c>
      <c r="W695" s="202"/>
      <c r="X695" s="202"/>
      <c r="Y695" s="202"/>
      <c r="Z695" s="202">
        <f>Z694+Z688+Z684+Z680</f>
        <v>0</v>
      </c>
      <c r="AA695" s="202">
        <f>AA694+AA688+AA684+AA680</f>
        <v>665664333.80999994</v>
      </c>
      <c r="AB695" s="202">
        <f>AB694+AB688+AB684+AB680</f>
        <v>0</v>
      </c>
      <c r="AC695" s="202">
        <f>AC694+AC688+AC684+AC680</f>
        <v>0</v>
      </c>
      <c r="AD695" s="202">
        <f>AD694+AD688+AD684+AD680</f>
        <v>0</v>
      </c>
      <c r="AE695" s="202">
        <f>AE694+AE688+AE684+AE680</f>
        <v>0</v>
      </c>
      <c r="AF695" s="202"/>
      <c r="AG695" s="202">
        <f>AG694+AG688+AG684+AG680</f>
        <v>0</v>
      </c>
      <c r="AH695" s="202">
        <f>AH694+AH688+AH684+AH680</f>
        <v>0</v>
      </c>
      <c r="AI695" s="202">
        <f>AI694+AI688+AI684+AI680</f>
        <v>0</v>
      </c>
      <c r="AJ695" s="202">
        <f>AJ694+AJ688+AJ684+AJ680</f>
        <v>0</v>
      </c>
      <c r="AK695" s="202">
        <f>AK694+AK688+AK684+AK680</f>
        <v>0</v>
      </c>
      <c r="AL695" s="297">
        <f>AL694+AL688+AL684+AL680</f>
        <v>1086707447</v>
      </c>
      <c r="AM695" s="297">
        <f t="shared" ref="AM695" si="301">AM694+AM688+AM684+AM680</f>
        <v>190643772</v>
      </c>
      <c r="AN695" s="202">
        <f t="shared" ref="AN695:AP695" si="302">AN694+AN688+AN684+AN680</f>
        <v>5276896</v>
      </c>
      <c r="AO695" s="202">
        <f t="shared" si="302"/>
        <v>0</v>
      </c>
      <c r="AP695" s="202">
        <f t="shared" si="302"/>
        <v>1948292448.8099999</v>
      </c>
    </row>
    <row r="696" spans="1:47" s="196" customFormat="1" ht="15" x14ac:dyDescent="0.25">
      <c r="A696" s="20"/>
      <c r="B696" s="214"/>
      <c r="C696" s="454"/>
      <c r="D696" s="214"/>
      <c r="E696" s="454"/>
      <c r="F696" s="454"/>
      <c r="G696" s="214"/>
      <c r="H696" s="454"/>
      <c r="I696" s="214"/>
      <c r="J696" s="454"/>
      <c r="K696" s="454"/>
      <c r="L696" s="153"/>
      <c r="M696" s="279"/>
      <c r="N696" s="265"/>
      <c r="O696" s="454"/>
      <c r="P696" s="217"/>
      <c r="Q696" s="217"/>
      <c r="R696" s="217"/>
      <c r="S696" s="217"/>
      <c r="T696" s="217"/>
      <c r="U696" s="217"/>
      <c r="V696" s="217"/>
      <c r="W696" s="217"/>
      <c r="X696" s="217"/>
      <c r="Y696" s="217"/>
      <c r="Z696" s="217"/>
      <c r="AA696" s="217"/>
      <c r="AB696" s="217"/>
      <c r="AC696" s="217"/>
      <c r="AD696" s="218"/>
      <c r="AE696" s="218"/>
      <c r="AF696" s="218"/>
      <c r="AG696" s="218"/>
      <c r="AH696" s="218"/>
      <c r="AI696" s="218"/>
      <c r="AJ696" s="217"/>
      <c r="AK696" s="217"/>
      <c r="AL696" s="219"/>
      <c r="AM696" s="217"/>
      <c r="AN696" s="217"/>
      <c r="AO696" s="217"/>
      <c r="AP696" s="26"/>
    </row>
    <row r="697" spans="1:47" s="196" customFormat="1" x14ac:dyDescent="0.25">
      <c r="A697" s="20"/>
      <c r="B697" s="659">
        <v>21</v>
      </c>
      <c r="C697" s="181" t="s">
        <v>859</v>
      </c>
      <c r="D697" s="182"/>
      <c r="E697" s="182"/>
      <c r="F697" s="182"/>
      <c r="G697" s="182"/>
      <c r="H697" s="183"/>
      <c r="I697" s="182"/>
      <c r="J697" s="182"/>
      <c r="K697" s="182"/>
      <c r="L697" s="182"/>
      <c r="M697" s="184"/>
      <c r="N697" s="182"/>
      <c r="O697" s="182"/>
      <c r="P697" s="182"/>
      <c r="Q697" s="182"/>
      <c r="R697" s="182"/>
      <c r="S697" s="182"/>
      <c r="T697" s="182"/>
      <c r="U697" s="182"/>
      <c r="V697" s="182"/>
      <c r="W697" s="182"/>
      <c r="X697" s="182"/>
      <c r="Y697" s="182"/>
      <c r="Z697" s="182"/>
      <c r="AA697" s="182"/>
      <c r="AB697" s="182"/>
      <c r="AC697" s="182"/>
      <c r="AD697" s="182"/>
      <c r="AE697" s="182"/>
      <c r="AF697" s="182"/>
      <c r="AG697" s="182"/>
      <c r="AH697" s="182"/>
      <c r="AI697" s="182"/>
      <c r="AJ697" s="182"/>
      <c r="AK697" s="182"/>
      <c r="AL697" s="185"/>
      <c r="AM697" s="182"/>
      <c r="AN697" s="182"/>
      <c r="AO697" s="182"/>
      <c r="AP697" s="633"/>
    </row>
    <row r="698" spans="1:47" s="196" customFormat="1" ht="15" x14ac:dyDescent="0.25">
      <c r="A698" s="20"/>
      <c r="B698" s="863"/>
      <c r="C698" s="454"/>
      <c r="D698" s="214"/>
      <c r="E698" s="454"/>
      <c r="F698" s="150"/>
      <c r="G698" s="410">
        <v>72</v>
      </c>
      <c r="H698" s="227" t="s">
        <v>860</v>
      </c>
      <c r="I698" s="227"/>
      <c r="J698" s="227"/>
      <c r="K698" s="227"/>
      <c r="L698" s="227"/>
      <c r="M698" s="227"/>
      <c r="N698" s="227"/>
      <c r="O698" s="227"/>
      <c r="P698" s="227"/>
      <c r="Q698" s="227"/>
      <c r="R698" s="227"/>
      <c r="S698" s="227"/>
      <c r="T698" s="227"/>
      <c r="U698" s="227"/>
      <c r="V698" s="227"/>
      <c r="W698" s="227"/>
      <c r="X698" s="227"/>
      <c r="Y698" s="227"/>
      <c r="Z698" s="227"/>
      <c r="AA698" s="227"/>
      <c r="AB698" s="227"/>
      <c r="AC698" s="227"/>
      <c r="AD698" s="227"/>
      <c r="AE698" s="227"/>
      <c r="AF698" s="227"/>
      <c r="AG698" s="227"/>
      <c r="AH698" s="227"/>
      <c r="AI698" s="227"/>
      <c r="AJ698" s="227"/>
      <c r="AK698" s="227"/>
      <c r="AL698" s="229"/>
      <c r="AM698" s="227"/>
      <c r="AN698" s="227"/>
      <c r="AO698" s="227"/>
      <c r="AP698" s="629"/>
    </row>
    <row r="699" spans="1:47" s="28" customFormat="1" ht="64.5" customHeight="1" x14ac:dyDescent="0.25">
      <c r="A699" s="20"/>
      <c r="B699" s="863"/>
      <c r="C699" s="864">
        <v>36</v>
      </c>
      <c r="D699" s="867" t="s">
        <v>841</v>
      </c>
      <c r="E699" s="870">
        <v>0.4</v>
      </c>
      <c r="F699" s="873">
        <v>0.6</v>
      </c>
      <c r="G699" s="876" t="s">
        <v>427</v>
      </c>
      <c r="H699" s="152">
        <v>209</v>
      </c>
      <c r="I699" s="151" t="s">
        <v>861</v>
      </c>
      <c r="J699" s="32">
        <v>1</v>
      </c>
      <c r="K699" s="32">
        <v>1</v>
      </c>
      <c r="L699" s="32" t="s">
        <v>843</v>
      </c>
      <c r="M699" s="878" t="s">
        <v>862</v>
      </c>
      <c r="N699" s="881" t="s">
        <v>863</v>
      </c>
      <c r="O699" s="32" t="s">
        <v>44</v>
      </c>
      <c r="P699" s="26">
        <v>0</v>
      </c>
      <c r="Q699" s="26">
        <v>0</v>
      </c>
      <c r="R699" s="26">
        <v>0</v>
      </c>
      <c r="S699" s="26">
        <v>0</v>
      </c>
      <c r="T699" s="26">
        <v>0</v>
      </c>
      <c r="U699" s="26">
        <v>0</v>
      </c>
      <c r="V699" s="26">
        <v>0</v>
      </c>
      <c r="W699" s="26"/>
      <c r="X699" s="26"/>
      <c r="Y699" s="26"/>
      <c r="Z699" s="26">
        <v>0</v>
      </c>
      <c r="AA699" s="26">
        <v>32000000</v>
      </c>
      <c r="AB699" s="26">
        <v>0</v>
      </c>
      <c r="AC699" s="26">
        <v>0</v>
      </c>
      <c r="AD699" s="26"/>
      <c r="AE699" s="26"/>
      <c r="AF699" s="26"/>
      <c r="AG699" s="26"/>
      <c r="AH699" s="26"/>
      <c r="AI699" s="26"/>
      <c r="AJ699" s="26">
        <v>0</v>
      </c>
      <c r="AK699" s="26"/>
      <c r="AL699" s="113">
        <f>10000000-2000000</f>
        <v>8000000</v>
      </c>
      <c r="AM699" s="18">
        <v>18154184</v>
      </c>
      <c r="AN699" s="26">
        <v>0</v>
      </c>
      <c r="AO699" s="27">
        <v>0</v>
      </c>
      <c r="AP699" s="26">
        <f>P699+Q699+R699+S699+T699+U699+V699+W699+X699+Y699+Z699+AA699+AB699+AC699+AD699+AE699+AF699+AG699+AH699+AI699+AJ699+AK699+AL699+AM699+AN699+AO699</f>
        <v>58154184</v>
      </c>
    </row>
    <row r="700" spans="1:47" s="28" customFormat="1" ht="64.5" customHeight="1" x14ac:dyDescent="0.25">
      <c r="A700" s="20"/>
      <c r="B700" s="863"/>
      <c r="C700" s="865"/>
      <c r="D700" s="868"/>
      <c r="E700" s="871"/>
      <c r="F700" s="874"/>
      <c r="G700" s="877"/>
      <c r="H700" s="152">
        <v>210</v>
      </c>
      <c r="I700" s="151" t="s">
        <v>864</v>
      </c>
      <c r="J700" s="152">
        <v>1</v>
      </c>
      <c r="K700" s="815">
        <v>1</v>
      </c>
      <c r="L700" s="32" t="s">
        <v>843</v>
      </c>
      <c r="M700" s="879"/>
      <c r="N700" s="882"/>
      <c r="O700" s="32" t="s">
        <v>44</v>
      </c>
      <c r="P700" s="26">
        <v>0</v>
      </c>
      <c r="Q700" s="26">
        <v>0</v>
      </c>
      <c r="R700" s="26">
        <v>0</v>
      </c>
      <c r="S700" s="26">
        <v>0</v>
      </c>
      <c r="T700" s="26">
        <v>0</v>
      </c>
      <c r="U700" s="26">
        <v>0</v>
      </c>
      <c r="V700" s="26">
        <v>0</v>
      </c>
      <c r="W700" s="26"/>
      <c r="X700" s="26"/>
      <c r="Y700" s="26"/>
      <c r="Z700" s="26">
        <v>0</v>
      </c>
      <c r="AA700" s="26">
        <v>32567760</v>
      </c>
      <c r="AB700" s="26">
        <v>0</v>
      </c>
      <c r="AC700" s="26">
        <v>0</v>
      </c>
      <c r="AD700" s="26"/>
      <c r="AE700" s="26"/>
      <c r="AF700" s="26"/>
      <c r="AG700" s="26"/>
      <c r="AH700" s="26"/>
      <c r="AI700" s="26"/>
      <c r="AJ700" s="26">
        <v>0</v>
      </c>
      <c r="AK700" s="26"/>
      <c r="AL700" s="113">
        <v>42000000</v>
      </c>
      <c r="AM700" s="18">
        <v>14650016</v>
      </c>
      <c r="AN700" s="26">
        <v>0</v>
      </c>
      <c r="AO700" s="27">
        <v>0</v>
      </c>
      <c r="AP700" s="26">
        <f>P700+Q700+R700+S700+T700+U700+V700+W700+X700+Y700+Z700+AA700+AB700+AC700+AD700+AE700+AF700+AG700+AH700+AI700+AJ700+AK700+AL700+AM700+AN700+AO700</f>
        <v>89217776</v>
      </c>
    </row>
    <row r="701" spans="1:47" s="78" customFormat="1" ht="91.5" customHeight="1" x14ac:dyDescent="0.25">
      <c r="A701" s="20"/>
      <c r="B701" s="863"/>
      <c r="C701" s="866"/>
      <c r="D701" s="869"/>
      <c r="E701" s="872"/>
      <c r="F701" s="875"/>
      <c r="G701" s="877"/>
      <c r="H701" s="152">
        <v>211</v>
      </c>
      <c r="I701" s="151" t="s">
        <v>865</v>
      </c>
      <c r="J701" s="32">
        <v>1</v>
      </c>
      <c r="K701" s="32">
        <v>1</v>
      </c>
      <c r="L701" s="32" t="s">
        <v>843</v>
      </c>
      <c r="M701" s="880"/>
      <c r="N701" s="883"/>
      <c r="O701" s="32" t="s">
        <v>44</v>
      </c>
      <c r="P701" s="26">
        <v>0</v>
      </c>
      <c r="Q701" s="26">
        <v>0</v>
      </c>
      <c r="R701" s="26">
        <v>0</v>
      </c>
      <c r="S701" s="26">
        <v>0</v>
      </c>
      <c r="T701" s="26">
        <v>0</v>
      </c>
      <c r="U701" s="26">
        <v>0</v>
      </c>
      <c r="V701" s="26">
        <v>0</v>
      </c>
      <c r="W701" s="26"/>
      <c r="X701" s="26"/>
      <c r="Y701" s="26"/>
      <c r="Z701" s="26">
        <v>0</v>
      </c>
      <c r="AA701" s="26"/>
      <c r="AB701" s="26">
        <v>0</v>
      </c>
      <c r="AC701" s="26">
        <v>0</v>
      </c>
      <c r="AD701" s="26"/>
      <c r="AE701" s="26"/>
      <c r="AF701" s="26"/>
      <c r="AG701" s="26"/>
      <c r="AH701" s="26"/>
      <c r="AI701" s="26"/>
      <c r="AJ701" s="26">
        <v>0</v>
      </c>
      <c r="AK701" s="26"/>
      <c r="AL701" s="113">
        <f>20000000-20000000</f>
        <v>0</v>
      </c>
      <c r="AM701" s="661">
        <v>12800000</v>
      </c>
      <c r="AN701" s="26">
        <v>0</v>
      </c>
      <c r="AO701" s="27">
        <v>0</v>
      </c>
      <c r="AP701" s="26">
        <f>P701+Q701+R701+S701+T701+U701+V701+W701+X701+Y701+Z701+AA701+AB701+AC701+AD701+AE701+AF701+AG701+AH701+AI701+AJ701+AK701+AL701+AM701+AN701+AO701</f>
        <v>12800000</v>
      </c>
      <c r="AQ701" s="28"/>
      <c r="AR701" s="28"/>
      <c r="AS701" s="28"/>
      <c r="AT701" s="28"/>
      <c r="AU701" s="357"/>
    </row>
    <row r="702" spans="1:47" s="196" customFormat="1" ht="15" x14ac:dyDescent="0.25">
      <c r="A702" s="20"/>
      <c r="B702" s="863"/>
      <c r="C702" s="656"/>
      <c r="D702" s="530"/>
      <c r="E702" s="398"/>
      <c r="F702" s="398"/>
      <c r="G702" s="258"/>
      <c r="H702" s="259"/>
      <c r="I702" s="258"/>
      <c r="J702" s="662"/>
      <c r="K702" s="662"/>
      <c r="L702" s="662"/>
      <c r="M702" s="663"/>
      <c r="N702" s="664"/>
      <c r="O702" s="662"/>
      <c r="P702" s="356">
        <f>SUM(P699:P701)</f>
        <v>0</v>
      </c>
      <c r="Q702" s="356">
        <f>SUM(Q699:Q701)</f>
        <v>0</v>
      </c>
      <c r="R702" s="356">
        <f>SUM(R699:R701)</f>
        <v>0</v>
      </c>
      <c r="S702" s="356">
        <f>SUM(S699:S701)</f>
        <v>0</v>
      </c>
      <c r="T702" s="356">
        <f>SUM(T699:T701)</f>
        <v>0</v>
      </c>
      <c r="U702" s="356">
        <f>SUM(U699:U701)</f>
        <v>0</v>
      </c>
      <c r="V702" s="356">
        <f>SUM(V699:V701)</f>
        <v>0</v>
      </c>
      <c r="W702" s="356"/>
      <c r="X702" s="356"/>
      <c r="Y702" s="356"/>
      <c r="Z702" s="356">
        <f>SUM(Z699:Z701)</f>
        <v>0</v>
      </c>
      <c r="AA702" s="356">
        <f>SUM(AA699:AA701)</f>
        <v>64567760</v>
      </c>
      <c r="AB702" s="356">
        <f>SUM(AB699:AB701)</f>
        <v>0</v>
      </c>
      <c r="AC702" s="356">
        <f>SUM(AC699:AC701)</f>
        <v>0</v>
      </c>
      <c r="AD702" s="356">
        <f>SUM(AD699:AD701)</f>
        <v>0</v>
      </c>
      <c r="AE702" s="356">
        <f>SUM(AE699:AE701)</f>
        <v>0</v>
      </c>
      <c r="AF702" s="356"/>
      <c r="AG702" s="356">
        <f>SUM(AG699:AG701)</f>
        <v>0</v>
      </c>
      <c r="AH702" s="356">
        <f>SUM(AH699:AH701)</f>
        <v>0</v>
      </c>
      <c r="AI702" s="356">
        <f>SUM(AI699:AI701)</f>
        <v>0</v>
      </c>
      <c r="AJ702" s="356">
        <f>SUM(AJ699:AJ701)</f>
        <v>0</v>
      </c>
      <c r="AK702" s="356">
        <f>SUM(AK699:AK701)</f>
        <v>0</v>
      </c>
      <c r="AL702" s="665">
        <f>SUM(AL699:AL701)</f>
        <v>50000000</v>
      </c>
      <c r="AM702" s="665">
        <f t="shared" ref="AM702:AN702" si="303">SUM(AM699:AM701)</f>
        <v>45604200</v>
      </c>
      <c r="AN702" s="665">
        <f t="shared" si="303"/>
        <v>0</v>
      </c>
      <c r="AO702" s="666">
        <f>SUM(AO699:AO701)</f>
        <v>0</v>
      </c>
      <c r="AP702" s="666">
        <f>SUM(AP699:AP701)</f>
        <v>160171960</v>
      </c>
    </row>
    <row r="703" spans="1:47" s="196" customFormat="1" ht="15" x14ac:dyDescent="0.25">
      <c r="A703" s="20"/>
      <c r="B703" s="863"/>
      <c r="C703" s="454"/>
      <c r="D703" s="214"/>
      <c r="E703" s="454"/>
      <c r="F703" s="454"/>
      <c r="G703" s="214"/>
      <c r="H703" s="454"/>
      <c r="I703" s="214"/>
      <c r="J703" s="454"/>
      <c r="K703" s="454"/>
      <c r="L703" s="153"/>
      <c r="M703" s="279"/>
      <c r="N703" s="265"/>
      <c r="O703" s="454"/>
      <c r="P703" s="217"/>
      <c r="Q703" s="217"/>
      <c r="R703" s="217"/>
      <c r="S703" s="217"/>
      <c r="T703" s="217"/>
      <c r="U703" s="217"/>
      <c r="V703" s="217"/>
      <c r="W703" s="217"/>
      <c r="X703" s="217"/>
      <c r="Y703" s="217"/>
      <c r="Z703" s="217"/>
      <c r="AA703" s="217"/>
      <c r="AB703" s="217"/>
      <c r="AC703" s="217"/>
      <c r="AD703" s="218"/>
      <c r="AE703" s="218"/>
      <c r="AF703" s="218"/>
      <c r="AG703" s="218"/>
      <c r="AH703" s="218"/>
      <c r="AI703" s="218"/>
      <c r="AJ703" s="217"/>
      <c r="AK703" s="217"/>
      <c r="AL703" s="219"/>
      <c r="AM703" s="220"/>
      <c r="AN703" s="217"/>
      <c r="AO703" s="217"/>
      <c r="AP703" s="26"/>
    </row>
    <row r="704" spans="1:47" s="196" customFormat="1" ht="15" x14ac:dyDescent="0.25">
      <c r="A704" s="20"/>
      <c r="B704" s="863"/>
      <c r="C704" s="454"/>
      <c r="D704" s="190"/>
      <c r="E704" s="708"/>
      <c r="F704" s="708"/>
      <c r="G704" s="410">
        <v>73</v>
      </c>
      <c r="H704" s="227" t="s">
        <v>866</v>
      </c>
      <c r="I704" s="227"/>
      <c r="J704" s="227"/>
      <c r="K704" s="227"/>
      <c r="L704" s="227"/>
      <c r="M704" s="227"/>
      <c r="N704" s="227"/>
      <c r="O704" s="227"/>
      <c r="P704" s="227"/>
      <c r="Q704" s="227"/>
      <c r="R704" s="227"/>
      <c r="S704" s="227"/>
      <c r="T704" s="227"/>
      <c r="U704" s="227"/>
      <c r="V704" s="227"/>
      <c r="W704" s="227"/>
      <c r="X704" s="227"/>
      <c r="Y704" s="227"/>
      <c r="Z704" s="227"/>
      <c r="AA704" s="227"/>
      <c r="AB704" s="227"/>
      <c r="AC704" s="227"/>
      <c r="AD704" s="227"/>
      <c r="AE704" s="227"/>
      <c r="AF704" s="227"/>
      <c r="AG704" s="227"/>
      <c r="AH704" s="227"/>
      <c r="AI704" s="227"/>
      <c r="AJ704" s="227"/>
      <c r="AK704" s="227"/>
      <c r="AL704" s="229"/>
      <c r="AM704" s="227"/>
      <c r="AN704" s="227"/>
      <c r="AO704" s="227"/>
      <c r="AP704" s="629"/>
    </row>
    <row r="705" spans="1:42" s="196" customFormat="1" ht="96.75" customHeight="1" x14ac:dyDescent="0.25">
      <c r="A705" s="20"/>
      <c r="B705" s="863"/>
      <c r="C705" s="563">
        <v>36</v>
      </c>
      <c r="D705" s="571" t="s">
        <v>841</v>
      </c>
      <c r="E705" s="605">
        <v>0.4</v>
      </c>
      <c r="F705" s="588">
        <v>0.6</v>
      </c>
      <c r="G705" s="136"/>
      <c r="H705" s="133">
        <v>212</v>
      </c>
      <c r="I705" s="136" t="s">
        <v>867</v>
      </c>
      <c r="J705" s="667">
        <v>1</v>
      </c>
      <c r="K705" s="812">
        <v>1</v>
      </c>
      <c r="L705" s="10" t="s">
        <v>843</v>
      </c>
      <c r="M705" s="155" t="s">
        <v>868</v>
      </c>
      <c r="N705" s="653" t="s">
        <v>893</v>
      </c>
      <c r="O705" s="32" t="s">
        <v>44</v>
      </c>
      <c r="P705" s="82">
        <v>0</v>
      </c>
      <c r="Q705" s="82">
        <v>0</v>
      </c>
      <c r="R705" s="82">
        <v>0</v>
      </c>
      <c r="S705" s="82">
        <v>0</v>
      </c>
      <c r="T705" s="82">
        <v>0</v>
      </c>
      <c r="U705" s="82">
        <v>0</v>
      </c>
      <c r="V705" s="82">
        <v>0</v>
      </c>
      <c r="W705" s="82"/>
      <c r="X705" s="82"/>
      <c r="Y705" s="82"/>
      <c r="Z705" s="82">
        <v>0</v>
      </c>
      <c r="AA705" s="82"/>
      <c r="AB705" s="82">
        <v>0</v>
      </c>
      <c r="AC705" s="82">
        <v>0</v>
      </c>
      <c r="AD705" s="668"/>
      <c r="AE705" s="668"/>
      <c r="AF705" s="668"/>
      <c r="AG705" s="668"/>
      <c r="AH705" s="668"/>
      <c r="AI705" s="668"/>
      <c r="AJ705" s="82">
        <v>0</v>
      </c>
      <c r="AK705" s="82">
        <v>0</v>
      </c>
      <c r="AL705" s="113">
        <v>51200000</v>
      </c>
      <c r="AM705" s="669">
        <v>103500000</v>
      </c>
      <c r="AN705" s="82">
        <v>0</v>
      </c>
      <c r="AO705" s="83">
        <v>0</v>
      </c>
      <c r="AP705" s="26">
        <f>P705+Q705+R705+S705+T705+U705+V705+W705+X705+Y705+Z705+AA705+AB705+AC705+AD705+AE705+AF705+AG705+AH705+AI705+AJ705+AK705+AL705+AM705+AN705+AO705</f>
        <v>154700000</v>
      </c>
    </row>
    <row r="706" spans="1:42" s="48" customFormat="1" ht="20.25" x14ac:dyDescent="0.25">
      <c r="A706" s="20"/>
      <c r="B706" s="863"/>
      <c r="C706" s="656"/>
      <c r="D706" s="530"/>
      <c r="E706" s="398"/>
      <c r="F706" s="398"/>
      <c r="G706" s="258"/>
      <c r="H706" s="259"/>
      <c r="I706" s="258"/>
      <c r="J706" s="662"/>
      <c r="K706" s="662"/>
      <c r="L706" s="662"/>
      <c r="M706" s="663"/>
      <c r="N706" s="664"/>
      <c r="O706" s="662"/>
      <c r="P706" s="356">
        <f>SUM(P705)</f>
        <v>0</v>
      </c>
      <c r="Q706" s="356">
        <f>SUM(Q705)</f>
        <v>0</v>
      </c>
      <c r="R706" s="356">
        <f>SUM(R705)</f>
        <v>0</v>
      </c>
      <c r="S706" s="356">
        <f>SUM(S705)</f>
        <v>0</v>
      </c>
      <c r="T706" s="356">
        <f>SUM(T705)</f>
        <v>0</v>
      </c>
      <c r="U706" s="356">
        <f>SUM(U705)</f>
        <v>0</v>
      </c>
      <c r="V706" s="356">
        <f>SUM(V705)</f>
        <v>0</v>
      </c>
      <c r="W706" s="356"/>
      <c r="X706" s="356"/>
      <c r="Y706" s="356"/>
      <c r="Z706" s="356">
        <f>SUM(Z705)</f>
        <v>0</v>
      </c>
      <c r="AA706" s="356">
        <f>SUM(AA705)</f>
        <v>0</v>
      </c>
      <c r="AB706" s="356">
        <f>SUM(AB705)</f>
        <v>0</v>
      </c>
      <c r="AC706" s="356">
        <f>SUM(AC705)</f>
        <v>0</v>
      </c>
      <c r="AD706" s="356">
        <f>SUM(AD705)</f>
        <v>0</v>
      </c>
      <c r="AE706" s="356">
        <f>SUM(AE705)</f>
        <v>0</v>
      </c>
      <c r="AF706" s="356"/>
      <c r="AG706" s="356">
        <f>SUM(AG705)</f>
        <v>0</v>
      </c>
      <c r="AH706" s="356">
        <f>SUM(AH705)</f>
        <v>0</v>
      </c>
      <c r="AI706" s="356">
        <f>SUM(AI705)</f>
        <v>0</v>
      </c>
      <c r="AJ706" s="356">
        <f>SUM(AJ705)</f>
        <v>0</v>
      </c>
      <c r="AK706" s="356">
        <f>SUM(AK705)</f>
        <v>0</v>
      </c>
      <c r="AL706" s="665">
        <f>SUM(AL705)</f>
        <v>51200000</v>
      </c>
      <c r="AM706" s="665">
        <f t="shared" ref="AM706:AN706" si="304">SUM(AM705)</f>
        <v>103500000</v>
      </c>
      <c r="AN706" s="665">
        <f t="shared" si="304"/>
        <v>0</v>
      </c>
      <c r="AO706" s="666">
        <f t="shared" ref="AO706:AP706" si="305">SUM(AO705)</f>
        <v>0</v>
      </c>
      <c r="AP706" s="666">
        <f t="shared" si="305"/>
        <v>154700000</v>
      </c>
    </row>
    <row r="707" spans="1:42" s="28" customFormat="1" ht="15" x14ac:dyDescent="0.25">
      <c r="A707" s="20"/>
      <c r="B707" s="464"/>
      <c r="C707" s="264"/>
      <c r="D707" s="263"/>
      <c r="E707" s="264"/>
      <c r="F707" s="264"/>
      <c r="G707" s="263"/>
      <c r="H707" s="264"/>
      <c r="I707" s="263"/>
      <c r="J707" s="670"/>
      <c r="K707" s="670"/>
      <c r="L707" s="670"/>
      <c r="M707" s="671"/>
      <c r="N707" s="672"/>
      <c r="O707" s="670"/>
      <c r="P707" s="467">
        <f>P706+P702</f>
        <v>0</v>
      </c>
      <c r="Q707" s="467">
        <f>Q706+Q702</f>
        <v>0</v>
      </c>
      <c r="R707" s="467">
        <f>R706+R702</f>
        <v>0</v>
      </c>
      <c r="S707" s="467">
        <f>S706+S702</f>
        <v>0</v>
      </c>
      <c r="T707" s="467">
        <f>T706+T702</f>
        <v>0</v>
      </c>
      <c r="U707" s="467">
        <f>U706+U702</f>
        <v>0</v>
      </c>
      <c r="V707" s="467">
        <f>V706+V702</f>
        <v>0</v>
      </c>
      <c r="W707" s="467"/>
      <c r="X707" s="467"/>
      <c r="Y707" s="467"/>
      <c r="Z707" s="467">
        <f>Z706+Z702</f>
        <v>0</v>
      </c>
      <c r="AA707" s="467">
        <f>AA706+AA702</f>
        <v>64567760</v>
      </c>
      <c r="AB707" s="467">
        <f>AB706+AB702</f>
        <v>0</v>
      </c>
      <c r="AC707" s="467">
        <f>AC706+AC702</f>
        <v>0</v>
      </c>
      <c r="AD707" s="467">
        <f>AD706+AD702</f>
        <v>0</v>
      </c>
      <c r="AE707" s="467">
        <f>AE706+AE702</f>
        <v>0</v>
      </c>
      <c r="AF707" s="467"/>
      <c r="AG707" s="467">
        <f>AG706+AG702</f>
        <v>0</v>
      </c>
      <c r="AH707" s="467">
        <f>AH706+AH702</f>
        <v>0</v>
      </c>
      <c r="AI707" s="467">
        <f>AI706+AI702</f>
        <v>0</v>
      </c>
      <c r="AJ707" s="467">
        <f>AJ706+AJ702</f>
        <v>0</v>
      </c>
      <c r="AK707" s="467">
        <f>AK706+AK702</f>
        <v>0</v>
      </c>
      <c r="AL707" s="673">
        <f>AL706+AL702</f>
        <v>101200000</v>
      </c>
      <c r="AM707" s="673">
        <f t="shared" ref="AM707:AN707" si="306">AM706+AM702</f>
        <v>149104200</v>
      </c>
      <c r="AN707" s="673">
        <f t="shared" si="306"/>
        <v>0</v>
      </c>
      <c r="AO707" s="674">
        <f t="shared" ref="AO707:AP707" si="307">AO706+AO702</f>
        <v>0</v>
      </c>
      <c r="AP707" s="674">
        <f t="shared" si="307"/>
        <v>314871960</v>
      </c>
    </row>
    <row r="708" spans="1:42" s="28" customFormat="1" ht="15" x14ac:dyDescent="0.25">
      <c r="A708" s="20"/>
      <c r="B708" s="214"/>
      <c r="C708" s="454"/>
      <c r="D708" s="214"/>
      <c r="E708" s="454"/>
      <c r="F708" s="454"/>
      <c r="G708" s="214"/>
      <c r="H708" s="454"/>
      <c r="I708" s="214"/>
      <c r="J708" s="454"/>
      <c r="K708" s="454"/>
      <c r="L708" s="153"/>
      <c r="M708" s="279"/>
      <c r="N708" s="265"/>
      <c r="O708" s="454"/>
      <c r="P708" s="217"/>
      <c r="Q708" s="217"/>
      <c r="R708" s="217"/>
      <c r="S708" s="217"/>
      <c r="T708" s="217"/>
      <c r="U708" s="217"/>
      <c r="V708" s="217"/>
      <c r="W708" s="217"/>
      <c r="X708" s="217"/>
      <c r="Y708" s="217"/>
      <c r="Z708" s="217"/>
      <c r="AA708" s="217"/>
      <c r="AB708" s="217"/>
      <c r="AC708" s="217"/>
      <c r="AD708" s="218"/>
      <c r="AE708" s="218"/>
      <c r="AF708" s="218"/>
      <c r="AG708" s="218"/>
      <c r="AH708" s="218"/>
      <c r="AI708" s="218"/>
      <c r="AJ708" s="217"/>
      <c r="AK708" s="217"/>
      <c r="AL708" s="219"/>
      <c r="AM708" s="217"/>
      <c r="AN708" s="217"/>
      <c r="AO708" s="217"/>
      <c r="AP708" s="26"/>
    </row>
    <row r="709" spans="1:42" s="28" customFormat="1" x14ac:dyDescent="0.25">
      <c r="A709" s="20"/>
      <c r="B709" s="675">
        <v>22</v>
      </c>
      <c r="C709" s="181" t="s">
        <v>869</v>
      </c>
      <c r="D709" s="182"/>
      <c r="E709" s="182"/>
      <c r="F709" s="182"/>
      <c r="G709" s="182"/>
      <c r="H709" s="183"/>
      <c r="I709" s="182"/>
      <c r="J709" s="182"/>
      <c r="K709" s="182"/>
      <c r="L709" s="182"/>
      <c r="M709" s="184"/>
      <c r="N709" s="182"/>
      <c r="O709" s="182"/>
      <c r="P709" s="182"/>
      <c r="Q709" s="182"/>
      <c r="R709" s="182"/>
      <c r="S709" s="182"/>
      <c r="T709" s="182"/>
      <c r="U709" s="182"/>
      <c r="V709" s="182"/>
      <c r="W709" s="182"/>
      <c r="X709" s="182"/>
      <c r="Y709" s="182"/>
      <c r="Z709" s="182"/>
      <c r="AA709" s="182"/>
      <c r="AB709" s="182"/>
      <c r="AC709" s="182"/>
      <c r="AD709" s="182"/>
      <c r="AE709" s="182"/>
      <c r="AF709" s="182"/>
      <c r="AG709" s="182"/>
      <c r="AH709" s="182"/>
      <c r="AI709" s="182"/>
      <c r="AJ709" s="182"/>
      <c r="AK709" s="182"/>
      <c r="AL709" s="185"/>
      <c r="AM709" s="182"/>
      <c r="AN709" s="182"/>
      <c r="AO709" s="182"/>
      <c r="AP709" s="633"/>
    </row>
    <row r="710" spans="1:42" s="28" customFormat="1" x14ac:dyDescent="0.25">
      <c r="A710" s="20"/>
      <c r="B710" s="863"/>
      <c r="C710" s="454"/>
      <c r="D710" s="214"/>
      <c r="E710" s="454"/>
      <c r="F710" s="150"/>
      <c r="G710" s="410">
        <v>74</v>
      </c>
      <c r="H710" s="227" t="s">
        <v>870</v>
      </c>
      <c r="I710" s="227"/>
      <c r="J710" s="227"/>
      <c r="K710" s="227"/>
      <c r="L710" s="227"/>
      <c r="M710" s="228"/>
      <c r="N710" s="227"/>
      <c r="O710" s="227"/>
      <c r="P710" s="227"/>
      <c r="Q710" s="227"/>
      <c r="R710" s="227"/>
      <c r="S710" s="227"/>
      <c r="T710" s="227"/>
      <c r="U710" s="227"/>
      <c r="V710" s="227"/>
      <c r="W710" s="227"/>
      <c r="X710" s="227"/>
      <c r="Y710" s="227"/>
      <c r="Z710" s="227"/>
      <c r="AA710" s="227"/>
      <c r="AB710" s="227"/>
      <c r="AC710" s="227"/>
      <c r="AD710" s="227"/>
      <c r="AE710" s="227"/>
      <c r="AF710" s="227"/>
      <c r="AG710" s="227"/>
      <c r="AH710" s="227"/>
      <c r="AI710" s="227"/>
      <c r="AJ710" s="227"/>
      <c r="AK710" s="227"/>
      <c r="AL710" s="229"/>
      <c r="AM710" s="227"/>
      <c r="AN710" s="227"/>
      <c r="AO710" s="227"/>
      <c r="AP710" s="629"/>
    </row>
    <row r="711" spans="1:42" s="28" customFormat="1" ht="84" customHeight="1" x14ac:dyDescent="0.25">
      <c r="A711" s="20"/>
      <c r="B711" s="863"/>
      <c r="C711" s="563">
        <v>36</v>
      </c>
      <c r="D711" s="571" t="s">
        <v>841</v>
      </c>
      <c r="E711" s="605">
        <v>0.4</v>
      </c>
      <c r="F711" s="588">
        <v>0.6</v>
      </c>
      <c r="G711" s="151"/>
      <c r="H711" s="152">
        <v>213</v>
      </c>
      <c r="I711" s="151" t="s">
        <v>871</v>
      </c>
      <c r="J711" s="32">
        <v>12</v>
      </c>
      <c r="K711" s="32">
        <v>12</v>
      </c>
      <c r="L711" s="10" t="s">
        <v>843</v>
      </c>
      <c r="M711" s="155" t="s">
        <v>872</v>
      </c>
      <c r="N711" s="676" t="s">
        <v>873</v>
      </c>
      <c r="O711" s="32" t="s">
        <v>44</v>
      </c>
      <c r="P711" s="26"/>
      <c r="Q711" s="26"/>
      <c r="R711" s="26"/>
      <c r="S711" s="26"/>
      <c r="T711" s="26"/>
      <c r="U711" s="26"/>
      <c r="V711" s="26"/>
      <c r="W711" s="26"/>
      <c r="X711" s="26"/>
      <c r="Y711" s="26"/>
      <c r="Z711" s="26"/>
      <c r="AA711" s="26"/>
      <c r="AB711" s="26"/>
      <c r="AC711" s="26"/>
      <c r="AD711" s="304"/>
      <c r="AE711" s="304"/>
      <c r="AF711" s="304"/>
      <c r="AG711" s="304"/>
      <c r="AH711" s="304"/>
      <c r="AI711" s="304"/>
      <c r="AJ711" s="26"/>
      <c r="AK711" s="26"/>
      <c r="AL711" s="113"/>
      <c r="AM711" s="39"/>
      <c r="AN711" s="26">
        <f>236949833+5875533</f>
        <v>242825366</v>
      </c>
      <c r="AO711" s="348"/>
      <c r="AP711" s="26">
        <f>P711+Q711+R711+S711+T711+U711+V711+W711+X711+Y711+Z711+AA711+AB711+AC711+AD711+AE711+AF711+AG711+AH711+AI711+AJ711+AK711+AL711+AM711+AN711+AO711</f>
        <v>242825366</v>
      </c>
    </row>
    <row r="712" spans="1:42" s="28" customFormat="1" ht="15" x14ac:dyDescent="0.25">
      <c r="A712" s="20"/>
      <c r="B712" s="863"/>
      <c r="C712" s="257"/>
      <c r="D712" s="190"/>
      <c r="E712" s="708"/>
      <c r="F712" s="708"/>
      <c r="G712" s="191"/>
      <c r="H712" s="192"/>
      <c r="I712" s="191"/>
      <c r="J712" s="380"/>
      <c r="K712" s="380"/>
      <c r="L712" s="380"/>
      <c r="M712" s="455"/>
      <c r="N712" s="361"/>
      <c r="O712" s="380"/>
      <c r="P712" s="195">
        <f>SUM(P711)</f>
        <v>0</v>
      </c>
      <c r="Q712" s="195">
        <f>SUM(Q711)</f>
        <v>0</v>
      </c>
      <c r="R712" s="195">
        <f>SUM(R711)</f>
        <v>0</v>
      </c>
      <c r="S712" s="195">
        <f>SUM(S711)</f>
        <v>0</v>
      </c>
      <c r="T712" s="195">
        <f>SUM(T711)</f>
        <v>0</v>
      </c>
      <c r="U712" s="195">
        <f>SUM(U711)</f>
        <v>0</v>
      </c>
      <c r="V712" s="195">
        <f>SUM(V711)</f>
        <v>0</v>
      </c>
      <c r="W712" s="195"/>
      <c r="X712" s="195"/>
      <c r="Y712" s="195"/>
      <c r="Z712" s="195">
        <f>SUM(Z711)</f>
        <v>0</v>
      </c>
      <c r="AA712" s="195"/>
      <c r="AB712" s="195">
        <f>SUM(AB711)</f>
        <v>0</v>
      </c>
      <c r="AC712" s="195">
        <f>SUM(AC711)</f>
        <v>0</v>
      </c>
      <c r="AD712" s="195">
        <f>SUM(AD711)</f>
        <v>0</v>
      </c>
      <c r="AE712" s="195">
        <f>SUM(AE711)</f>
        <v>0</v>
      </c>
      <c r="AF712" s="195"/>
      <c r="AG712" s="195">
        <f>SUM(AG711)</f>
        <v>0</v>
      </c>
      <c r="AH712" s="195">
        <f>SUM(AH711)</f>
        <v>0</v>
      </c>
      <c r="AI712" s="195">
        <f>SUM(AI711)</f>
        <v>0</v>
      </c>
      <c r="AJ712" s="195">
        <f>SUM(AJ711)</f>
        <v>0</v>
      </c>
      <c r="AK712" s="195">
        <f>SUM(AK711)</f>
        <v>0</v>
      </c>
      <c r="AL712" s="295">
        <f>SUM(AL711)</f>
        <v>0</v>
      </c>
      <c r="AM712" s="295">
        <f t="shared" ref="AM712:AN712" si="308">SUM(AM711)</f>
        <v>0</v>
      </c>
      <c r="AN712" s="295">
        <f t="shared" si="308"/>
        <v>242825366</v>
      </c>
      <c r="AO712" s="195">
        <f t="shared" ref="AO712:AP712" si="309">SUM(AO711)</f>
        <v>0</v>
      </c>
      <c r="AP712" s="677">
        <f t="shared" si="309"/>
        <v>242825366</v>
      </c>
    </row>
    <row r="713" spans="1:42" s="28" customFormat="1" ht="15" x14ac:dyDescent="0.25">
      <c r="A713" s="189"/>
      <c r="B713" s="260"/>
      <c r="C713" s="199"/>
      <c r="D713" s="198"/>
      <c r="E713" s="199"/>
      <c r="F713" s="199"/>
      <c r="G713" s="198"/>
      <c r="H713" s="199"/>
      <c r="I713" s="198"/>
      <c r="J713" s="390"/>
      <c r="K713" s="390"/>
      <c r="L713" s="390"/>
      <c r="M713" s="657"/>
      <c r="N713" s="658"/>
      <c r="O713" s="390"/>
      <c r="P713" s="202">
        <f>P712</f>
        <v>0</v>
      </c>
      <c r="Q713" s="202">
        <f>Q712</f>
        <v>0</v>
      </c>
      <c r="R713" s="202">
        <f>R712</f>
        <v>0</v>
      </c>
      <c r="S713" s="202">
        <f>S712</f>
        <v>0</v>
      </c>
      <c r="T713" s="202">
        <f>T712</f>
        <v>0</v>
      </c>
      <c r="U713" s="202">
        <f>U712</f>
        <v>0</v>
      </c>
      <c r="V713" s="202">
        <f>V712</f>
        <v>0</v>
      </c>
      <c r="W713" s="202"/>
      <c r="X713" s="202"/>
      <c r="Y713" s="202"/>
      <c r="Z713" s="202">
        <f>Z712</f>
        <v>0</v>
      </c>
      <c r="AA713" s="202">
        <f>AA712</f>
        <v>0</v>
      </c>
      <c r="AB713" s="202">
        <f>AB712</f>
        <v>0</v>
      </c>
      <c r="AC713" s="202">
        <f>AC712</f>
        <v>0</v>
      </c>
      <c r="AD713" s="202">
        <f>AD712</f>
        <v>0</v>
      </c>
      <c r="AE713" s="202">
        <f>AE712</f>
        <v>0</v>
      </c>
      <c r="AF713" s="202"/>
      <c r="AG713" s="202">
        <f>AG712</f>
        <v>0</v>
      </c>
      <c r="AH713" s="202">
        <f>AH712</f>
        <v>0</v>
      </c>
      <c r="AI713" s="202">
        <f>AI712</f>
        <v>0</v>
      </c>
      <c r="AJ713" s="202">
        <f>AJ712</f>
        <v>0</v>
      </c>
      <c r="AK713" s="202">
        <f>AK712</f>
        <v>0</v>
      </c>
      <c r="AL713" s="297">
        <f>AL712</f>
        <v>0</v>
      </c>
      <c r="AM713" s="297">
        <f t="shared" ref="AM713:AN713" si="310">AM712</f>
        <v>0</v>
      </c>
      <c r="AN713" s="297">
        <f t="shared" si="310"/>
        <v>242825366</v>
      </c>
      <c r="AO713" s="202">
        <f t="shared" ref="AO713:AP713" si="311">AO712</f>
        <v>0</v>
      </c>
      <c r="AP713" s="678">
        <f t="shared" si="311"/>
        <v>242825366</v>
      </c>
    </row>
    <row r="714" spans="1:42" s="28" customFormat="1" ht="15" x14ac:dyDescent="0.25">
      <c r="A714" s="203"/>
      <c r="B714" s="203"/>
      <c r="C714" s="204"/>
      <c r="D714" s="203"/>
      <c r="E714" s="204"/>
      <c r="F714" s="204"/>
      <c r="G714" s="203"/>
      <c r="H714" s="204"/>
      <c r="I714" s="203"/>
      <c r="J714" s="405"/>
      <c r="K714" s="405"/>
      <c r="L714" s="405"/>
      <c r="M714" s="679"/>
      <c r="N714" s="680"/>
      <c r="O714" s="405"/>
      <c r="P714" s="207">
        <f>P713+P707+P695</f>
        <v>0</v>
      </c>
      <c r="Q714" s="207">
        <f>Q713+Q707+Q695</f>
        <v>0</v>
      </c>
      <c r="R714" s="207">
        <f>R713+R707+R695</f>
        <v>0</v>
      </c>
      <c r="S714" s="207">
        <f>S713+S707+S695</f>
        <v>0</v>
      </c>
      <c r="T714" s="207">
        <f>T713+T707+T695</f>
        <v>0</v>
      </c>
      <c r="U714" s="207">
        <f>U713+U707+U695</f>
        <v>0</v>
      </c>
      <c r="V714" s="207">
        <f>V713+V707+V695</f>
        <v>0</v>
      </c>
      <c r="W714" s="207"/>
      <c r="X714" s="207"/>
      <c r="Y714" s="207"/>
      <c r="Z714" s="207">
        <f>Z713+Z707+Z695</f>
        <v>0</v>
      </c>
      <c r="AA714" s="207">
        <f>AA713+AA707+AA695</f>
        <v>730232093.80999994</v>
      </c>
      <c r="AB714" s="207">
        <f>AB713+AB707+AB695</f>
        <v>0</v>
      </c>
      <c r="AC714" s="207">
        <f>AC713+AC707+AC695</f>
        <v>0</v>
      </c>
      <c r="AD714" s="207">
        <f>AD713+AD707+AD695</f>
        <v>0</v>
      </c>
      <c r="AE714" s="207">
        <f>AE713+AE707+AE695</f>
        <v>0</v>
      </c>
      <c r="AF714" s="207"/>
      <c r="AG714" s="207">
        <f>AG713+AG707+AG695</f>
        <v>0</v>
      </c>
      <c r="AH714" s="207">
        <f>AH713+AH707+AH695</f>
        <v>0</v>
      </c>
      <c r="AI714" s="207">
        <f>AI713+AI707+AI695</f>
        <v>0</v>
      </c>
      <c r="AJ714" s="207">
        <f>AJ713+AJ707+AJ695</f>
        <v>0</v>
      </c>
      <c r="AK714" s="207">
        <f>AK713+AK707+AK695</f>
        <v>0</v>
      </c>
      <c r="AL714" s="299">
        <f>AL713+AL707+AL695</f>
        <v>1187907447</v>
      </c>
      <c r="AM714" s="299">
        <f t="shared" ref="AM714:AN714" si="312">AM713+AM707+AM695</f>
        <v>339747972</v>
      </c>
      <c r="AN714" s="299">
        <f t="shared" si="312"/>
        <v>248102262</v>
      </c>
      <c r="AO714" s="207">
        <f t="shared" ref="AO714:AP714" si="313">AO713+AO707+AO695</f>
        <v>0</v>
      </c>
      <c r="AP714" s="681">
        <f t="shared" si="313"/>
        <v>2505989774.8099999</v>
      </c>
    </row>
    <row r="715" spans="1:42" s="48" customFormat="1" ht="20.25" x14ac:dyDescent="0.25">
      <c r="A715" s="208"/>
      <c r="B715" s="208"/>
      <c r="C715" s="209"/>
      <c r="D715" s="208"/>
      <c r="E715" s="209"/>
      <c r="F715" s="209"/>
      <c r="G715" s="208"/>
      <c r="H715" s="209"/>
      <c r="I715" s="208"/>
      <c r="J715" s="408"/>
      <c r="K715" s="408"/>
      <c r="L715" s="408"/>
      <c r="M715" s="682"/>
      <c r="N715" s="585"/>
      <c r="O715" s="408"/>
      <c r="P715" s="212">
        <f>P714</f>
        <v>0</v>
      </c>
      <c r="Q715" s="212">
        <f>Q714</f>
        <v>0</v>
      </c>
      <c r="R715" s="212">
        <f>R714</f>
        <v>0</v>
      </c>
      <c r="S715" s="212">
        <f>S714</f>
        <v>0</v>
      </c>
      <c r="T715" s="212">
        <f>T714</f>
        <v>0</v>
      </c>
      <c r="U715" s="212">
        <f>U714</f>
        <v>0</v>
      </c>
      <c r="V715" s="212">
        <f>V714</f>
        <v>0</v>
      </c>
      <c r="W715" s="212"/>
      <c r="X715" s="212"/>
      <c r="Y715" s="212"/>
      <c r="Z715" s="212">
        <f>Z714</f>
        <v>0</v>
      </c>
      <c r="AA715" s="212">
        <f>AA714</f>
        <v>730232093.80999994</v>
      </c>
      <c r="AB715" s="212">
        <f>AB714</f>
        <v>0</v>
      </c>
      <c r="AC715" s="212">
        <f>AC714</f>
        <v>0</v>
      </c>
      <c r="AD715" s="212">
        <f>AD714</f>
        <v>0</v>
      </c>
      <c r="AE715" s="212">
        <f>AE714</f>
        <v>0</v>
      </c>
      <c r="AF715" s="212"/>
      <c r="AG715" s="212">
        <f>AG714</f>
        <v>0</v>
      </c>
      <c r="AH715" s="212">
        <f>AH714</f>
        <v>0</v>
      </c>
      <c r="AI715" s="212">
        <f>AI714</f>
        <v>0</v>
      </c>
      <c r="AJ715" s="212">
        <f>AJ714</f>
        <v>0</v>
      </c>
      <c r="AK715" s="212">
        <f>AK714</f>
        <v>0</v>
      </c>
      <c r="AL715" s="301">
        <f>AL714</f>
        <v>1187907447</v>
      </c>
      <c r="AM715" s="301">
        <f t="shared" ref="AM715:AN715" si="314">AM714</f>
        <v>339747972</v>
      </c>
      <c r="AN715" s="301">
        <f t="shared" si="314"/>
        <v>248102262</v>
      </c>
      <c r="AO715" s="212">
        <f t="shared" ref="AO715:AP715" si="315">AO714</f>
        <v>0</v>
      </c>
      <c r="AP715" s="683">
        <f t="shared" si="315"/>
        <v>2505989774.8099999</v>
      </c>
    </row>
    <row r="716" spans="1:42" s="274" customFormat="1" ht="34.5" customHeight="1" x14ac:dyDescent="0.25">
      <c r="A716" s="684"/>
      <c r="B716" s="684"/>
      <c r="C716" s="639"/>
      <c r="D716" s="684"/>
      <c r="E716" s="684"/>
      <c r="F716" s="684"/>
      <c r="G716" s="684"/>
      <c r="H716" s="639"/>
      <c r="I716" s="684"/>
      <c r="J716" s="684"/>
      <c r="K716" s="684"/>
      <c r="L716" s="684"/>
      <c r="M716" s="640"/>
      <c r="N716" s="684"/>
      <c r="O716" s="684"/>
      <c r="P716" s="684"/>
      <c r="Q716" s="684"/>
      <c r="R716" s="684"/>
      <c r="S716" s="684"/>
      <c r="T716" s="684"/>
      <c r="U716" s="684"/>
      <c r="V716" s="684"/>
      <c r="W716" s="684"/>
      <c r="X716" s="684"/>
      <c r="Y716" s="684"/>
      <c r="Z716" s="684"/>
      <c r="AA716" s="684"/>
      <c r="AB716" s="684"/>
      <c r="AC716" s="684"/>
      <c r="AD716" s="684"/>
      <c r="AE716" s="684"/>
      <c r="AF716" s="684"/>
      <c r="AG716" s="684"/>
      <c r="AH716" s="684"/>
      <c r="AI716" s="684"/>
      <c r="AJ716" s="684"/>
      <c r="AK716" s="684"/>
      <c r="AL716" s="685"/>
      <c r="AM716" s="684"/>
      <c r="AN716" s="684"/>
      <c r="AO716" s="684"/>
      <c r="AP716" s="686"/>
    </row>
    <row r="717" spans="1:42" s="196" customFormat="1" ht="20.25" x14ac:dyDescent="0.25">
      <c r="A717" s="687" t="s">
        <v>874</v>
      </c>
      <c r="B717" s="687"/>
      <c r="C717" s="688"/>
      <c r="D717" s="687"/>
      <c r="E717" s="687"/>
      <c r="F717" s="687"/>
      <c r="G717" s="166"/>
      <c r="H717" s="167"/>
      <c r="I717" s="166"/>
      <c r="J717" s="166"/>
      <c r="K717" s="166"/>
      <c r="L717" s="166"/>
      <c r="M717" s="168"/>
      <c r="N717" s="166"/>
      <c r="O717" s="167"/>
      <c r="P717" s="166"/>
      <c r="Q717" s="166"/>
      <c r="R717" s="166"/>
      <c r="S717" s="166"/>
      <c r="T717" s="166"/>
      <c r="U717" s="166"/>
      <c r="V717" s="166"/>
      <c r="W717" s="166"/>
      <c r="X717" s="166"/>
      <c r="Y717" s="166"/>
      <c r="Z717" s="166"/>
      <c r="AA717" s="166"/>
      <c r="AB717" s="166"/>
      <c r="AC717" s="166"/>
      <c r="AD717" s="166"/>
      <c r="AE717" s="166"/>
      <c r="AF717" s="166"/>
      <c r="AG717" s="166"/>
      <c r="AH717" s="166"/>
      <c r="AI717" s="166"/>
      <c r="AJ717" s="166"/>
      <c r="AK717" s="166"/>
      <c r="AL717" s="169"/>
      <c r="AM717" s="170"/>
      <c r="AN717" s="166"/>
      <c r="AO717" s="166"/>
      <c r="AP717" s="689"/>
    </row>
    <row r="718" spans="1:42" s="196" customFormat="1" x14ac:dyDescent="0.25">
      <c r="A718" s="690">
        <v>2</v>
      </c>
      <c r="B718" s="896" t="s">
        <v>119</v>
      </c>
      <c r="C718" s="896"/>
      <c r="D718" s="896"/>
      <c r="E718" s="896"/>
      <c r="F718" s="440"/>
      <c r="G718" s="691"/>
      <c r="H718" s="692"/>
      <c r="I718" s="691"/>
      <c r="J718" s="691"/>
      <c r="K718" s="691"/>
      <c r="L718" s="691"/>
      <c r="M718" s="693"/>
      <c r="N718" s="691"/>
      <c r="O718" s="691"/>
      <c r="P718" s="691"/>
      <c r="Q718" s="691"/>
      <c r="R718" s="691"/>
      <c r="S718" s="691"/>
      <c r="T718" s="691"/>
      <c r="U718" s="691"/>
      <c r="V718" s="691"/>
      <c r="W718" s="691"/>
      <c r="X718" s="691"/>
      <c r="Y718" s="691"/>
      <c r="Z718" s="691"/>
      <c r="AA718" s="691"/>
      <c r="AB718" s="691"/>
      <c r="AC718" s="691"/>
      <c r="AD718" s="691"/>
      <c r="AE718" s="691"/>
      <c r="AF718" s="691"/>
      <c r="AG718" s="691"/>
      <c r="AH718" s="691"/>
      <c r="AI718" s="691"/>
      <c r="AJ718" s="691"/>
      <c r="AK718" s="691"/>
      <c r="AL718" s="694"/>
      <c r="AM718" s="691"/>
      <c r="AN718" s="691"/>
      <c r="AO718" s="691"/>
      <c r="AP718" s="440"/>
    </row>
    <row r="719" spans="1:42" s="196" customFormat="1" x14ac:dyDescent="0.25">
      <c r="A719" s="695"/>
      <c r="B719" s="316">
        <v>4</v>
      </c>
      <c r="C719" s="897" t="s">
        <v>120</v>
      </c>
      <c r="D719" s="897"/>
      <c r="E719" s="897"/>
      <c r="F719" s="897"/>
      <c r="G719" s="696"/>
      <c r="H719" s="697"/>
      <c r="I719" s="696"/>
      <c r="J719" s="696"/>
      <c r="K719" s="696"/>
      <c r="L719" s="696"/>
      <c r="M719" s="698"/>
      <c r="N719" s="696"/>
      <c r="O719" s="696"/>
      <c r="P719" s="696"/>
      <c r="Q719" s="696"/>
      <c r="R719" s="696"/>
      <c r="S719" s="696"/>
      <c r="T719" s="696"/>
      <c r="U719" s="696"/>
      <c r="V719" s="696"/>
      <c r="W719" s="696"/>
      <c r="X719" s="696"/>
      <c r="Y719" s="696"/>
      <c r="Z719" s="696"/>
      <c r="AA719" s="696"/>
      <c r="AB719" s="696"/>
      <c r="AC719" s="696"/>
      <c r="AD719" s="696"/>
      <c r="AE719" s="696"/>
      <c r="AF719" s="696"/>
      <c r="AG719" s="696"/>
      <c r="AH719" s="696"/>
      <c r="AI719" s="696"/>
      <c r="AJ719" s="696"/>
      <c r="AK719" s="696"/>
      <c r="AL719" s="699"/>
      <c r="AM719" s="696"/>
      <c r="AN719" s="696"/>
      <c r="AO719" s="696"/>
      <c r="AP719" s="700"/>
    </row>
    <row r="720" spans="1:42" s="28" customFormat="1" x14ac:dyDescent="0.25">
      <c r="A720" s="558"/>
      <c r="B720" s="558"/>
      <c r="C720" s="660"/>
      <c r="D720" s="558"/>
      <c r="E720" s="558"/>
      <c r="F720" s="558"/>
      <c r="G720" s="410">
        <v>14</v>
      </c>
      <c r="H720" s="326" t="s">
        <v>121</v>
      </c>
      <c r="I720" s="227"/>
      <c r="J720" s="227"/>
      <c r="K720" s="227"/>
      <c r="L720" s="227"/>
      <c r="M720" s="228"/>
      <c r="N720" s="227"/>
      <c r="O720" s="227"/>
      <c r="P720" s="227"/>
      <c r="Q720" s="227"/>
      <c r="R720" s="227"/>
      <c r="S720" s="227"/>
      <c r="T720" s="227"/>
      <c r="U720" s="227"/>
      <c r="V720" s="227"/>
      <c r="W720" s="227"/>
      <c r="X720" s="227"/>
      <c r="Y720" s="227"/>
      <c r="Z720" s="227"/>
      <c r="AA720" s="227"/>
      <c r="AB720" s="227"/>
      <c r="AC720" s="227"/>
      <c r="AD720" s="227"/>
      <c r="AE720" s="227"/>
      <c r="AF720" s="227"/>
      <c r="AG720" s="227"/>
      <c r="AH720" s="227"/>
      <c r="AI720" s="227"/>
      <c r="AJ720" s="227"/>
      <c r="AK720" s="227"/>
      <c r="AL720" s="229"/>
      <c r="AM720" s="227"/>
      <c r="AN720" s="227"/>
      <c r="AO720" s="227"/>
      <c r="AP720" s="230"/>
    </row>
    <row r="721" spans="1:42" s="28" customFormat="1" ht="103.5" customHeight="1" x14ac:dyDescent="0.25">
      <c r="A721" s="781"/>
      <c r="B721" s="781"/>
      <c r="C721" s="782">
        <v>7</v>
      </c>
      <c r="D721" s="783" t="s">
        <v>875</v>
      </c>
      <c r="E721" s="784">
        <v>0.317</v>
      </c>
      <c r="F721" s="785">
        <v>0.27</v>
      </c>
      <c r="G721" s="102"/>
      <c r="H721" s="786">
        <v>54</v>
      </c>
      <c r="I721" s="783" t="s">
        <v>123</v>
      </c>
      <c r="J721" s="787">
        <v>129.85</v>
      </c>
      <c r="K721" s="787">
        <v>130</v>
      </c>
      <c r="L721" s="787" t="s">
        <v>876</v>
      </c>
      <c r="M721" s="788" t="s">
        <v>877</v>
      </c>
      <c r="N721" s="789" t="s">
        <v>878</v>
      </c>
      <c r="O721" s="782" t="s">
        <v>44</v>
      </c>
      <c r="P721" s="790"/>
      <c r="Q721" s="790"/>
      <c r="R721" s="790"/>
      <c r="S721" s="790"/>
      <c r="T721" s="790"/>
      <c r="U721" s="792"/>
      <c r="V721" s="790"/>
      <c r="W721" s="790"/>
      <c r="X721" s="790"/>
      <c r="Y721" s="790"/>
      <c r="Z721" s="790"/>
      <c r="AA721" s="790"/>
      <c r="AB721" s="790"/>
      <c r="AC721" s="790"/>
      <c r="AD721" s="790"/>
      <c r="AE721" s="790"/>
      <c r="AF721" s="790"/>
      <c r="AG721" s="790"/>
      <c r="AH721" s="790"/>
      <c r="AI721" s="790"/>
      <c r="AJ721" s="790"/>
      <c r="AK721" s="790"/>
      <c r="AL721" s="793">
        <v>0</v>
      </c>
      <c r="AM721" s="794"/>
      <c r="AN721" s="795">
        <f>264000000-104149220+55000000</f>
        <v>214850780</v>
      </c>
      <c r="AO721" s="791"/>
      <c r="AP721" s="790">
        <f>P721+Q721+R721+S721+T721+U721+V721+W721+X721+Y721+Z721+AA721+AB721+AC721+AD721+AE721+AF721+AG721+AH721+AI721+AJ721+AK721+AL721+AM721+AN721+AO721</f>
        <v>214850780</v>
      </c>
    </row>
    <row r="722" spans="1:42" s="28" customFormat="1" ht="16.5" x14ac:dyDescent="0.25">
      <c r="A722" s="773"/>
      <c r="B722" s="773"/>
      <c r="C722" s="125"/>
      <c r="D722" s="13"/>
      <c r="E722" s="774"/>
      <c r="F722" s="775"/>
      <c r="G722" s="801"/>
      <c r="H722" s="776"/>
      <c r="I722" s="777"/>
      <c r="J722" s="778"/>
      <c r="K722" s="778"/>
      <c r="L722" s="778"/>
      <c r="M722" s="802"/>
      <c r="N722" s="779"/>
      <c r="O722" s="780"/>
      <c r="P722" s="126"/>
      <c r="Q722" s="126"/>
      <c r="R722" s="126"/>
      <c r="S722" s="126"/>
      <c r="T722" s="126"/>
      <c r="U722" s="443"/>
      <c r="V722" s="126"/>
      <c r="W722" s="126"/>
      <c r="X722" s="126"/>
      <c r="Y722" s="126"/>
      <c r="Z722" s="126"/>
      <c r="AA722" s="126"/>
      <c r="AB722" s="126"/>
      <c r="AC722" s="126"/>
      <c r="AD722" s="126"/>
      <c r="AE722" s="126"/>
      <c r="AF722" s="126"/>
      <c r="AG722" s="126"/>
      <c r="AH722" s="126"/>
      <c r="AI722" s="126"/>
      <c r="AJ722" s="126"/>
      <c r="AK722" s="126"/>
      <c r="AL722" s="442"/>
      <c r="AM722" s="803"/>
      <c r="AN722" s="804">
        <f>SUM(AN721)</f>
        <v>214850780</v>
      </c>
      <c r="AO722" s="126"/>
      <c r="AP722" s="126">
        <f>AP721</f>
        <v>214850780</v>
      </c>
    </row>
    <row r="723" spans="1:42" s="28" customFormat="1" ht="16.5" x14ac:dyDescent="0.25">
      <c r="A723" s="189"/>
      <c r="B723" s="189"/>
      <c r="C723" s="768"/>
      <c r="D723" s="769"/>
      <c r="E723" s="770"/>
      <c r="F723" s="771"/>
      <c r="G723" s="102"/>
      <c r="H723" s="796"/>
      <c r="I723" s="498"/>
      <c r="J723" s="797"/>
      <c r="K723" s="797"/>
      <c r="L723" s="797"/>
      <c r="M723" s="798"/>
      <c r="N723" s="799"/>
      <c r="O723" s="772"/>
      <c r="P723" s="334"/>
      <c r="Q723" s="334"/>
      <c r="R723" s="736"/>
      <c r="S723" s="334"/>
      <c r="T723" s="334"/>
      <c r="U723" s="800"/>
      <c r="V723" s="334"/>
      <c r="W723" s="334"/>
      <c r="X723" s="334"/>
      <c r="Y723" s="334"/>
      <c r="Z723" s="334"/>
      <c r="AA723" s="334"/>
      <c r="AB723" s="334"/>
      <c r="AC723" s="334"/>
      <c r="AD723" s="334"/>
      <c r="AE723" s="334"/>
      <c r="AF723" s="334"/>
      <c r="AG723" s="334"/>
      <c r="AH723" s="334"/>
      <c r="AI723" s="334"/>
      <c r="AJ723" s="334"/>
      <c r="AK723" s="334"/>
      <c r="AL723" s="335"/>
      <c r="AM723" s="338"/>
      <c r="AN723" s="823">
        <f>264000000-104149220+55000000</f>
        <v>214850780</v>
      </c>
      <c r="AO723" s="334"/>
      <c r="AP723" s="334"/>
    </row>
    <row r="724" spans="1:42" s="28" customFormat="1" x14ac:dyDescent="0.25">
      <c r="A724" s="558"/>
      <c r="B724" s="558"/>
      <c r="C724" s="152"/>
      <c r="D724" s="88"/>
      <c r="E724" s="88"/>
      <c r="F724" s="88"/>
      <c r="G724" s="493">
        <v>15</v>
      </c>
      <c r="H724" s="327" t="s">
        <v>129</v>
      </c>
      <c r="I724" s="227"/>
      <c r="J724" s="227"/>
      <c r="K724" s="227"/>
      <c r="L724" s="227"/>
      <c r="M724" s="228"/>
      <c r="N724" s="227"/>
      <c r="O724" s="227"/>
      <c r="P724" s="293">
        <f>SUM(P721)</f>
        <v>0</v>
      </c>
      <c r="Q724" s="293">
        <f>SUM(Q721)</f>
        <v>0</v>
      </c>
      <c r="R724" s="293">
        <f>SUM(R721)</f>
        <v>0</v>
      </c>
      <c r="S724" s="293">
        <f>SUM(S721)</f>
        <v>0</v>
      </c>
      <c r="T724" s="293">
        <f>SUM(T721)</f>
        <v>0</v>
      </c>
      <c r="U724" s="293">
        <f>SUM(U721)</f>
        <v>0</v>
      </c>
      <c r="V724" s="293">
        <f>SUM(V721)</f>
        <v>0</v>
      </c>
      <c r="W724" s="293">
        <f>SUM(W721)</f>
        <v>0</v>
      </c>
      <c r="X724" s="293">
        <f>SUM(X721)</f>
        <v>0</v>
      </c>
      <c r="Y724" s="293">
        <f>SUM(Y721)</f>
        <v>0</v>
      </c>
      <c r="Z724" s="293">
        <f>SUM(Z721)</f>
        <v>0</v>
      </c>
      <c r="AA724" s="293">
        <f>SUM(AA721)</f>
        <v>0</v>
      </c>
      <c r="AB724" s="293">
        <f>SUM(AB721)</f>
        <v>0</v>
      </c>
      <c r="AC724" s="293">
        <f>SUM(AC721)</f>
        <v>0</v>
      </c>
      <c r="AD724" s="293">
        <f>SUM(AD721)</f>
        <v>0</v>
      </c>
      <c r="AE724" s="293">
        <f>SUM(AE721)</f>
        <v>0</v>
      </c>
      <c r="AF724" s="293"/>
      <c r="AG724" s="293">
        <f>SUM(AG721)</f>
        <v>0</v>
      </c>
      <c r="AH724" s="293">
        <f>SUM(AH721)</f>
        <v>0</v>
      </c>
      <c r="AI724" s="293">
        <f>SUM(AI721)</f>
        <v>0</v>
      </c>
      <c r="AJ724" s="293">
        <f>SUM(AJ721)</f>
        <v>0</v>
      </c>
      <c r="AK724" s="293">
        <f>SUM(AK721)</f>
        <v>0</v>
      </c>
      <c r="AL724" s="229">
        <f>SUM(AL721)</f>
        <v>0</v>
      </c>
      <c r="AM724" s="293"/>
      <c r="AN724" s="293"/>
      <c r="AO724" s="293">
        <f>SUM(AO721)</f>
        <v>0</v>
      </c>
      <c r="AP724" s="293"/>
    </row>
    <row r="725" spans="1:42" s="28" customFormat="1" ht="98.25" customHeight="1" x14ac:dyDescent="0.25">
      <c r="A725" s="558"/>
      <c r="B725" s="558"/>
      <c r="C725" s="152">
        <v>7</v>
      </c>
      <c r="D725" s="151" t="s">
        <v>875</v>
      </c>
      <c r="E725" s="85">
        <v>0.317</v>
      </c>
      <c r="F725" s="81">
        <v>0.27</v>
      </c>
      <c r="G725" s="102"/>
      <c r="H725" s="152">
        <v>59</v>
      </c>
      <c r="I725" s="151" t="s">
        <v>136</v>
      </c>
      <c r="J725" s="12">
        <v>82</v>
      </c>
      <c r="K725" s="9">
        <v>12</v>
      </c>
      <c r="L725" s="898" t="s">
        <v>132</v>
      </c>
      <c r="M725" s="878" t="s">
        <v>877</v>
      </c>
      <c r="N725" s="901" t="s">
        <v>878</v>
      </c>
      <c r="O725" s="6" t="s">
        <v>40</v>
      </c>
      <c r="P725" s="304">
        <v>0</v>
      </c>
      <c r="Q725" s="304">
        <v>0</v>
      </c>
      <c r="R725" s="735">
        <f>350000000+181666666+117391386</f>
        <v>649058052</v>
      </c>
      <c r="S725" s="304">
        <v>0</v>
      </c>
      <c r="T725" s="304">
        <v>0</v>
      </c>
      <c r="U725" s="304">
        <v>0</v>
      </c>
      <c r="V725" s="304">
        <v>0</v>
      </c>
      <c r="W725" s="304"/>
      <c r="X725" s="304"/>
      <c r="Y725" s="304"/>
      <c r="Z725" s="304">
        <v>0</v>
      </c>
      <c r="AA725" s="304"/>
      <c r="AB725" s="304">
        <v>0</v>
      </c>
      <c r="AC725" s="304">
        <v>0</v>
      </c>
      <c r="AD725" s="304"/>
      <c r="AE725" s="304"/>
      <c r="AF725" s="304"/>
      <c r="AG725" s="304"/>
      <c r="AH725" s="304"/>
      <c r="AI725" s="304"/>
      <c r="AJ725" s="304">
        <v>0</v>
      </c>
      <c r="AK725" s="304">
        <v>0</v>
      </c>
      <c r="AL725" s="117">
        <v>0</v>
      </c>
      <c r="AM725" s="395"/>
      <c r="AN725" s="735">
        <f>70000000-35149220</f>
        <v>34850780</v>
      </c>
      <c r="AO725" s="564">
        <v>0</v>
      </c>
      <c r="AP725" s="26">
        <f>P725+Q725+R725+S725+T725+U725+V725+W725+X725+Y725+Z725+AA725+AB725+AC725+AD725+AE725+AF725+AG725+AH725+AI725+AJ725+AK725+AL725+AM725+AN725+AO725</f>
        <v>683908832</v>
      </c>
    </row>
    <row r="726" spans="1:42" s="28" customFormat="1" ht="111" customHeight="1" x14ac:dyDescent="0.25">
      <c r="A726" s="558"/>
      <c r="B726" s="558"/>
      <c r="C726" s="152">
        <v>7</v>
      </c>
      <c r="D726" s="151" t="s">
        <v>875</v>
      </c>
      <c r="E726" s="85">
        <v>0.317</v>
      </c>
      <c r="F726" s="81">
        <v>0.27</v>
      </c>
      <c r="G726" s="102"/>
      <c r="H726" s="152">
        <v>57</v>
      </c>
      <c r="I726" s="151" t="s">
        <v>131</v>
      </c>
      <c r="J726" s="12">
        <v>103</v>
      </c>
      <c r="K726" s="21">
        <v>12</v>
      </c>
      <c r="L726" s="899"/>
      <c r="M726" s="879"/>
      <c r="N726" s="902"/>
      <c r="O726" s="6" t="s">
        <v>40</v>
      </c>
      <c r="P726" s="304"/>
      <c r="Q726" s="304"/>
      <c r="R726" s="735">
        <f>400000000+131666666+117391387</f>
        <v>649058053</v>
      </c>
      <c r="S726" s="304"/>
      <c r="T726" s="304"/>
      <c r="U726" s="304"/>
      <c r="V726" s="304"/>
      <c r="W726" s="304"/>
      <c r="X726" s="304"/>
      <c r="Y726" s="304"/>
      <c r="Z726" s="304"/>
      <c r="AA726" s="304"/>
      <c r="AB726" s="304"/>
      <c r="AC726" s="304"/>
      <c r="AD726" s="304"/>
      <c r="AE726" s="304"/>
      <c r="AF726" s="304"/>
      <c r="AG726" s="304"/>
      <c r="AH726" s="304"/>
      <c r="AI726" s="304"/>
      <c r="AJ726" s="304"/>
      <c r="AK726" s="304"/>
      <c r="AL726" s="117"/>
      <c r="AM726" s="395"/>
      <c r="AN726" s="735">
        <f>70000000-35149220</f>
        <v>34850780</v>
      </c>
      <c r="AO726" s="701"/>
      <c r="AP726" s="26">
        <f>P726+Q726+R726+S726+T726+U726+V726+W726+X726+Y726+Z726+AA726+AB726+AC726+AD726+AE726+AF726+AG726+AH726+AI726+AJ726+AK726+AL726+AM726+AN726+AO726</f>
        <v>683908833</v>
      </c>
    </row>
    <row r="727" spans="1:42" s="196" customFormat="1" ht="109.5" customHeight="1" x14ac:dyDescent="0.25">
      <c r="A727" s="558"/>
      <c r="B727" s="558"/>
      <c r="C727" s="152">
        <v>7</v>
      </c>
      <c r="D727" s="151" t="s">
        <v>875</v>
      </c>
      <c r="E727" s="85">
        <v>0.317</v>
      </c>
      <c r="F727" s="81">
        <v>0.27</v>
      </c>
      <c r="G727" s="102"/>
      <c r="H727" s="152">
        <v>60</v>
      </c>
      <c r="I727" s="151" t="s">
        <v>926</v>
      </c>
      <c r="J727" s="12">
        <v>9</v>
      </c>
      <c r="K727" s="21">
        <v>12</v>
      </c>
      <c r="L727" s="899"/>
      <c r="M727" s="879"/>
      <c r="N727" s="902"/>
      <c r="O727" s="6" t="s">
        <v>40</v>
      </c>
      <c r="P727" s="304">
        <v>0</v>
      </c>
      <c r="Q727" s="304">
        <v>0</v>
      </c>
      <c r="R727" s="735">
        <f>100000000-100000000</f>
        <v>0</v>
      </c>
      <c r="S727" s="304">
        <v>0</v>
      </c>
      <c r="T727" s="304">
        <v>0</v>
      </c>
      <c r="U727" s="304">
        <v>0</v>
      </c>
      <c r="V727" s="304">
        <v>0</v>
      </c>
      <c r="W727" s="304"/>
      <c r="X727" s="304"/>
      <c r="Y727" s="304"/>
      <c r="Z727" s="304">
        <v>0</v>
      </c>
      <c r="AA727" s="304"/>
      <c r="AB727" s="304">
        <v>0</v>
      </c>
      <c r="AC727" s="304">
        <v>0</v>
      </c>
      <c r="AD727" s="304"/>
      <c r="AE727" s="304"/>
      <c r="AF727" s="304"/>
      <c r="AG727" s="304"/>
      <c r="AH727" s="304"/>
      <c r="AI727" s="304"/>
      <c r="AJ727" s="304">
        <v>0</v>
      </c>
      <c r="AK727" s="304">
        <v>0</v>
      </c>
      <c r="AL727" s="117"/>
      <c r="AM727" s="395"/>
      <c r="AN727" s="736">
        <f>254850780+59917107</f>
        <v>314767887</v>
      </c>
      <c r="AO727" s="564">
        <v>0</v>
      </c>
      <c r="AP727" s="26">
        <f>P727+Q727+R727+S727+T727+U727+V727+W727+X727+Y727+Z727+AA727+AB727+AC727+AD727+AE727+AF727+AG727+AH727+AI727+AJ727+AK727+AL727+AM727+AN727+AO727</f>
        <v>314767887</v>
      </c>
    </row>
    <row r="728" spans="1:42" s="196" customFormat="1" ht="65.25" customHeight="1" thickBot="1" x14ac:dyDescent="0.3">
      <c r="A728" s="558"/>
      <c r="B728" s="558"/>
      <c r="C728" s="152">
        <v>7</v>
      </c>
      <c r="D728" s="151" t="s">
        <v>875</v>
      </c>
      <c r="E728" s="85">
        <v>0.317</v>
      </c>
      <c r="F728" s="81">
        <v>0.27</v>
      </c>
      <c r="G728" s="102"/>
      <c r="H728" s="6">
        <v>63</v>
      </c>
      <c r="I728" s="7" t="s">
        <v>139</v>
      </c>
      <c r="J728" s="12" t="s">
        <v>36</v>
      </c>
      <c r="K728" s="21">
        <v>250</v>
      </c>
      <c r="L728" s="900"/>
      <c r="M728" s="880"/>
      <c r="N728" s="903"/>
      <c r="O728" s="6" t="s">
        <v>40</v>
      </c>
      <c r="P728" s="304"/>
      <c r="Q728" s="304"/>
      <c r="R728" s="736">
        <v>599058054</v>
      </c>
      <c r="S728" s="304"/>
      <c r="T728" s="304"/>
      <c r="U728" s="304"/>
      <c r="V728" s="304"/>
      <c r="W728" s="304"/>
      <c r="X728" s="304"/>
      <c r="Y728" s="304"/>
      <c r="Z728" s="304"/>
      <c r="AA728" s="304"/>
      <c r="AB728" s="304"/>
      <c r="AC728" s="304"/>
      <c r="AD728" s="304"/>
      <c r="AE728" s="304"/>
      <c r="AF728" s="304"/>
      <c r="AG728" s="304"/>
      <c r="AH728" s="304"/>
      <c r="AI728" s="304"/>
      <c r="AJ728" s="304"/>
      <c r="AK728" s="304"/>
      <c r="AL728" s="702"/>
      <c r="AM728" s="703"/>
      <c r="AN728" s="736">
        <f>180253900-80403120</f>
        <v>99850780</v>
      </c>
      <c r="AO728" s="564"/>
      <c r="AP728" s="26">
        <f>P728+Q728+R728+S728+T728+U728+V728+W728+X728+Y728+Z728+AA728+AB728+AC728+AD728+AE728+AF728+AG728+AH728+AI728+AJ728+AK728+AL728+AM728+AN728+AO728</f>
        <v>698908834</v>
      </c>
    </row>
    <row r="729" spans="1:42" s="196" customFormat="1" ht="15" x14ac:dyDescent="0.25">
      <c r="A729" s="695"/>
      <c r="B729" s="558"/>
      <c r="C729" s="152"/>
      <c r="D729" s="151"/>
      <c r="E729" s="152"/>
      <c r="F729" s="152"/>
      <c r="G729" s="492"/>
      <c r="H729" s="192"/>
      <c r="I729" s="191"/>
      <c r="J729" s="303"/>
      <c r="K729" s="303"/>
      <c r="L729" s="303"/>
      <c r="M729" s="194"/>
      <c r="N729" s="191"/>
      <c r="O729" s="192"/>
      <c r="P729" s="195">
        <f>SUM(P725:P728)</f>
        <v>0</v>
      </c>
      <c r="Q729" s="195">
        <f>SUM(Q725:Q728)</f>
        <v>0</v>
      </c>
      <c r="R729" s="195">
        <f>SUM(R725:R728)</f>
        <v>1897174159</v>
      </c>
      <c r="S729" s="195">
        <f>SUM(S725:S728)</f>
        <v>0</v>
      </c>
      <c r="T729" s="195">
        <f>SUM(T725:T728)</f>
        <v>0</v>
      </c>
      <c r="U729" s="195">
        <f>SUM(U725:U728)</f>
        <v>0</v>
      </c>
      <c r="V729" s="195">
        <f>SUM(V725:V728)</f>
        <v>0</v>
      </c>
      <c r="W729" s="195">
        <f>SUM(W725:W728)</f>
        <v>0</v>
      </c>
      <c r="X729" s="195">
        <f>SUM(X725:X728)</f>
        <v>0</v>
      </c>
      <c r="Y729" s="195">
        <f>SUM(Y725:Y728)</f>
        <v>0</v>
      </c>
      <c r="Z729" s="195">
        <f>SUM(Z725:Z728)</f>
        <v>0</v>
      </c>
      <c r="AA729" s="195">
        <f>SUM(AA725:AA728)</f>
        <v>0</v>
      </c>
      <c r="AB729" s="195">
        <f>SUM(AB725:AB728)</f>
        <v>0</v>
      </c>
      <c r="AC729" s="195">
        <f>SUM(AC725:AC728)</f>
        <v>0</v>
      </c>
      <c r="AD729" s="195">
        <f>SUM(AD725:AD728)</f>
        <v>0</v>
      </c>
      <c r="AE729" s="195">
        <f>SUM(AE725:AE728)</f>
        <v>0</v>
      </c>
      <c r="AF729" s="195"/>
      <c r="AG729" s="195">
        <f>SUM(AG725:AG728)</f>
        <v>0</v>
      </c>
      <c r="AH729" s="195">
        <f>SUM(AH725:AH728)</f>
        <v>0</v>
      </c>
      <c r="AI729" s="195">
        <f>SUM(AI725:AI728)</f>
        <v>0</v>
      </c>
      <c r="AJ729" s="195">
        <f>SUM(AJ725:AJ728)</f>
        <v>0</v>
      </c>
      <c r="AK729" s="195">
        <f>SUM(AK725:AK728)</f>
        <v>0</v>
      </c>
      <c r="AL729" s="295">
        <f>SUM(AL725:AL728)</f>
        <v>0</v>
      </c>
      <c r="AM729" s="195"/>
      <c r="AN729" s="195">
        <f t="shared" ref="AN729:AP729" si="316">SUM(AN725:AN728)</f>
        <v>484320227</v>
      </c>
      <c r="AO729" s="195">
        <f t="shared" si="316"/>
        <v>0</v>
      </c>
      <c r="AP729" s="195">
        <f t="shared" si="316"/>
        <v>2381494386</v>
      </c>
    </row>
    <row r="730" spans="1:42" s="196" customFormat="1" ht="15" x14ac:dyDescent="0.25">
      <c r="A730" s="695"/>
      <c r="B730" s="198"/>
      <c r="C730" s="199"/>
      <c r="D730" s="198"/>
      <c r="E730" s="199"/>
      <c r="F730" s="199"/>
      <c r="G730" s="260"/>
      <c r="H730" s="199"/>
      <c r="I730" s="198"/>
      <c r="J730" s="311"/>
      <c r="K730" s="311"/>
      <c r="L730" s="311"/>
      <c r="M730" s="201"/>
      <c r="N730" s="198"/>
      <c r="O730" s="199"/>
      <c r="P730" s="202">
        <f>P729</f>
        <v>0</v>
      </c>
      <c r="Q730" s="202">
        <f>Q729</f>
        <v>0</v>
      </c>
      <c r="R730" s="202">
        <f>R729+R722</f>
        <v>1897174159</v>
      </c>
      <c r="S730" s="202">
        <f t="shared" ref="S730:AM730" si="317">S729+S722</f>
        <v>0</v>
      </c>
      <c r="T730" s="202">
        <f t="shared" si="317"/>
        <v>0</v>
      </c>
      <c r="U730" s="202">
        <f t="shared" si="317"/>
        <v>0</v>
      </c>
      <c r="V730" s="202">
        <f t="shared" si="317"/>
        <v>0</v>
      </c>
      <c r="W730" s="202">
        <f t="shared" si="317"/>
        <v>0</v>
      </c>
      <c r="X730" s="202">
        <f t="shared" si="317"/>
        <v>0</v>
      </c>
      <c r="Y730" s="202">
        <f t="shared" si="317"/>
        <v>0</v>
      </c>
      <c r="Z730" s="202">
        <f t="shared" si="317"/>
        <v>0</v>
      </c>
      <c r="AA730" s="202">
        <f t="shared" si="317"/>
        <v>0</v>
      </c>
      <c r="AB730" s="202">
        <f t="shared" si="317"/>
        <v>0</v>
      </c>
      <c r="AC730" s="202">
        <f t="shared" si="317"/>
        <v>0</v>
      </c>
      <c r="AD730" s="202">
        <f t="shared" si="317"/>
        <v>0</v>
      </c>
      <c r="AE730" s="202">
        <f t="shared" si="317"/>
        <v>0</v>
      </c>
      <c r="AF730" s="202">
        <f t="shared" si="317"/>
        <v>0</v>
      </c>
      <c r="AG730" s="202">
        <f t="shared" si="317"/>
        <v>0</v>
      </c>
      <c r="AH730" s="202">
        <f t="shared" si="317"/>
        <v>0</v>
      </c>
      <c r="AI730" s="202">
        <f t="shared" si="317"/>
        <v>0</v>
      </c>
      <c r="AJ730" s="202">
        <f t="shared" si="317"/>
        <v>0</v>
      </c>
      <c r="AK730" s="202">
        <f t="shared" si="317"/>
        <v>0</v>
      </c>
      <c r="AL730" s="202">
        <f t="shared" si="317"/>
        <v>0</v>
      </c>
      <c r="AM730" s="202">
        <f t="shared" si="317"/>
        <v>0</v>
      </c>
      <c r="AN730" s="202">
        <f t="shared" ref="AN730:AP730" si="318">AN729+AN722</f>
        <v>699171007</v>
      </c>
      <c r="AO730" s="202">
        <f t="shared" si="318"/>
        <v>0</v>
      </c>
      <c r="AP730" s="202">
        <f t="shared" si="318"/>
        <v>2596345166</v>
      </c>
    </row>
    <row r="731" spans="1:42" s="196" customFormat="1" ht="15" x14ac:dyDescent="0.25">
      <c r="A731" s="203"/>
      <c r="B731" s="203"/>
      <c r="C731" s="204"/>
      <c r="D731" s="203"/>
      <c r="E731" s="204"/>
      <c r="F731" s="204"/>
      <c r="G731" s="312"/>
      <c r="H731" s="204"/>
      <c r="I731" s="203"/>
      <c r="J731" s="313"/>
      <c r="K731" s="313"/>
      <c r="L731" s="313"/>
      <c r="M731" s="206"/>
      <c r="N731" s="203"/>
      <c r="O731" s="204"/>
      <c r="P731" s="207">
        <f>P730</f>
        <v>0</v>
      </c>
      <c r="Q731" s="207">
        <f>Q730</f>
        <v>0</v>
      </c>
      <c r="R731" s="207">
        <f t="shared" ref="R731:S732" si="319">R730</f>
        <v>1897174159</v>
      </c>
      <c r="S731" s="207">
        <f t="shared" si="319"/>
        <v>0</v>
      </c>
      <c r="T731" s="207">
        <f>T730</f>
        <v>0</v>
      </c>
      <c r="U731" s="207">
        <f>U730</f>
        <v>0</v>
      </c>
      <c r="V731" s="207">
        <f>V730</f>
        <v>0</v>
      </c>
      <c r="W731" s="207"/>
      <c r="X731" s="207"/>
      <c r="Y731" s="207"/>
      <c r="Z731" s="207">
        <f>Z730</f>
        <v>0</v>
      </c>
      <c r="AA731" s="207"/>
      <c r="AB731" s="207">
        <f>AB730</f>
        <v>0</v>
      </c>
      <c r="AC731" s="207">
        <f>AC730</f>
        <v>0</v>
      </c>
      <c r="AD731" s="207">
        <f>AD730</f>
        <v>0</v>
      </c>
      <c r="AE731" s="207">
        <f>AE730</f>
        <v>0</v>
      </c>
      <c r="AF731" s="207"/>
      <c r="AG731" s="207">
        <f>AG730</f>
        <v>0</v>
      </c>
      <c r="AH731" s="207">
        <f>AH730</f>
        <v>0</v>
      </c>
      <c r="AI731" s="207">
        <f>AI730</f>
        <v>0</v>
      </c>
      <c r="AJ731" s="207">
        <f>AJ730</f>
        <v>0</v>
      </c>
      <c r="AK731" s="207">
        <f>AK730</f>
        <v>0</v>
      </c>
      <c r="AL731" s="299">
        <f t="shared" ref="AL731:AL732" si="320">AL730</f>
        <v>0</v>
      </c>
      <c r="AM731" s="207"/>
      <c r="AN731" s="207">
        <f t="shared" ref="AN731:AO732" si="321">AN730</f>
        <v>699171007</v>
      </c>
      <c r="AO731" s="704">
        <f t="shared" si="321"/>
        <v>0</v>
      </c>
      <c r="AP731" s="207">
        <f t="shared" ref="AP731:AP732" si="322">AP730</f>
        <v>2596345166</v>
      </c>
    </row>
    <row r="732" spans="1:42" s="196" customFormat="1" ht="15" x14ac:dyDescent="0.25">
      <c r="A732" s="208"/>
      <c r="B732" s="208"/>
      <c r="C732" s="209"/>
      <c r="D732" s="208"/>
      <c r="E732" s="209"/>
      <c r="F732" s="209"/>
      <c r="G732" s="705"/>
      <c r="H732" s="209"/>
      <c r="I732" s="208"/>
      <c r="J732" s="325"/>
      <c r="K732" s="325"/>
      <c r="L732" s="325"/>
      <c r="M732" s="211"/>
      <c r="N732" s="208"/>
      <c r="O732" s="209"/>
      <c r="P732" s="212">
        <f>P731</f>
        <v>0</v>
      </c>
      <c r="Q732" s="212">
        <f>Q731</f>
        <v>0</v>
      </c>
      <c r="R732" s="212">
        <f t="shared" si="319"/>
        <v>1897174159</v>
      </c>
      <c r="S732" s="212">
        <f t="shared" si="319"/>
        <v>0</v>
      </c>
      <c r="T732" s="212">
        <f>T731</f>
        <v>0</v>
      </c>
      <c r="U732" s="212">
        <f>U731</f>
        <v>0</v>
      </c>
      <c r="V732" s="212">
        <f>V731</f>
        <v>0</v>
      </c>
      <c r="W732" s="212"/>
      <c r="X732" s="212"/>
      <c r="Y732" s="212"/>
      <c r="Z732" s="212">
        <f>Z731</f>
        <v>0</v>
      </c>
      <c r="AA732" s="212"/>
      <c r="AB732" s="212">
        <f>AB731</f>
        <v>0</v>
      </c>
      <c r="AC732" s="212">
        <f>AC731</f>
        <v>0</v>
      </c>
      <c r="AD732" s="212">
        <f>AD731</f>
        <v>0</v>
      </c>
      <c r="AE732" s="212">
        <f>AE731</f>
        <v>0</v>
      </c>
      <c r="AF732" s="212"/>
      <c r="AG732" s="212">
        <f>AG731</f>
        <v>0</v>
      </c>
      <c r="AH732" s="212">
        <f>AH731</f>
        <v>0</v>
      </c>
      <c r="AI732" s="212">
        <f>AI731</f>
        <v>0</v>
      </c>
      <c r="AJ732" s="212">
        <f>AJ731</f>
        <v>0</v>
      </c>
      <c r="AK732" s="212">
        <f>AK731</f>
        <v>0</v>
      </c>
      <c r="AL732" s="301">
        <f t="shared" si="320"/>
        <v>0</v>
      </c>
      <c r="AM732" s="212"/>
      <c r="AN732" s="212">
        <f t="shared" si="321"/>
        <v>699171007</v>
      </c>
      <c r="AO732" s="212">
        <f t="shared" si="321"/>
        <v>0</v>
      </c>
      <c r="AP732" s="212">
        <f t="shared" si="322"/>
        <v>2596345166</v>
      </c>
    </row>
    <row r="733" spans="1:42" s="553" customFormat="1" ht="21" customHeight="1" x14ac:dyDescent="0.25">
      <c r="A733" s="638"/>
      <c r="B733" s="638"/>
      <c r="C733" s="639"/>
      <c r="D733" s="638"/>
      <c r="E733" s="639"/>
      <c r="F733" s="639"/>
      <c r="G733" s="638"/>
      <c r="H733" s="639"/>
      <c r="I733" s="638"/>
      <c r="J733" s="706"/>
      <c r="K733" s="706"/>
      <c r="L733" s="706"/>
      <c r="M733" s="640"/>
      <c r="N733" s="638"/>
      <c r="O733" s="639"/>
      <c r="P733" s="315"/>
      <c r="Q733" s="315"/>
      <c r="R733" s="315">
        <v>1897174159</v>
      </c>
      <c r="S733" s="315"/>
      <c r="T733" s="315"/>
      <c r="U733" s="315"/>
      <c r="V733" s="315"/>
      <c r="W733" s="315"/>
      <c r="X733" s="315"/>
      <c r="Y733" s="315"/>
      <c r="Z733" s="315"/>
      <c r="AA733" s="315"/>
      <c r="AB733" s="315"/>
      <c r="AC733" s="315"/>
      <c r="AD733" s="315"/>
      <c r="AE733" s="315"/>
      <c r="AF733" s="315"/>
      <c r="AG733" s="315"/>
      <c r="AH733" s="315"/>
      <c r="AI733" s="315"/>
      <c r="AJ733" s="315"/>
      <c r="AK733" s="315"/>
      <c r="AL733" s="707"/>
      <c r="AM733" s="315"/>
      <c r="AN733" s="315"/>
      <c r="AO733" s="315"/>
      <c r="AP733" s="315"/>
    </row>
    <row r="734" spans="1:42" s="196" customFormat="1" ht="36.75" customHeight="1" x14ac:dyDescent="0.25">
      <c r="A734" s="687" t="s">
        <v>879</v>
      </c>
      <c r="B734" s="687"/>
      <c r="C734" s="688"/>
      <c r="D734" s="687"/>
      <c r="E734" s="687"/>
      <c r="F734" s="687"/>
      <c r="G734" s="166"/>
      <c r="H734" s="167"/>
      <c r="I734" s="166"/>
      <c r="J734" s="166"/>
      <c r="K734" s="166"/>
      <c r="L734" s="166"/>
      <c r="M734" s="168"/>
      <c r="N734" s="166"/>
      <c r="O734" s="167"/>
      <c r="P734" s="166"/>
      <c r="Q734" s="166"/>
      <c r="R734" s="166"/>
      <c r="S734" s="166"/>
      <c r="T734" s="166"/>
      <c r="U734" s="166"/>
      <c r="V734" s="166"/>
      <c r="W734" s="166"/>
      <c r="X734" s="166"/>
      <c r="Y734" s="166"/>
      <c r="Z734" s="166"/>
      <c r="AA734" s="166"/>
      <c r="AB734" s="166"/>
      <c r="AC734" s="166"/>
      <c r="AD734" s="166"/>
      <c r="AE734" s="166"/>
      <c r="AF734" s="166"/>
      <c r="AG734" s="166"/>
      <c r="AH734" s="166"/>
      <c r="AI734" s="166"/>
      <c r="AJ734" s="166"/>
      <c r="AK734" s="166"/>
      <c r="AL734" s="169"/>
      <c r="AM734" s="170"/>
      <c r="AN734" s="166"/>
      <c r="AO734" s="166"/>
      <c r="AP734" s="689"/>
    </row>
    <row r="735" spans="1:42" s="196" customFormat="1" ht="24.75" customHeight="1" x14ac:dyDescent="0.25">
      <c r="A735" s="690">
        <v>4</v>
      </c>
      <c r="B735" s="648" t="s">
        <v>880</v>
      </c>
      <c r="C735" s="404"/>
      <c r="D735" s="648"/>
      <c r="E735" s="648"/>
      <c r="F735" s="440"/>
      <c r="G735" s="691"/>
      <c r="H735" s="692"/>
      <c r="I735" s="691"/>
      <c r="J735" s="691"/>
      <c r="K735" s="691"/>
      <c r="L735" s="691"/>
      <c r="M735" s="693"/>
      <c r="N735" s="691"/>
      <c r="O735" s="691"/>
      <c r="P735" s="691"/>
      <c r="Q735" s="691"/>
      <c r="R735" s="691"/>
      <c r="S735" s="691"/>
      <c r="T735" s="691"/>
      <c r="U735" s="691"/>
      <c r="V735" s="691"/>
      <c r="W735" s="691"/>
      <c r="X735" s="691"/>
      <c r="Y735" s="691"/>
      <c r="Z735" s="691"/>
      <c r="AA735" s="691"/>
      <c r="AB735" s="691"/>
      <c r="AC735" s="691"/>
      <c r="AD735" s="691"/>
      <c r="AE735" s="691"/>
      <c r="AF735" s="691"/>
      <c r="AG735" s="691"/>
      <c r="AH735" s="691"/>
      <c r="AI735" s="691"/>
      <c r="AJ735" s="691"/>
      <c r="AK735" s="691"/>
      <c r="AL735" s="694"/>
      <c r="AM735" s="691"/>
      <c r="AN735" s="691"/>
      <c r="AO735" s="691"/>
      <c r="AP735" s="440"/>
    </row>
    <row r="736" spans="1:42" s="196" customFormat="1" ht="24.75" customHeight="1" x14ac:dyDescent="0.25">
      <c r="A736" s="223"/>
      <c r="B736" s="316">
        <v>23</v>
      </c>
      <c r="C736" s="1074" t="s">
        <v>168</v>
      </c>
      <c r="D736" s="633"/>
      <c r="E736" s="633"/>
      <c r="F736" s="633"/>
      <c r="G736" s="182"/>
      <c r="H736" s="183"/>
      <c r="I736" s="182"/>
      <c r="J736" s="182"/>
      <c r="K736" s="182"/>
      <c r="L736" s="696"/>
      <c r="M736" s="698"/>
      <c r="N736" s="696"/>
      <c r="O736" s="696"/>
      <c r="P736" s="696"/>
      <c r="Q736" s="696"/>
      <c r="R736" s="696"/>
      <c r="S736" s="696"/>
      <c r="T736" s="696"/>
      <c r="U736" s="696"/>
      <c r="V736" s="696"/>
      <c r="W736" s="696"/>
      <c r="X736" s="696"/>
      <c r="Y736" s="696"/>
      <c r="Z736" s="696"/>
      <c r="AA736" s="696"/>
      <c r="AB736" s="696"/>
      <c r="AC736" s="696"/>
      <c r="AD736" s="696"/>
      <c r="AE736" s="696"/>
      <c r="AF736" s="696"/>
      <c r="AG736" s="696"/>
      <c r="AH736" s="696"/>
      <c r="AI736" s="696"/>
      <c r="AJ736" s="696"/>
      <c r="AK736" s="696"/>
      <c r="AL736" s="699"/>
      <c r="AM736" s="696"/>
      <c r="AN736" s="696"/>
      <c r="AO736" s="696"/>
      <c r="AP736" s="700"/>
    </row>
    <row r="737" spans="1:50" s="196" customFormat="1" ht="24.75" customHeight="1" x14ac:dyDescent="0.25">
      <c r="A737" s="20"/>
      <c r="B737" s="760"/>
      <c r="C737" s="152"/>
      <c r="D737" s="151"/>
      <c r="E737" s="152"/>
      <c r="F737" s="152"/>
      <c r="G737" s="410">
        <v>77</v>
      </c>
      <c r="H737" s="326" t="s">
        <v>881</v>
      </c>
      <c r="I737" s="227"/>
      <c r="J737" s="227"/>
      <c r="K737" s="227"/>
      <c r="L737" s="227"/>
      <c r="M737" s="228"/>
      <c r="N737" s="227"/>
      <c r="O737" s="227"/>
      <c r="P737" s="227"/>
      <c r="Q737" s="227"/>
      <c r="R737" s="227"/>
      <c r="S737" s="227"/>
      <c r="T737" s="227"/>
      <c r="U737" s="227"/>
      <c r="V737" s="227"/>
      <c r="W737" s="227"/>
      <c r="X737" s="227"/>
      <c r="Y737" s="227"/>
      <c r="Z737" s="227"/>
      <c r="AA737" s="227"/>
      <c r="AB737" s="227"/>
      <c r="AC737" s="227"/>
      <c r="AD737" s="227"/>
      <c r="AE737" s="227"/>
      <c r="AF737" s="227"/>
      <c r="AG737" s="227"/>
      <c r="AH737" s="227"/>
      <c r="AI737" s="227"/>
      <c r="AJ737" s="227"/>
      <c r="AK737" s="227"/>
      <c r="AL737" s="229"/>
      <c r="AM737" s="227"/>
      <c r="AN737" s="227"/>
      <c r="AO737" s="227"/>
      <c r="AP737" s="629"/>
    </row>
    <row r="738" spans="1:50" s="196" customFormat="1" ht="56.25" customHeight="1" x14ac:dyDescent="0.25">
      <c r="A738" s="20"/>
      <c r="B738" s="761"/>
      <c r="C738" s="889">
        <v>11</v>
      </c>
      <c r="D738" s="891" t="s">
        <v>882</v>
      </c>
      <c r="E738" s="891" t="s">
        <v>883</v>
      </c>
      <c r="F738" s="891" t="s">
        <v>884</v>
      </c>
      <c r="G738" s="101"/>
      <c r="H738" s="152">
        <v>223</v>
      </c>
      <c r="I738" s="151" t="s">
        <v>885</v>
      </c>
      <c r="J738" s="589" t="s">
        <v>36</v>
      </c>
      <c r="K738" s="24">
        <v>1</v>
      </c>
      <c r="L738" s="589" t="s">
        <v>124</v>
      </c>
      <c r="M738" s="878" t="s">
        <v>886</v>
      </c>
      <c r="N738" s="893" t="s">
        <v>887</v>
      </c>
      <c r="O738" s="152" t="s">
        <v>44</v>
      </c>
      <c r="P738" s="26">
        <v>0</v>
      </c>
      <c r="Q738" s="26">
        <v>0</v>
      </c>
      <c r="R738" s="26">
        <v>0</v>
      </c>
      <c r="S738" s="26">
        <v>0</v>
      </c>
      <c r="T738" s="26">
        <v>0</v>
      </c>
      <c r="U738" s="26">
        <v>0</v>
      </c>
      <c r="V738" s="26">
        <v>0</v>
      </c>
      <c r="W738" s="26"/>
      <c r="X738" s="26"/>
      <c r="Y738" s="26"/>
      <c r="Z738" s="26">
        <v>0</v>
      </c>
      <c r="AA738" s="26"/>
      <c r="AB738" s="26">
        <v>0</v>
      </c>
      <c r="AC738" s="26">
        <v>0</v>
      </c>
      <c r="AD738" s="304"/>
      <c r="AE738" s="304"/>
      <c r="AF738" s="304"/>
      <c r="AG738" s="304"/>
      <c r="AH738" s="304"/>
      <c r="AI738" s="304"/>
      <c r="AJ738" s="26">
        <v>0</v>
      </c>
      <c r="AK738" s="26">
        <v>0</v>
      </c>
      <c r="AL738" s="113">
        <v>0</v>
      </c>
      <c r="AM738" s="39"/>
      <c r="AN738" s="14">
        <f>30900000-732046+57117000</f>
        <v>87284954</v>
      </c>
      <c r="AO738" s="348">
        <v>0</v>
      </c>
      <c r="AP738" s="26">
        <f>P738+Q738+R738+S738+T738+U738+V738+W738+X738+Y738+Z738+AA738+AB738+AC738+AD738+AE738+AF738+AG738+AH738+AI738+AJ738+AK738+AL738+AM738+AN738+AO738</f>
        <v>87284954</v>
      </c>
    </row>
    <row r="739" spans="1:50" s="196" customFormat="1" ht="37.5" customHeight="1" x14ac:dyDescent="0.25">
      <c r="A739" s="20"/>
      <c r="B739" s="761"/>
      <c r="C739" s="890"/>
      <c r="D739" s="892"/>
      <c r="E739" s="892"/>
      <c r="F739" s="892"/>
      <c r="G739" s="102"/>
      <c r="H739" s="152">
        <v>224</v>
      </c>
      <c r="I739" s="151" t="s">
        <v>888</v>
      </c>
      <c r="J739" s="589">
        <v>0</v>
      </c>
      <c r="K739" s="24">
        <v>1</v>
      </c>
      <c r="L739" s="589" t="s">
        <v>124</v>
      </c>
      <c r="M739" s="879"/>
      <c r="N739" s="894"/>
      <c r="O739" s="152" t="s">
        <v>44</v>
      </c>
      <c r="P739" s="26">
        <v>0</v>
      </c>
      <c r="Q739" s="26">
        <v>0</v>
      </c>
      <c r="R739" s="26">
        <v>0</v>
      </c>
      <c r="S739" s="26">
        <v>0</v>
      </c>
      <c r="T739" s="26">
        <v>0</v>
      </c>
      <c r="U739" s="26">
        <v>0</v>
      </c>
      <c r="V739" s="26">
        <v>0</v>
      </c>
      <c r="W739" s="26"/>
      <c r="X739" s="26"/>
      <c r="Y739" s="26"/>
      <c r="Z739" s="26">
        <v>0</v>
      </c>
      <c r="AA739" s="26"/>
      <c r="AB739" s="26">
        <v>0</v>
      </c>
      <c r="AC739" s="26">
        <v>0</v>
      </c>
      <c r="AD739" s="304"/>
      <c r="AE739" s="304"/>
      <c r="AF739" s="304"/>
      <c r="AG739" s="304"/>
      <c r="AH739" s="304"/>
      <c r="AI739" s="304"/>
      <c r="AJ739" s="26">
        <v>0</v>
      </c>
      <c r="AK739" s="26">
        <v>0</v>
      </c>
      <c r="AL739" s="113">
        <v>0</v>
      </c>
      <c r="AM739" s="39"/>
      <c r="AN739" s="14">
        <v>20600000</v>
      </c>
      <c r="AO739" s="348">
        <v>0</v>
      </c>
      <c r="AP739" s="26">
        <f>P739+Q739+R739+S739+T739+U739+V739+W739+X739+Y739+Z739+AA739+AB739+AC739+AD739+AE739+AF739+AG739+AH739+AI739+AJ739+AK739+AL739+AM739+AN739+AO739</f>
        <v>20600000</v>
      </c>
    </row>
    <row r="740" spans="1:50" s="196" customFormat="1" ht="51.75" customHeight="1" x14ac:dyDescent="0.25">
      <c r="A740" s="20"/>
      <c r="B740" s="761"/>
      <c r="C740" s="890"/>
      <c r="D740" s="892"/>
      <c r="E740" s="892"/>
      <c r="F740" s="892"/>
      <c r="G740" s="105"/>
      <c r="H740" s="152">
        <v>225</v>
      </c>
      <c r="I740" s="151" t="s">
        <v>889</v>
      </c>
      <c r="J740" s="589">
        <v>0</v>
      </c>
      <c r="K740" s="24">
        <v>1</v>
      </c>
      <c r="L740" s="589" t="s">
        <v>124</v>
      </c>
      <c r="M740" s="880"/>
      <c r="N740" s="895"/>
      <c r="O740" s="152" t="s">
        <v>44</v>
      </c>
      <c r="P740" s="26">
        <v>0</v>
      </c>
      <c r="Q740" s="26">
        <v>0</v>
      </c>
      <c r="R740" s="26">
        <v>0</v>
      </c>
      <c r="S740" s="26">
        <v>0</v>
      </c>
      <c r="T740" s="26">
        <v>0</v>
      </c>
      <c r="U740" s="26">
        <v>0</v>
      </c>
      <c r="V740" s="26">
        <v>0</v>
      </c>
      <c r="W740" s="26"/>
      <c r="X740" s="26"/>
      <c r="Y740" s="26"/>
      <c r="Z740" s="26">
        <v>0</v>
      </c>
      <c r="AA740" s="26"/>
      <c r="AB740" s="26">
        <v>0</v>
      </c>
      <c r="AC740" s="26">
        <v>0</v>
      </c>
      <c r="AD740" s="304"/>
      <c r="AE740" s="304"/>
      <c r="AF740" s="304"/>
      <c r="AG740" s="304"/>
      <c r="AH740" s="304"/>
      <c r="AI740" s="304"/>
      <c r="AJ740" s="26">
        <v>0</v>
      </c>
      <c r="AK740" s="26">
        <v>0</v>
      </c>
      <c r="AL740" s="113">
        <v>0</v>
      </c>
      <c r="AM740" s="39"/>
      <c r="AN740" s="14">
        <v>3666800</v>
      </c>
      <c r="AO740" s="348">
        <v>0</v>
      </c>
      <c r="AP740" s="26">
        <f>P740+Q740+R740+S740+T740+U740+V740+W740+X740+Y740+Z740+AA740+AB740+AC740+AD740+AE740+AF740+AG740+AH740+AI740+AJ740+AK740+AL740+AM740+AN740+AO740</f>
        <v>3666800</v>
      </c>
    </row>
    <row r="741" spans="1:50" s="196" customFormat="1" ht="21.75" customHeight="1" x14ac:dyDescent="0.25">
      <c r="A741" s="19"/>
      <c r="B741" s="1077"/>
      <c r="C741" s="253"/>
      <c r="D741" s="1078"/>
      <c r="E741" s="253"/>
      <c r="F741" s="257"/>
      <c r="G741" s="492"/>
      <c r="H741" s="192"/>
      <c r="I741" s="191"/>
      <c r="J741" s="193"/>
      <c r="K741" s="193"/>
      <c r="L741" s="193"/>
      <c r="M741" s="194"/>
      <c r="N741" s="191"/>
      <c r="O741" s="192"/>
      <c r="P741" s="195">
        <f>SUM(P738:P740)</f>
        <v>0</v>
      </c>
      <c r="Q741" s="195">
        <f>SUM(Q738:Q740)</f>
        <v>0</v>
      </c>
      <c r="R741" s="195">
        <f>SUM(R738:R740)</f>
        <v>0</v>
      </c>
      <c r="S741" s="195">
        <f>SUM(S738:S740)</f>
        <v>0</v>
      </c>
      <c r="T741" s="195">
        <f>SUM(T738:T740)</f>
        <v>0</v>
      </c>
      <c r="U741" s="195">
        <f>SUM(U738:U740)</f>
        <v>0</v>
      </c>
      <c r="V741" s="195">
        <f>SUM(V738:V740)</f>
        <v>0</v>
      </c>
      <c r="W741" s="195"/>
      <c r="X741" s="195"/>
      <c r="Y741" s="195"/>
      <c r="Z741" s="195">
        <f>SUM(Z738:Z740)</f>
        <v>0</v>
      </c>
      <c r="AA741" s="195"/>
      <c r="AB741" s="195">
        <f>SUM(AB738:AB740)</f>
        <v>0</v>
      </c>
      <c r="AC741" s="195">
        <f>SUM(AC738:AC740)</f>
        <v>0</v>
      </c>
      <c r="AD741" s="195">
        <f>SUM(AD738:AD740)</f>
        <v>0</v>
      </c>
      <c r="AE741" s="195">
        <f>SUM(AE738:AE740)</f>
        <v>0</v>
      </c>
      <c r="AF741" s="195"/>
      <c r="AG741" s="195">
        <f>SUM(AG738:AG740)</f>
        <v>0</v>
      </c>
      <c r="AH741" s="195">
        <f>SUM(AH738:AH740)</f>
        <v>0</v>
      </c>
      <c r="AI741" s="195">
        <f>SUM(AI738:AI740)</f>
        <v>0</v>
      </c>
      <c r="AJ741" s="195">
        <f>SUM(AJ738:AJ740)</f>
        <v>0</v>
      </c>
      <c r="AK741" s="195">
        <f>SUM(AK738:AK740)</f>
        <v>0</v>
      </c>
      <c r="AL741" s="295">
        <f>SUM(AL738:AL740)</f>
        <v>0</v>
      </c>
      <c r="AM741" s="195"/>
      <c r="AN741" s="195">
        <f>SUM(AN738:AN740)</f>
        <v>111551754</v>
      </c>
      <c r="AO741" s="195">
        <f t="shared" ref="AO741" si="323">SUM(AO738:AO740)</f>
        <v>0</v>
      </c>
      <c r="AP741" s="195">
        <f>SUM(AP738:AP740)</f>
        <v>111551754</v>
      </c>
    </row>
    <row r="742" spans="1:50" s="196" customFormat="1" ht="21.75" customHeight="1" x14ac:dyDescent="0.25">
      <c r="A742" s="189"/>
      <c r="B742" s="1075"/>
      <c r="C742" s="1076"/>
      <c r="D742" s="1075"/>
      <c r="E742" s="1076"/>
      <c r="F742" s="1076"/>
      <c r="G742" s="712"/>
      <c r="H742" s="711"/>
      <c r="I742" s="710"/>
      <c r="J742" s="713"/>
      <c r="K742" s="713"/>
      <c r="L742" s="713"/>
      <c r="M742" s="714"/>
      <c r="N742" s="710"/>
      <c r="O742" s="711"/>
      <c r="P742" s="715">
        <f>P741</f>
        <v>0</v>
      </c>
      <c r="Q742" s="715">
        <f>Q741</f>
        <v>0</v>
      </c>
      <c r="R742" s="715">
        <f>R741</f>
        <v>0</v>
      </c>
      <c r="S742" s="715">
        <f>S741</f>
        <v>0</v>
      </c>
      <c r="T742" s="715">
        <f>T741</f>
        <v>0</v>
      </c>
      <c r="U742" s="715">
        <f>U741</f>
        <v>0</v>
      </c>
      <c r="V742" s="715">
        <f>V741</f>
        <v>0</v>
      </c>
      <c r="W742" s="715"/>
      <c r="X742" s="715"/>
      <c r="Y742" s="715"/>
      <c r="Z742" s="715">
        <f>Z741</f>
        <v>0</v>
      </c>
      <c r="AA742" s="715"/>
      <c r="AB742" s="715">
        <f>AB741</f>
        <v>0</v>
      </c>
      <c r="AC742" s="715">
        <f>AC741</f>
        <v>0</v>
      </c>
      <c r="AD742" s="715">
        <f>AD741</f>
        <v>0</v>
      </c>
      <c r="AE742" s="715">
        <f>AE741</f>
        <v>0</v>
      </c>
      <c r="AF742" s="715"/>
      <c r="AG742" s="715">
        <f>AG741</f>
        <v>0</v>
      </c>
      <c r="AH742" s="715">
        <f>AH741</f>
        <v>0</v>
      </c>
      <c r="AI742" s="715">
        <f>AI741</f>
        <v>0</v>
      </c>
      <c r="AJ742" s="715">
        <f>AJ741</f>
        <v>0</v>
      </c>
      <c r="AK742" s="715">
        <f>AK741</f>
        <v>0</v>
      </c>
      <c r="AL742" s="716">
        <f>AL741</f>
        <v>0</v>
      </c>
      <c r="AM742" s="715"/>
      <c r="AN742" s="715">
        <f>AN741</f>
        <v>111551754</v>
      </c>
      <c r="AO742" s="715">
        <f t="shared" ref="AO742:AO744" si="324">AO741</f>
        <v>0</v>
      </c>
      <c r="AP742" s="715">
        <f>AP741</f>
        <v>111551754</v>
      </c>
    </row>
    <row r="743" spans="1:50" s="196" customFormat="1" ht="21.75" customHeight="1" x14ac:dyDescent="0.25">
      <c r="A743" s="203"/>
      <c r="B743" s="203"/>
      <c r="C743" s="204"/>
      <c r="D743" s="203"/>
      <c r="E743" s="204"/>
      <c r="F743" s="204"/>
      <c r="G743" s="312"/>
      <c r="H743" s="204"/>
      <c r="I743" s="203"/>
      <c r="J743" s="205"/>
      <c r="K743" s="205"/>
      <c r="L743" s="205"/>
      <c r="M743" s="206"/>
      <c r="N743" s="203"/>
      <c r="O743" s="204"/>
      <c r="P743" s="207">
        <f>P742</f>
        <v>0</v>
      </c>
      <c r="Q743" s="207">
        <f>Q742</f>
        <v>0</v>
      </c>
      <c r="R743" s="207">
        <f>R742</f>
        <v>0</v>
      </c>
      <c r="S743" s="207">
        <f>S742</f>
        <v>0</v>
      </c>
      <c r="T743" s="207">
        <f>T742</f>
        <v>0</v>
      </c>
      <c r="U743" s="207">
        <f>U742</f>
        <v>0</v>
      </c>
      <c r="V743" s="207">
        <f>V742</f>
        <v>0</v>
      </c>
      <c r="W743" s="207"/>
      <c r="X743" s="207"/>
      <c r="Y743" s="207"/>
      <c r="Z743" s="207">
        <f>Z742</f>
        <v>0</v>
      </c>
      <c r="AA743" s="207"/>
      <c r="AB743" s="207">
        <f>AB742</f>
        <v>0</v>
      </c>
      <c r="AC743" s="207">
        <f>AC742</f>
        <v>0</v>
      </c>
      <c r="AD743" s="207">
        <f>AD742</f>
        <v>0</v>
      </c>
      <c r="AE743" s="207">
        <f>AE742</f>
        <v>0</v>
      </c>
      <c r="AF743" s="207"/>
      <c r="AG743" s="207">
        <f>AG742</f>
        <v>0</v>
      </c>
      <c r="AH743" s="207">
        <f>AH742</f>
        <v>0</v>
      </c>
      <c r="AI743" s="207">
        <f>AI742</f>
        <v>0</v>
      </c>
      <c r="AJ743" s="207">
        <f>AJ742</f>
        <v>0</v>
      </c>
      <c r="AK743" s="207">
        <f>AK742</f>
        <v>0</v>
      </c>
      <c r="AL743" s="299">
        <f>AL742</f>
        <v>0</v>
      </c>
      <c r="AM743" s="207"/>
      <c r="AN743" s="207">
        <f>AN742</f>
        <v>111551754</v>
      </c>
      <c r="AO743" s="207">
        <f t="shared" si="324"/>
        <v>0</v>
      </c>
      <c r="AP743" s="207">
        <f>AP742</f>
        <v>111551754</v>
      </c>
    </row>
    <row r="744" spans="1:50" s="196" customFormat="1" ht="21.75" customHeight="1" x14ac:dyDescent="0.25">
      <c r="A744" s="208"/>
      <c r="B744" s="208"/>
      <c r="C744" s="209"/>
      <c r="D744" s="208"/>
      <c r="E744" s="209"/>
      <c r="F744" s="209"/>
      <c r="G744" s="705"/>
      <c r="H744" s="209"/>
      <c r="I744" s="208"/>
      <c r="J744" s="210"/>
      <c r="K744" s="210"/>
      <c r="L744" s="210"/>
      <c r="M744" s="211"/>
      <c r="N744" s="208"/>
      <c r="O744" s="209"/>
      <c r="P744" s="212">
        <f>P743</f>
        <v>0</v>
      </c>
      <c r="Q744" s="212">
        <f>Q743</f>
        <v>0</v>
      </c>
      <c r="R744" s="212">
        <f>R743</f>
        <v>0</v>
      </c>
      <c r="S744" s="212">
        <f>S743</f>
        <v>0</v>
      </c>
      <c r="T744" s="212">
        <f>T743</f>
        <v>0</v>
      </c>
      <c r="U744" s="212">
        <f>U743</f>
        <v>0</v>
      </c>
      <c r="V744" s="212">
        <f>V743</f>
        <v>0</v>
      </c>
      <c r="W744" s="212"/>
      <c r="X744" s="212"/>
      <c r="Y744" s="212"/>
      <c r="Z744" s="212">
        <f>Z743</f>
        <v>0</v>
      </c>
      <c r="AA744" s="212"/>
      <c r="AB744" s="212">
        <f>AB743</f>
        <v>0</v>
      </c>
      <c r="AC744" s="212">
        <f>AC743</f>
        <v>0</v>
      </c>
      <c r="AD744" s="212">
        <f>AD743</f>
        <v>0</v>
      </c>
      <c r="AE744" s="212">
        <f>AE743</f>
        <v>0</v>
      </c>
      <c r="AF744" s="212"/>
      <c r="AG744" s="212">
        <f>AG743</f>
        <v>0</v>
      </c>
      <c r="AH744" s="212">
        <f>AH743</f>
        <v>0</v>
      </c>
      <c r="AI744" s="212">
        <f>AI743</f>
        <v>0</v>
      </c>
      <c r="AJ744" s="212">
        <f>AJ743</f>
        <v>0</v>
      </c>
      <c r="AK744" s="212">
        <f>AK743</f>
        <v>0</v>
      </c>
      <c r="AL744" s="301">
        <f>AL743</f>
        <v>0</v>
      </c>
      <c r="AM744" s="212"/>
      <c r="AN744" s="212">
        <f>AN743</f>
        <v>111551754</v>
      </c>
      <c r="AO744" s="212">
        <f t="shared" si="324"/>
        <v>0</v>
      </c>
      <c r="AP744" s="212">
        <f>AP743</f>
        <v>111551754</v>
      </c>
    </row>
    <row r="745" spans="1:50" s="196" customFormat="1" ht="18.75" x14ac:dyDescent="0.3">
      <c r="A745" s="717"/>
      <c r="B745" s="717"/>
      <c r="C745" s="718"/>
      <c r="D745" s="719"/>
      <c r="E745" s="718"/>
      <c r="F745" s="718"/>
      <c r="G745" s="720"/>
      <c r="H745" s="721"/>
      <c r="I745" s="722"/>
      <c r="J745" s="723"/>
      <c r="K745" s="723"/>
      <c r="L745" s="723"/>
      <c r="M745" s="502"/>
      <c r="N745" s="724"/>
      <c r="O745" s="725"/>
      <c r="P745" s="726"/>
      <c r="Q745" s="726"/>
      <c r="R745" s="726"/>
      <c r="S745" s="726"/>
      <c r="T745" s="726"/>
      <c r="U745" s="726"/>
      <c r="V745" s="726"/>
      <c r="W745" s="726"/>
      <c r="X745" s="726"/>
      <c r="Y745" s="726"/>
      <c r="Z745" s="726"/>
      <c r="AA745" s="726"/>
      <c r="AB745" s="726"/>
      <c r="AC745" s="726"/>
      <c r="AD745" s="727"/>
      <c r="AE745" s="727"/>
      <c r="AF745" s="727"/>
      <c r="AG745" s="727"/>
      <c r="AH745" s="727"/>
      <c r="AI745" s="727"/>
      <c r="AJ745" s="726"/>
      <c r="AK745" s="726"/>
      <c r="AL745" s="728"/>
      <c r="AM745" s="729"/>
      <c r="AN745" s="888"/>
      <c r="AO745" s="888"/>
      <c r="AP745" s="730"/>
      <c r="AU745" s="156"/>
      <c r="AV745" s="156"/>
      <c r="AW745" s="156"/>
      <c r="AX745" s="156"/>
    </row>
    <row r="746" spans="1:50" s="196" customFormat="1" ht="30" customHeight="1" x14ac:dyDescent="0.25">
      <c r="A746" s="1070"/>
      <c r="B746" s="1071"/>
      <c r="C746" s="1071"/>
      <c r="D746" s="1071"/>
      <c r="E746" s="1071"/>
      <c r="F746" s="1071"/>
      <c r="G746" s="1071"/>
      <c r="H746" s="1071"/>
      <c r="I746" s="1071"/>
      <c r="J746" s="1071"/>
      <c r="K746" s="1071"/>
      <c r="L746" s="1071"/>
      <c r="M746" s="1071"/>
      <c r="N746" s="1072" t="s">
        <v>932</v>
      </c>
      <c r="O746" s="1071"/>
      <c r="P746" s="1069">
        <f>P672+P715+P732+P744</f>
        <v>2803655885</v>
      </c>
      <c r="Q746" s="1069">
        <f t="shared" ref="Q746:AK746" si="325">Q672+Q715+Q732+Q744</f>
        <v>4087273806</v>
      </c>
      <c r="R746" s="1069">
        <f t="shared" si="325"/>
        <v>11807101344</v>
      </c>
      <c r="S746" s="1069">
        <f t="shared" si="325"/>
        <v>9209631612</v>
      </c>
      <c r="T746" s="1069">
        <f t="shared" si="325"/>
        <v>76532521</v>
      </c>
      <c r="U746" s="1069">
        <f t="shared" si="325"/>
        <v>706404493</v>
      </c>
      <c r="V746" s="1069">
        <f t="shared" si="325"/>
        <v>8142405435</v>
      </c>
      <c r="W746" s="1069">
        <f t="shared" si="325"/>
        <v>4654101985.996911</v>
      </c>
      <c r="X746" s="1069">
        <f t="shared" si="325"/>
        <v>4499205411</v>
      </c>
      <c r="Y746" s="1069">
        <f t="shared" si="325"/>
        <v>3001376249</v>
      </c>
      <c r="Z746" s="1069">
        <f t="shared" si="325"/>
        <v>17674762091.549999</v>
      </c>
      <c r="AA746" s="1069">
        <f t="shared" si="325"/>
        <v>730232093.80999994</v>
      </c>
      <c r="AB746" s="1069">
        <f t="shared" si="325"/>
        <v>1378557211</v>
      </c>
      <c r="AC746" s="1069">
        <f t="shared" si="325"/>
        <v>8053049338</v>
      </c>
      <c r="AD746" s="1069">
        <f t="shared" si="325"/>
        <v>104971640601</v>
      </c>
      <c r="AE746" s="1069">
        <f t="shared" si="325"/>
        <v>19644857395</v>
      </c>
      <c r="AF746" s="1069">
        <f t="shared" si="325"/>
        <v>250000000</v>
      </c>
      <c r="AG746" s="1069">
        <f t="shared" si="325"/>
        <v>6091354</v>
      </c>
      <c r="AH746" s="1069">
        <f t="shared" si="325"/>
        <v>1186000000</v>
      </c>
      <c r="AI746" s="1069">
        <f t="shared" si="325"/>
        <v>1200000000</v>
      </c>
      <c r="AJ746" s="1069">
        <f t="shared" si="325"/>
        <v>6739972766</v>
      </c>
      <c r="AK746" s="1069">
        <f t="shared" si="325"/>
        <v>2317209025.7399998</v>
      </c>
      <c r="AL746" s="1069">
        <f t="shared" ref="AL746:AP746" si="326">AL672+AL715+AL732+AL744</f>
        <v>27316783096.176529</v>
      </c>
      <c r="AM746" s="1069">
        <f t="shared" si="326"/>
        <v>339747972</v>
      </c>
      <c r="AN746" s="1069">
        <f t="shared" si="326"/>
        <v>1928497503</v>
      </c>
      <c r="AO746" s="1069">
        <f t="shared" si="326"/>
        <v>1819100599</v>
      </c>
      <c r="AP746" s="1069">
        <f t="shared" si="326"/>
        <v>244544189788.27341</v>
      </c>
      <c r="AU746" s="156"/>
      <c r="AV746" s="156"/>
      <c r="AW746" s="156"/>
      <c r="AX746" s="156"/>
    </row>
    <row r="747" spans="1:50" x14ac:dyDescent="0.25">
      <c r="AP747" s="734"/>
    </row>
    <row r="748" spans="1:50" x14ac:dyDescent="0.25">
      <c r="AP748" s="734"/>
    </row>
    <row r="749" spans="1:50" s="196" customFormat="1" ht="15" x14ac:dyDescent="0.25">
      <c r="AL749" s="728"/>
      <c r="AP749" s="825"/>
    </row>
  </sheetData>
  <mergeCells count="422">
    <mergeCell ref="A1:AN4"/>
    <mergeCell ref="A5:A6"/>
    <mergeCell ref="B5:B6"/>
    <mergeCell ref="C5:D6"/>
    <mergeCell ref="E5:E6"/>
    <mergeCell ref="F5:F6"/>
    <mergeCell ref="G5:G6"/>
    <mergeCell ref="H5:I6"/>
    <mergeCell ref="J5:J6"/>
    <mergeCell ref="L5:L6"/>
    <mergeCell ref="M5:M6"/>
    <mergeCell ref="N5:N6"/>
    <mergeCell ref="O5:O6"/>
    <mergeCell ref="N45:N49"/>
    <mergeCell ref="C54:C62"/>
    <mergeCell ref="D54:D62"/>
    <mergeCell ref="E54:E62"/>
    <mergeCell ref="F54:F62"/>
    <mergeCell ref="L54:L62"/>
    <mergeCell ref="M54:M62"/>
    <mergeCell ref="N54:N62"/>
    <mergeCell ref="L15:L19"/>
    <mergeCell ref="M15:M19"/>
    <mergeCell ref="N15:N19"/>
    <mergeCell ref="C45:C49"/>
    <mergeCell ref="D45:D49"/>
    <mergeCell ref="E45:E49"/>
    <mergeCell ref="F45:F49"/>
    <mergeCell ref="L45:L49"/>
    <mergeCell ref="M45:M49"/>
    <mergeCell ref="N72:N74"/>
    <mergeCell ref="C75:C76"/>
    <mergeCell ref="D75:D76"/>
    <mergeCell ref="E75:E76"/>
    <mergeCell ref="F75:F76"/>
    <mergeCell ref="L75:L76"/>
    <mergeCell ref="M75:M76"/>
    <mergeCell ref="N75:N76"/>
    <mergeCell ref="C72:C74"/>
    <mergeCell ref="D72:D74"/>
    <mergeCell ref="E72:E74"/>
    <mergeCell ref="F72:F74"/>
    <mergeCell ref="L72:L74"/>
    <mergeCell ref="M72:M74"/>
    <mergeCell ref="N86:N88"/>
    <mergeCell ref="C92:C99"/>
    <mergeCell ref="D92:D99"/>
    <mergeCell ref="E92:E99"/>
    <mergeCell ref="F92:F99"/>
    <mergeCell ref="L92:L99"/>
    <mergeCell ref="M92:M99"/>
    <mergeCell ref="N92:N99"/>
    <mergeCell ref="C86:C88"/>
    <mergeCell ref="D86:D88"/>
    <mergeCell ref="E86:E88"/>
    <mergeCell ref="F86:F88"/>
    <mergeCell ref="L86:L88"/>
    <mergeCell ref="M86:M88"/>
    <mergeCell ref="H106:N106"/>
    <mergeCell ref="C122:C124"/>
    <mergeCell ref="D122:D124"/>
    <mergeCell ref="E122:E124"/>
    <mergeCell ref="F122:F124"/>
    <mergeCell ref="L122:L126"/>
    <mergeCell ref="M122:M126"/>
    <mergeCell ref="N122:N126"/>
    <mergeCell ref="C125:C126"/>
    <mergeCell ref="N130:N133"/>
    <mergeCell ref="C132:C133"/>
    <mergeCell ref="D132:D133"/>
    <mergeCell ref="E132:E133"/>
    <mergeCell ref="F132:F133"/>
    <mergeCell ref="D125:D126"/>
    <mergeCell ref="E125:E126"/>
    <mergeCell ref="F125:F126"/>
    <mergeCell ref="C130:C131"/>
    <mergeCell ref="D130:D131"/>
    <mergeCell ref="E130:E131"/>
    <mergeCell ref="F130:F131"/>
    <mergeCell ref="L130:L133"/>
    <mergeCell ref="M130:M133"/>
    <mergeCell ref="N139:N143"/>
    <mergeCell ref="C147:C149"/>
    <mergeCell ref="D147:D149"/>
    <mergeCell ref="E147:E149"/>
    <mergeCell ref="F147:F149"/>
    <mergeCell ref="L147:L149"/>
    <mergeCell ref="M147:M149"/>
    <mergeCell ref="N147:N149"/>
    <mergeCell ref="C139:C143"/>
    <mergeCell ref="D139:D143"/>
    <mergeCell ref="E139:E143"/>
    <mergeCell ref="F139:F143"/>
    <mergeCell ref="L139:L143"/>
    <mergeCell ref="M139:M143"/>
    <mergeCell ref="C160:C164"/>
    <mergeCell ref="D160:D164"/>
    <mergeCell ref="E160:E164"/>
    <mergeCell ref="F160:F164"/>
    <mergeCell ref="L160:L164"/>
    <mergeCell ref="M160:M164"/>
    <mergeCell ref="N160:N164"/>
    <mergeCell ref="C153:C154"/>
    <mergeCell ref="D153:D154"/>
    <mergeCell ref="E153:E154"/>
    <mergeCell ref="F153:F154"/>
    <mergeCell ref="L153:L154"/>
    <mergeCell ref="M153:M154"/>
    <mergeCell ref="N153:N154"/>
    <mergeCell ref="M168:M169"/>
    <mergeCell ref="N168:N169"/>
    <mergeCell ref="C183:C185"/>
    <mergeCell ref="D183:D185"/>
    <mergeCell ref="E183:E185"/>
    <mergeCell ref="F183:F185"/>
    <mergeCell ref="L183:L185"/>
    <mergeCell ref="M183:M185"/>
    <mergeCell ref="C168:C169"/>
    <mergeCell ref="D168:D169"/>
    <mergeCell ref="E168:E169"/>
    <mergeCell ref="F168:F169"/>
    <mergeCell ref="G168:G169"/>
    <mergeCell ref="L168:L169"/>
    <mergeCell ref="N183:N185"/>
    <mergeCell ref="C220:C221"/>
    <mergeCell ref="D220:D221"/>
    <mergeCell ref="E220:E221"/>
    <mergeCell ref="F220:F221"/>
    <mergeCell ref="L220:L221"/>
    <mergeCell ref="M220:M221"/>
    <mergeCell ref="N220:N221"/>
    <mergeCell ref="C200:C202"/>
    <mergeCell ref="D200:D202"/>
    <mergeCell ref="E200:E202"/>
    <mergeCell ref="F200:F202"/>
    <mergeCell ref="L200:L202"/>
    <mergeCell ref="M200:M202"/>
    <mergeCell ref="N200:N202"/>
    <mergeCell ref="H230:P230"/>
    <mergeCell ref="L231:L232"/>
    <mergeCell ref="M231:M232"/>
    <mergeCell ref="N231:N232"/>
    <mergeCell ref="C233:C234"/>
    <mergeCell ref="D233:D234"/>
    <mergeCell ref="E233:E234"/>
    <mergeCell ref="F233:F234"/>
    <mergeCell ref="L233:L235"/>
    <mergeCell ref="C241:C242"/>
    <mergeCell ref="D241:D242"/>
    <mergeCell ref="E241:E242"/>
    <mergeCell ref="F241:F242"/>
    <mergeCell ref="L246:L248"/>
    <mergeCell ref="M246:M248"/>
    <mergeCell ref="N246:N248"/>
    <mergeCell ref="M233:M235"/>
    <mergeCell ref="N233:N235"/>
    <mergeCell ref="G239:G242"/>
    <mergeCell ref="L239:L242"/>
    <mergeCell ref="M239:M242"/>
    <mergeCell ref="N239:N242"/>
    <mergeCell ref="L282:L283"/>
    <mergeCell ref="M282:M283"/>
    <mergeCell ref="N282:N283"/>
    <mergeCell ref="L288:L292"/>
    <mergeCell ref="M288:M292"/>
    <mergeCell ref="N288:N292"/>
    <mergeCell ref="L254:L255"/>
    <mergeCell ref="M254:M255"/>
    <mergeCell ref="N254:N255"/>
    <mergeCell ref="L273:L278"/>
    <mergeCell ref="M273:M278"/>
    <mergeCell ref="N273:N278"/>
    <mergeCell ref="C320:F320"/>
    <mergeCell ref="L323:L324"/>
    <mergeCell ref="M323:M325"/>
    <mergeCell ref="N323:N325"/>
    <mergeCell ref="L300:L303"/>
    <mergeCell ref="M300:M303"/>
    <mergeCell ref="N300:N303"/>
    <mergeCell ref="L307:L312"/>
    <mergeCell ref="M307:M310"/>
    <mergeCell ref="N307:N310"/>
    <mergeCell ref="L333:L337"/>
    <mergeCell ref="M333:M337"/>
    <mergeCell ref="N333:N337"/>
    <mergeCell ref="H346:N346"/>
    <mergeCell ref="H353:N353"/>
    <mergeCell ref="H363:O363"/>
    <mergeCell ref="L316:L319"/>
    <mergeCell ref="M316:M319"/>
    <mergeCell ref="N316:N319"/>
    <mergeCell ref="H378:P378"/>
    <mergeCell ref="H384:O384"/>
    <mergeCell ref="L385:L392"/>
    <mergeCell ref="M385:M392"/>
    <mergeCell ref="N385:N392"/>
    <mergeCell ref="H395:P395"/>
    <mergeCell ref="L364:L366"/>
    <mergeCell ref="M364:M366"/>
    <mergeCell ref="N364:N366"/>
    <mergeCell ref="H369:O369"/>
    <mergeCell ref="L370:L375"/>
    <mergeCell ref="M370:M375"/>
    <mergeCell ref="N370:N375"/>
    <mergeCell ref="H415:P415"/>
    <mergeCell ref="H421:P421"/>
    <mergeCell ref="L422:L426"/>
    <mergeCell ref="M422:M426"/>
    <mergeCell ref="N422:N426"/>
    <mergeCell ref="H429:P429"/>
    <mergeCell ref="L396:L405"/>
    <mergeCell ref="M396:M405"/>
    <mergeCell ref="N396:N405"/>
    <mergeCell ref="H408:P408"/>
    <mergeCell ref="L409:L412"/>
    <mergeCell ref="M409:M412"/>
    <mergeCell ref="N409:N412"/>
    <mergeCell ref="H439:P439"/>
    <mergeCell ref="C440:C441"/>
    <mergeCell ref="D440:D441"/>
    <mergeCell ref="E440:E441"/>
    <mergeCell ref="F440:F441"/>
    <mergeCell ref="L440:L441"/>
    <mergeCell ref="M440:M441"/>
    <mergeCell ref="N440:N441"/>
    <mergeCell ref="L430:L433"/>
    <mergeCell ref="M430:M433"/>
    <mergeCell ref="N430:N433"/>
    <mergeCell ref="H444:P444"/>
    <mergeCell ref="H448:Q448"/>
    <mergeCell ref="H452:P452"/>
    <mergeCell ref="C453:C454"/>
    <mergeCell ref="D453:D454"/>
    <mergeCell ref="E453:E454"/>
    <mergeCell ref="F453:F454"/>
    <mergeCell ref="L453:L454"/>
    <mergeCell ref="M453:M454"/>
    <mergeCell ref="N453:N454"/>
    <mergeCell ref="H459:P459"/>
    <mergeCell ref="C470:C471"/>
    <mergeCell ref="D470:D471"/>
    <mergeCell ref="E470:E471"/>
    <mergeCell ref="F470:F471"/>
    <mergeCell ref="L470:L471"/>
    <mergeCell ref="M470:M471"/>
    <mergeCell ref="N470:N471"/>
    <mergeCell ref="C481:C483"/>
    <mergeCell ref="D481:D483"/>
    <mergeCell ref="E481:E483"/>
    <mergeCell ref="F481:F483"/>
    <mergeCell ref="L481:L483"/>
    <mergeCell ref="M481:M483"/>
    <mergeCell ref="N481:N483"/>
    <mergeCell ref="C523:C526"/>
    <mergeCell ref="D523:D526"/>
    <mergeCell ref="E523:E526"/>
    <mergeCell ref="F523:F526"/>
    <mergeCell ref="L523:L526"/>
    <mergeCell ref="L487:L489"/>
    <mergeCell ref="M487:M489"/>
    <mergeCell ref="N487:N489"/>
    <mergeCell ref="M523:M526"/>
    <mergeCell ref="N523:N526"/>
    <mergeCell ref="H535:P535"/>
    <mergeCell ref="L546:L548"/>
    <mergeCell ref="M546:M548"/>
    <mergeCell ref="N546:N548"/>
    <mergeCell ref="C554:C555"/>
    <mergeCell ref="D554:D555"/>
    <mergeCell ref="E554:E555"/>
    <mergeCell ref="F554:F555"/>
    <mergeCell ref="G554:G555"/>
    <mergeCell ref="L554:L555"/>
    <mergeCell ref="M554:M555"/>
    <mergeCell ref="N554:N555"/>
    <mergeCell ref="L559:L562"/>
    <mergeCell ref="M559:M562"/>
    <mergeCell ref="N559:N562"/>
    <mergeCell ref="H565:P565"/>
    <mergeCell ref="C566:C568"/>
    <mergeCell ref="D566:D568"/>
    <mergeCell ref="E566:E568"/>
    <mergeCell ref="F566:F568"/>
    <mergeCell ref="L566:L568"/>
    <mergeCell ref="C573:C574"/>
    <mergeCell ref="D573:D574"/>
    <mergeCell ref="E573:E574"/>
    <mergeCell ref="F573:F574"/>
    <mergeCell ref="L578:L579"/>
    <mergeCell ref="M578:M579"/>
    <mergeCell ref="N578:N579"/>
    <mergeCell ref="M566:M568"/>
    <mergeCell ref="N566:N568"/>
    <mergeCell ref="G572:G574"/>
    <mergeCell ref="L572:L574"/>
    <mergeCell ref="M572:M574"/>
    <mergeCell ref="N572:N574"/>
    <mergeCell ref="L580:L581"/>
    <mergeCell ref="M580:M581"/>
    <mergeCell ref="N580:N581"/>
    <mergeCell ref="H585:P585"/>
    <mergeCell ref="C586:C587"/>
    <mergeCell ref="D586:D587"/>
    <mergeCell ref="E586:E587"/>
    <mergeCell ref="F586:F587"/>
    <mergeCell ref="G586:G587"/>
    <mergeCell ref="L586:L587"/>
    <mergeCell ref="H595:P595"/>
    <mergeCell ref="D596:D597"/>
    <mergeCell ref="E596:E597"/>
    <mergeCell ref="F596:F597"/>
    <mergeCell ref="G596:G597"/>
    <mergeCell ref="L596:L598"/>
    <mergeCell ref="M596:M598"/>
    <mergeCell ref="N596:N598"/>
    <mergeCell ref="M586:M587"/>
    <mergeCell ref="N586:N587"/>
    <mergeCell ref="H590:O590"/>
    <mergeCell ref="G591:G592"/>
    <mergeCell ref="L591:L592"/>
    <mergeCell ref="M591:M592"/>
    <mergeCell ref="N591:N592"/>
    <mergeCell ref="H601:P601"/>
    <mergeCell ref="L602:L605"/>
    <mergeCell ref="M602:M605"/>
    <mergeCell ref="N602:N605"/>
    <mergeCell ref="H608:N608"/>
    <mergeCell ref="C609:C610"/>
    <mergeCell ref="D609:D610"/>
    <mergeCell ref="E609:E610"/>
    <mergeCell ref="F609:F610"/>
    <mergeCell ref="G609:G610"/>
    <mergeCell ref="L609:L610"/>
    <mergeCell ref="M609:M610"/>
    <mergeCell ref="N609:N610"/>
    <mergeCell ref="H613:P613"/>
    <mergeCell ref="C615:C616"/>
    <mergeCell ref="D615:D616"/>
    <mergeCell ref="E615:E616"/>
    <mergeCell ref="F615:F616"/>
    <mergeCell ref="L615:L616"/>
    <mergeCell ref="M615:M616"/>
    <mergeCell ref="N615:N616"/>
    <mergeCell ref="H621:O621"/>
    <mergeCell ref="H629:O629"/>
    <mergeCell ref="H635:O635"/>
    <mergeCell ref="C636:C638"/>
    <mergeCell ref="D636:D638"/>
    <mergeCell ref="E636:E638"/>
    <mergeCell ref="F636:F638"/>
    <mergeCell ref="G636:G638"/>
    <mergeCell ref="L636:L638"/>
    <mergeCell ref="M636:M638"/>
    <mergeCell ref="N636:N638"/>
    <mergeCell ref="H641:O641"/>
    <mergeCell ref="H645:O645"/>
    <mergeCell ref="C646:C647"/>
    <mergeCell ref="D646:D647"/>
    <mergeCell ref="E646:E647"/>
    <mergeCell ref="F646:F647"/>
    <mergeCell ref="L646:L647"/>
    <mergeCell ref="M646:M647"/>
    <mergeCell ref="N646:N647"/>
    <mergeCell ref="H651:O651"/>
    <mergeCell ref="C652:C653"/>
    <mergeCell ref="D652:D653"/>
    <mergeCell ref="E652:E653"/>
    <mergeCell ref="F652:F653"/>
    <mergeCell ref="G652:G653"/>
    <mergeCell ref="L652:L653"/>
    <mergeCell ref="M652:M653"/>
    <mergeCell ref="N652:N653"/>
    <mergeCell ref="H656:O656"/>
    <mergeCell ref="C657:C658"/>
    <mergeCell ref="D657:D658"/>
    <mergeCell ref="E657:E658"/>
    <mergeCell ref="F657:F658"/>
    <mergeCell ref="G657:G658"/>
    <mergeCell ref="L657:L658"/>
    <mergeCell ref="M657:M658"/>
    <mergeCell ref="N657:N658"/>
    <mergeCell ref="H677:O677"/>
    <mergeCell ref="C678:C679"/>
    <mergeCell ref="D678:D679"/>
    <mergeCell ref="E678:E679"/>
    <mergeCell ref="F678:F679"/>
    <mergeCell ref="M678:M679"/>
    <mergeCell ref="N678:N679"/>
    <mergeCell ref="H663:O663"/>
    <mergeCell ref="G664:G666"/>
    <mergeCell ref="L664:L666"/>
    <mergeCell ref="M664:M666"/>
    <mergeCell ref="N664:N666"/>
    <mergeCell ref="A672:N672"/>
    <mergeCell ref="AN745:AO745"/>
    <mergeCell ref="C738:C740"/>
    <mergeCell ref="D738:D740"/>
    <mergeCell ref="E738:E740"/>
    <mergeCell ref="F738:F740"/>
    <mergeCell ref="M738:M740"/>
    <mergeCell ref="N738:N740"/>
    <mergeCell ref="B710:B712"/>
    <mergeCell ref="B718:E718"/>
    <mergeCell ref="C719:F719"/>
    <mergeCell ref="L725:L728"/>
    <mergeCell ref="M725:M728"/>
    <mergeCell ref="N725:N728"/>
    <mergeCell ref="B698:B706"/>
    <mergeCell ref="C699:C701"/>
    <mergeCell ref="D699:D701"/>
    <mergeCell ref="E699:E701"/>
    <mergeCell ref="F699:F701"/>
    <mergeCell ref="G699:G701"/>
    <mergeCell ref="M699:M701"/>
    <mergeCell ref="N699:N701"/>
    <mergeCell ref="C691:C693"/>
    <mergeCell ref="D691:D693"/>
    <mergeCell ref="E691:E693"/>
    <mergeCell ref="F691:F693"/>
    <mergeCell ref="G691:G693"/>
    <mergeCell ref="M691:M693"/>
    <mergeCell ref="N691:N693"/>
  </mergeCells>
  <conditionalFormatting sqref="H108:H198 H96:H97 H87:H91 H99:H106 H201:H1048576 H5:H85">
    <cfRule type="duplicateValues" dxfId="0" priority="1"/>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 ENERO-JUNIO-2017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dc:creator>
  <cp:lastModifiedBy>AUXPLANEACION03</cp:lastModifiedBy>
  <dcterms:created xsi:type="dcterms:W3CDTF">2016-11-06T23:03:57Z</dcterms:created>
  <dcterms:modified xsi:type="dcterms:W3CDTF">2017-08-15T00:21:40Z</dcterms:modified>
</cp:coreProperties>
</file>